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33.xml" ContentType="application/vnd.openxmlformats-officedocument.spreadsheetml.comments+xml"/>
  <Override PartName="/xl/comments32.xml" ContentType="application/vnd.openxmlformats-officedocument.spreadsheetml.comments+xml"/>
  <Override PartName="/xl/comments31.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28.xml" ContentType="application/vnd.openxmlformats-officedocument.spreadsheetml.comments+xml"/>
  <Override PartName="/xl/comments27.xml" ContentType="application/vnd.openxmlformats-officedocument.spreadsheetml.comments+xml"/>
  <Override PartName="/xl/comments26.xml" ContentType="application/vnd.openxmlformats-officedocument.spreadsheetml.comments+xml"/>
  <Override PartName="/xl/comments25.xml" ContentType="application/vnd.openxmlformats-officedocument.spreadsheetml.comments+xml"/>
  <Override PartName="/xl/workbook.xml" ContentType="application/vnd.openxmlformats-officedocument.spreadsheetml.sheet.main+xml"/>
  <Override PartName="/xl/comments23.xml" ContentType="application/vnd.openxmlformats-officedocument.spreadsheetml.comments+xml"/>
  <Override PartName="/xl/comments22.xml" ContentType="application/vnd.openxmlformats-officedocument.spreadsheetml.comments+xml"/>
  <Override PartName="/xl/styles.xml" ContentType="application/vnd.openxmlformats-officedocument.spreadsheetml.style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comments15.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_rels/workbook.xml.rels" ContentType="application/vnd.openxmlformats-package.relationships+xml"/>
  <Override PartName="/xl/comments38.xml" ContentType="application/vnd.openxmlformats-officedocument.spreadsheetml.comments+xml"/>
  <Override PartName="/xl/comments40.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39.xml" ContentType="application/vnd.openxmlformats-officedocument.spreadsheetml.comments+xml"/>
  <Override PartName="/xl/sharedStrings.xml" ContentType="application/vnd.openxmlformats-officedocument.spreadsheetml.sharedStrings+xml"/>
  <Override PartName="/xl/comments50.xml" ContentType="application/vnd.openxmlformats-officedocument.spreadsheetml.comments+xml"/>
  <Override PartName="/xl/comments13.xml" ContentType="application/vnd.openxmlformats-officedocument.spreadsheetml.comments+xml"/>
  <Override PartName="/xl/comments11.xml" ContentType="application/vnd.openxmlformats-officedocument.spreadsheetml.comments+xml"/>
  <Override PartName="/xl/comments48.xml" ContentType="application/vnd.openxmlformats-officedocument.spreadsheetml.comments+xml"/>
  <Override PartName="/xl/comments51.xml" ContentType="application/vnd.openxmlformats-officedocument.spreadsheetml.comments+xml"/>
  <Override PartName="/xl/comments14.xml" ContentType="application/vnd.openxmlformats-officedocument.spreadsheetml.comments+xml"/>
  <Override PartName="/xl/comments12.xml" ContentType="application/vnd.openxmlformats-officedocument.spreadsheetml.comments+xml"/>
  <Override PartName="/xl/comments49.xml" ContentType="application/vnd.openxmlformats-officedocument.spreadsheetml.comments+xml"/>
  <Override PartName="/xl/comments52.xml" ContentType="application/vnd.openxmlformats-officedocument.spreadsheetml.comments+xml"/>
  <Override PartName="/xl/comments35.xml" ContentType="application/vnd.openxmlformats-officedocument.spreadsheetml.comments+xml"/>
  <Override PartName="/xl/comments34.xml" ContentType="application/vnd.openxmlformats-officedocument.spreadsheetml.comments+xml"/>
  <Override PartName="/xl/comments17.xml" ContentType="application/vnd.openxmlformats-officedocument.spreadsheetml.comments+xml"/>
  <Override PartName="/xl/comments16.xml" ContentType="application/vnd.openxmlformats-officedocument.spreadsheetml.comments+xml"/>
  <Override PartName="/xl/comments41.xml" ContentType="application/vnd.openxmlformats-officedocument.spreadsheetml.comments+xml"/>
  <Override PartName="/xl/drawings/vmlDrawing33.vml" ContentType="application/vnd.openxmlformats-officedocument.vmlDrawing"/>
  <Override PartName="/xl/drawings/vmlDrawing3.vml" ContentType="application/vnd.openxmlformats-officedocument.vmlDrawing"/>
  <Override PartName="/xl/drawings/vmlDrawing37.vml" ContentType="application/vnd.openxmlformats-officedocument.vmlDrawing"/>
  <Override PartName="/xl/drawings/drawing13.xml" ContentType="application/vnd.openxmlformats-officedocument.drawing+xml"/>
  <Override PartName="/xl/drawings/vmlDrawing2.vml" ContentType="application/vnd.openxmlformats-officedocument.vmlDrawing"/>
  <Override PartName="/xl/drawings/vmlDrawing36.vml" ContentType="application/vnd.openxmlformats-officedocument.vmlDrawing"/>
  <Override PartName="/xl/drawings/drawing12.xml" ContentType="application/vnd.openxmlformats-officedocument.drawing+xml"/>
  <Override PartName="/xl/drawings/vmlDrawing1.vml" ContentType="application/vnd.openxmlformats-officedocument.vmlDrawing"/>
  <Override PartName="/xl/drawings/vmlDrawing35.vml" ContentType="application/vnd.openxmlformats-officedocument.vmlDrawing"/>
  <Override PartName="/xl/drawings/drawing11.xml" ContentType="application/vnd.openxmlformats-officedocument.drawing+xml"/>
  <Override PartName="/xl/drawings/vmlDrawing34.vml" ContentType="application/vnd.openxmlformats-officedocument.vmlDrawing"/>
  <Override PartName="/xl/drawings/drawing10.xml" ContentType="application/vnd.openxmlformats-officedocument.drawing+xml"/>
  <Override PartName="/xl/drawings/vmlDrawing41.vml" ContentType="application/vnd.openxmlformats-officedocument.vmlDrawing"/>
  <Override PartName="/xl/drawings/drawing7.xml" ContentType="application/vnd.openxmlformats-officedocument.drawing+xml"/>
  <Override PartName="/xl/drawings/vmlDrawing5.vml" ContentType="application/vnd.openxmlformats-officedocument.vmlDrawing"/>
  <Override PartName="/xl/drawings/vmlDrawing11.vml" ContentType="application/vnd.openxmlformats-officedocument.vmlDrawing"/>
  <Override PartName="/xl/drawings/vmlDrawing15.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4.vml" ContentType="application/vnd.openxmlformats-officedocument.vmlDrawing"/>
  <Override PartName="/xl/drawings/vmlDrawing14.vml" ContentType="application/vnd.openxmlformats-officedocument.vmlDrawing"/>
  <Override PartName="/xl/drawings/vmlDrawing8.vml" ContentType="application/vnd.openxmlformats-officedocument.vmlDrawing"/>
  <Override PartName="/xl/drawings/drawing9.xml" ContentType="application/vnd.openxmlformats-officedocument.drawing+xml"/>
  <Override PartName="/xl/drawings/vmlDrawing13.vml" ContentType="application/vnd.openxmlformats-officedocument.vmlDrawing"/>
  <Override PartName="/xl/drawings/vmlDrawing7.vml" ContentType="application/vnd.openxmlformats-officedocument.vmlDrawing"/>
  <Override PartName="/xl/drawings/vmlDrawing12.vml" ContentType="application/vnd.openxmlformats-officedocument.vmlDrawing"/>
  <Override PartName="/xl/drawings/vmlDrawing6.vml" ContentType="application/vnd.openxmlformats-officedocument.vmlDrawing"/>
  <Override PartName="/xl/drawings/vmlDrawing42.vml" ContentType="application/vnd.openxmlformats-officedocument.vmlDrawing"/>
  <Override PartName="/xl/drawings/drawing8.xml" ContentType="application/vnd.openxmlformats-officedocument.drawing+xml"/>
  <Override PartName="/xl/drawings/vmlDrawing38.vml" ContentType="application/vnd.openxmlformats-officedocument.vmlDrawing"/>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vmlDrawing40.vml" ContentType="application/vnd.openxmlformats-officedocument.vmlDrawing"/>
  <Override PartName="/xl/drawings/drawing15.xml" ContentType="application/vnd.openxmlformats-officedocument.drawing+xml"/>
  <Override PartName="/xl/drawings/vmlDrawing39.vml" ContentType="application/vnd.openxmlformats-officedocument.vmlDrawing"/>
  <Override PartName="/xl/drawings/vmlDrawing16.vml" ContentType="application/vnd.openxmlformats-officedocument.vmlDrawing"/>
  <Override PartName="/xl/drawings/drawing16.xml" ContentType="application/vnd.openxmlformats-officedocument.drawing+xml"/>
  <Override PartName="/xl/drawings/vmlDrawing17.vml" ContentType="application/vnd.openxmlformats-officedocument.vmlDrawing"/>
  <Override PartName="/xl/drawings/drawing17.xml" ContentType="application/vnd.openxmlformats-officedocument.drawing+xml"/>
  <Override PartName="/xl/drawings/vmlDrawing18.vml" ContentType="application/vnd.openxmlformats-officedocument.vmlDrawing"/>
  <Override PartName="/xl/drawings/drawing18.xml" ContentType="application/vnd.openxmlformats-officedocument.drawing+xml"/>
  <Override PartName="/xl/drawings/vmlDrawing19.vml" ContentType="application/vnd.openxmlformats-officedocument.vmlDrawing"/>
  <Override PartName="/xl/drawings/vmlDrawing20.vml" ContentType="application/vnd.openxmlformats-officedocument.vmlDrawing"/>
  <Override PartName="/xl/drawings/vmlDrawing21.vml" ContentType="application/vnd.openxmlformats-officedocument.vmlDrawing"/>
  <Override PartName="/xl/drawings/vmlDrawing22.vml" ContentType="application/vnd.openxmlformats-officedocument.vmlDrawing"/>
  <Override PartName="/xl/drawings/vmlDrawing23.vml" ContentType="application/vnd.openxmlformats-officedocument.vmlDrawing"/>
  <Override PartName="/xl/drawings/vmlDrawing24.vml" ContentType="application/vnd.openxmlformats-officedocument.vmlDrawing"/>
  <Override PartName="/xl/drawings/vmlDrawing25.vml" ContentType="application/vnd.openxmlformats-officedocument.vmlDrawing"/>
  <Override PartName="/xl/drawings/drawing1.xml" ContentType="application/vnd.openxmlformats-officedocument.drawing+xml"/>
  <Override PartName="/xl/drawings/vmlDrawing26.vml" ContentType="application/vnd.openxmlformats-officedocument.vmlDrawing"/>
  <Override PartName="/xl/drawings/drawing2.xml" ContentType="application/vnd.openxmlformats-officedocument.drawing+xml"/>
  <Override PartName="/xl/drawings/vmlDrawing27.vml" ContentType="application/vnd.openxmlformats-officedocument.vmlDrawing"/>
  <Override PartName="/xl/drawings/drawing3.xml" ContentType="application/vnd.openxmlformats-officedocument.drawing+xml"/>
  <Override PartName="/xl/drawings/vmlDrawing28.vml" ContentType="application/vnd.openxmlformats-officedocument.vmlDrawing"/>
  <Override PartName="/xl/drawings/drawing4.xml" ContentType="application/vnd.openxmlformats-officedocument.drawing+xml"/>
  <Override PartName="/xl/drawings/vmlDrawing29.vml" ContentType="application/vnd.openxmlformats-officedocument.vmlDrawing"/>
  <Override PartName="/xl/drawings/vmlDrawing30.vml" ContentType="application/vnd.openxmlformats-officedocument.vmlDrawing"/>
  <Override PartName="/xl/drawings/vmlDrawing31.vml" ContentType="application/vnd.openxmlformats-officedocument.vmlDrawing"/>
  <Override PartName="/xl/drawings/vmlDrawing32.vml" ContentType="application/vnd.openxmlformats-officedocument.vmlDrawing"/>
  <Override PartName="/xl/comments24.xml" ContentType="application/vnd.openxmlformats-officedocument.spreadsheetml.comments+xml"/>
  <Override PartName="/xl/comments44.xml" ContentType="application/vnd.openxmlformats-officedocument.spreadsheetml.comments+xml"/>
  <Override PartName="/xl/worksheets/_rels/sheet16.xml.rels" ContentType="application/vnd.openxmlformats-package.relationships+xml"/>
  <Override PartName="/xl/worksheets/_rels/sheet30.xml.rels" ContentType="application/vnd.openxmlformats-package.relationships+xml"/>
  <Override PartName="/xl/worksheets/_rels/sheet31.xml.rels" ContentType="application/vnd.openxmlformats-package.relationships+xml"/>
  <Override PartName="/xl/worksheets/_rels/sheet12.xml.rels" ContentType="application/vnd.openxmlformats-package.relationships+xml"/>
  <Override PartName="/xl/worksheets/_rels/sheet49.xml.rels" ContentType="application/vnd.openxmlformats-package.relationships+xml"/>
  <Override PartName="/xl/worksheets/_rels/sheet47.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15.xml.rels" ContentType="application/vnd.openxmlformats-package.relationships+xml"/>
  <Override PartName="/xl/worksheets/_rels/sheet52.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_rels/sheet17.xml.rels" ContentType="application/vnd.openxmlformats-package.relationships+xml"/>
  <Override PartName="/xl/worksheets/_rels/sheet29.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40.xml.rels" ContentType="application/vnd.openxmlformats-package.relationships+xml"/>
  <Override PartName="/xl/worksheets/_rels/sheet41.xml.rels" ContentType="application/vnd.openxmlformats-package.relationships+xml"/>
  <Override PartName="/xl/worksheets/_rels/sheet39.xml.rels" ContentType="application/vnd.openxmlformats-package.relationships+xml"/>
  <Override PartName="/xl/worksheets/_rels/sheet42.xml.rels" ContentType="application/vnd.openxmlformats-package.relationships+xml"/>
  <Override PartName="/xl/worksheets/_rels/sheet43.xml.rels" ContentType="application/vnd.openxmlformats-package.relationships+xml"/>
  <Override PartName="/xl/worksheets/_rels/sheet44.xml.rels" ContentType="application/vnd.openxmlformats-package.relationships+xml"/>
  <Override PartName="/xl/worksheets/_rels/sheet45.xml.rels" ContentType="application/vnd.openxmlformats-package.relationships+xml"/>
  <Override PartName="/xl/worksheets/_rels/sheet46.xml.rels" ContentType="application/vnd.openxmlformats-package.relationships+xml"/>
  <Override PartName="/xl/worksheets/_rels/sheet50.xml.rels" ContentType="application/vnd.openxmlformats-package.relationships+xml"/>
  <Override PartName="/xl/worksheets/_rels/sheet11.xml.rels" ContentType="application/vnd.openxmlformats-package.relationships+xml"/>
  <Override PartName="/xl/worksheets/_rels/sheet48.xml.rels" ContentType="application/vnd.openxmlformats-package.relationships+xml"/>
  <Override PartName="/xl/worksheets/_rels/sheet13.xml.rels" ContentType="application/vnd.openxmlformats-package.relationships+xml"/>
  <Override PartName="/xl/worksheets/_rels/sheet51.xml.rels" ContentType="application/vnd.openxmlformats-package.relationships+xml"/>
  <Override PartName="/xl/worksheets/_rels/sheet14.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52.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D0. Trang chủ" sheetId="1" state="visible" r:id="rId3"/>
    <sheet name="HD1. Hướng dẫn sử dụng" sheetId="2" state="visible" r:id="rId4"/>
    <sheet name="HD2. Quy trình nghiệp vụ" sheetId="3" state="visible" r:id="rId5"/>
    <sheet name="HD3. Sổ trigger &amp; tự động" sheetId="4" state="visible" r:id="rId6"/>
    <sheet name="CH1. Danh mục lựa chọn" sheetId="5" state="visible" r:id="rId7"/>
    <sheet name="CH2. Tham số &amp; Quy tắc" sheetId="6" state="visible" r:id="rId8"/>
    <sheet name="CH3. Phân quyền" sheetId="7" state="visible" r:id="rId9"/>
    <sheet name="CH4. Thông điệp nhắc việc" sheetId="8" state="visible" r:id="rId10"/>
    <sheet name="CH5. Thuật ngữ" sheetId="9" state="visible" r:id="rId11"/>
    <sheet name="CH6. Ngưỡng KPI" sheetId="10" state="visible" r:id="rId12"/>
    <sheet name="DL01. Nhân viên" sheetId="11" state="visible" r:id="rId13"/>
    <sheet name="DL02. Khách tiềm năng" sheetId="12" state="visible" r:id="rId14"/>
    <sheet name="DL02b. Lịch sử liên hệ" sheetId="13" state="visible" r:id="rId15"/>
    <sheet name="DL03. Đặt lịch test" sheetId="14" state="visible" r:id="rId16"/>
    <sheet name="DL04. Tư vấn" sheetId="15" state="visible" r:id="rId17"/>
    <sheet name="DL05. Khóa học" sheetId="16" state="visible" r:id="rId18"/>
    <sheet name="DL06. Đăng ký" sheetId="17" state="visible" r:id="rId19"/>
    <sheet name="DL07. Thanh toán" sheetId="18" state="visible" r:id="rId20"/>
    <sheet name="DL08. Xếp lớp &amp; Nhập học" sheetId="19" state="visible" r:id="rId21"/>
    <sheet name="DL09. Học viên" sheetId="20" state="visible" r:id="rId22"/>
    <sheet name="DL10. Lớp học" sheetId="21" state="visible" r:id="rId23"/>
    <sheet name="DL11. Buổi học" sheetId="22" state="visible" r:id="rId24"/>
    <sheet name="DL12. Điểm danh" sheetId="23" state="visible" r:id="rId25"/>
    <sheet name="DL13. Bài tập" sheetId="24" state="visible" r:id="rId26"/>
    <sheet name="DL14. Buổi WOW 1-1" sheetId="25" state="visible" r:id="rId27"/>
    <sheet name="DL15. Khảo sát" sheetId="26" state="visible" r:id="rId28"/>
    <sheet name="DL16. Phản hồi" sheetId="27" state="visible" r:id="rId29"/>
    <sheet name="DL17. Khiếu nại" sheetId="28" state="visible" r:id="rId30"/>
    <sheet name="DL18. Kết thúc khóa" sheetId="29" state="visible" r:id="rId31"/>
    <sheet name="DL19. Lịch làm việc WOW" sheetId="30" state="visible" r:id="rId32"/>
    <sheet name="VH0. Tìm kiếm" sheetId="31" state="visible" r:id="rId33"/>
    <sheet name="VH1. Tra cứu Lớp" sheetId="32" state="visible" r:id="rId34"/>
    <sheet name="VH2. Tra cứu Học viên" sheetId="33" state="visible" r:id="rId35"/>
    <sheet name="VH3. Tra cứu Giảng viên" sheetId="34" state="visible" r:id="rId36"/>
    <sheet name="VH3b. Tra cứu NV WOW" sheetId="35" state="visible" r:id="rId37"/>
    <sheet name="VH4. Tra cứu Khách tiềm năng" sheetId="36" state="visible" r:id="rId38"/>
    <sheet name="VH5. Việc - Chăm khách" sheetId="37" state="visible" r:id="rId39"/>
    <sheet name="VH6. Việc - Học viên nguy cơ" sheetId="38" state="visible" r:id="rId40"/>
    <sheet name="VH7. Việc - Test chờ chấm" sheetId="39" state="visible" r:id="rId41"/>
    <sheet name="VH8. Việc - Thu học phí" sheetId="40" state="visible" r:id="rId42"/>
    <sheet name="VH9. Việc - Lớp sắp khai giảng" sheetId="41" state="visible" r:id="rId43"/>
    <sheet name="VH10. Việc - Khiếu nại" sheetId="42" state="visible" r:id="rId44"/>
    <sheet name="VH11. Khối lượng việc theo NV" sheetId="43" state="visible" r:id="rId45"/>
    <sheet name="BC1. Học viên nguy cơ" sheetId="44" state="visible" r:id="rId46"/>
    <sheet name="BC2. Chỉ số KPI" sheetId="45" state="visible" r:id="rId47"/>
    <sheet name="BC3. Phễu khách tiềm năng" sheetId="46" state="visible" r:id="rId48"/>
    <sheet name="BC4. Báo cáo tháng" sheetId="47" state="visible" r:id="rId49"/>
    <sheet name="BC5. Bảng NV Tư vấn" sheetId="48" state="visible" r:id="rId50"/>
    <sheet name="BC6. Bảng NV WOW" sheetId="49" state="visible" r:id="rId51"/>
    <sheet name="BC7. Bảng Giảng viên" sheetId="50" state="visible" r:id="rId52"/>
    <sheet name="BC8. Bảng Học vụ" sheetId="51" state="visible" r:id="rId53"/>
    <sheet name="BC9. Bảng Quản lý" sheetId="52" state="visible" r:id="rId54"/>
  </sheets>
  <definedNames>
    <definedName function="false" hidden="true" localSheetId="10" name="_xlnm._FilterDatabase" vbProcedure="false">'DL01. Nhân viên'!$A$1:$K$38</definedName>
    <definedName function="false" hidden="true" localSheetId="11" name="_xlnm._FilterDatabase" vbProcedure="false">'DL02. Khách tiềm năng'!$A$1:$S$16</definedName>
    <definedName function="false" hidden="true" localSheetId="13" name="_xlnm._FilterDatabase" vbProcedure="false">'DL03. Đặt lịch test'!$A$1:$S$6</definedName>
    <definedName function="false" hidden="true" localSheetId="14" name="_xlnm._FilterDatabase" vbProcedure="false">'DL04. Tư vấn'!$A$1:$M$5</definedName>
    <definedName function="false" hidden="true" localSheetId="15" name="_xlnm._FilterDatabase" vbProcedure="false">'DL05. Khóa học'!$A$1:$J$11</definedName>
    <definedName function="false" hidden="true" localSheetId="16" name="_xlnm._FilterDatabase" vbProcedure="false">'DL06. Đăng ký'!$A$1:$R$9</definedName>
    <definedName function="false" hidden="true" localSheetId="17" name="_xlnm._FilterDatabase" vbProcedure="false">'DL07. Thanh toán'!$A$1:$N$9</definedName>
    <definedName function="false" hidden="true" localSheetId="18" name="_xlnm._FilterDatabase" vbProcedure="false">'DL08. Xếp lớp &amp; Nhập học'!$A$1:$O$8</definedName>
    <definedName function="false" hidden="true" localSheetId="19" name="_xlnm._FilterDatabase" vbProcedure="false">'DL09. Học viên'!$A$1:$R$9</definedName>
    <definedName function="false" hidden="true" localSheetId="20" name="_xlnm._FilterDatabase" vbProcedure="false">'DL10. Lớp học'!$A$1:$O$15</definedName>
    <definedName function="false" hidden="true" localSheetId="21" name="_xlnm._FilterDatabase" vbProcedure="false">'DL11. Buổi học'!$A$1:$P$9</definedName>
    <definedName function="false" hidden="true" localSheetId="22" name="_xlnm._FilterDatabase" vbProcedure="false">'DL12. Điểm danh'!$A$1:$I$13</definedName>
    <definedName function="false" hidden="true" localSheetId="23" name="_xlnm._FilterDatabase" vbProcedure="false">'DL13. Bài tập'!$A$1:$S$9</definedName>
    <definedName function="false" hidden="true" localSheetId="24" name="_xlnm._FilterDatabase" vbProcedure="false">'DL14. Buổi WOW 1-1'!$A$1:$R$9</definedName>
    <definedName function="false" hidden="true" localSheetId="25" name="_xlnm._FilterDatabase" vbProcedure="false">'DL15. Khảo sát'!$A$1:$Q$8</definedName>
    <definedName function="false" hidden="true" localSheetId="26" name="_xlnm._FilterDatabase" vbProcedure="false">'DL16. Phản hồi'!$A$1:$Q$7</definedName>
    <definedName function="false" hidden="true" localSheetId="27" name="_xlnm._FilterDatabase" vbProcedure="false">'DL17. Khiếu nại'!$A$1:$S$6</definedName>
    <definedName function="false" hidden="true" localSheetId="28" name="_xlnm._FilterDatabase" vbProcedure="false">'DL18. Kết thúc khóa'!$A$1:$X$6</definedName>
    <definedName function="false" hidden="false" name="enum_absence_type" vbProcedure="false">'CH1. Danh mục lựa chọn'!$B$176:$B$177</definedName>
    <definedName function="false" hidden="false" name="enum_academic_progress_status" vbProcedure="false">'CH1. Danh mục lựa chọn'!$B$194:$B$196</definedName>
    <definedName function="false" hidden="false" name="enum_academic_risk_reason" vbProcedure="false">'CH1. Danh mục lựa chọn'!$B$200:$B$204</definedName>
    <definedName function="false" hidden="false" name="enum_achievement_status" vbProcedure="false">'CH1. Danh mục lựa chọn'!$B$353:$B$355</definedName>
    <definedName function="false" hidden="false" name="enum_attendance_progress_status" vbProcedure="false">'CH1. Danh mục lựa chọn'!$B$181:$B$183</definedName>
    <definedName function="false" hidden="false" name="enum_attendance_risk_reason" vbProcedure="false">'CH1. Danh mục lựa chọn'!$B$187:$B$190</definedName>
    <definedName function="false" hidden="false" name="enum_attendance_status" vbProcedure="false">'CH1. Danh mục lựa chọn'!$B$170:$B$172</definedName>
    <definedName function="false" hidden="false" name="enum_booking_status" vbProcedure="false">'CH1. Danh mục lựa chọn'!$B$70:$B$73</definedName>
    <definedName function="false" hidden="false" name="enum_branch" vbProcedure="false">'CH1. Danh mục lựa chọn'!$B$423:$B$428</definedName>
    <definedName function="false" hidden="false" name="enum_cancel_reason" vbProcedure="false">'CH1. Danh mục lựa chọn'!$B$221:$B$223</definedName>
    <definedName function="false" hidden="false" name="enum_class_confirmation_status" vbProcedure="false">'CH1. Danh mục lựa chọn'!$B$151:$B$153</definedName>
    <definedName function="false" hidden="false" name="enum_class_level" vbProcedure="false">'CH1. Danh mục lựa chọn'!$B$406:$B$419</definedName>
    <definedName function="false" hidden="false" name="enum_class_status" vbProcedure="false">'CH1. Danh mục lựa chọn'!$B$398:$B$402</definedName>
    <definedName function="false" hidden="false" name="enum_complaint_channel" vbProcedure="false">'CH1. Danh mục lựa chọn'!$B$317:$B$320</definedName>
    <definedName function="false" hidden="false" name="enum_complaint_result" vbProcedure="false">'CH1. Danh mục lựa chọn'!$B$347:$B$349</definedName>
    <definedName function="false" hidden="false" name="enum_complaint_severity" vbProcedure="false">'CH1. Danh mục lựa chọn'!$B$333:$B$335</definedName>
    <definedName function="false" hidden="false" name="enum_complaint_status" vbProcedure="false">'CH1. Danh mục lựa chọn'!$B$339:$B$343</definedName>
    <definedName function="false" hidden="false" name="enum_complaint_type" vbProcedure="false">'CH1. Danh mục lựa chọn'!$B$324:$B$329</definedName>
    <definedName function="false" hidden="false" name="enum_consultation_status" vbProcedure="false">'CH1. Danh mục lựa chọn'!$B$99:$B$101</definedName>
    <definedName function="false" hidden="false" name="enum_contact_channel" vbProcedure="false">'CH1. Danh mục lựa chọn'!$B$36:$B$41</definedName>
    <definedName function="false" hidden="false" name="enum_contact_direction" vbProcedure="false">'CH1. Danh mục lựa chọn'!$B$45:$B$46</definedName>
    <definedName function="false" hidden="false" name="enum_conversion_status" vbProcedure="false">'CH1. Danh mục lựa chọn'!$B$105:$B$108</definedName>
    <definedName function="false" hidden="false" name="enum_discount_type" vbProcedure="false">'CH1. Danh mục lựa chọn'!$B$134:$B$140</definedName>
    <definedName function="false" hidden="false" name="enum_enrollment_status" vbProcedure="false">'CH1. Danh mục lựa chọn'!$B$112:$B$114</definedName>
    <definedName function="false" hidden="false" name="enum_feedback_category" vbProcedure="false">'CH1. Danh mục lựa chọn'!$B$303:$B$307</definedName>
    <definedName function="false" hidden="false" name="enum_feedback_channel" vbProcedure="false">'CH1. Danh mục lựa chọn'!$B$289:$B$293</definedName>
    <definedName function="false" hidden="false" name="enum_feedback_status" vbProcedure="false">'CH1. Danh mục lựa chọn'!$B$311:$B$313</definedName>
    <definedName function="false" hidden="false" name="enum_feedback_type" vbProcedure="false">'CH1. Danh mục lựa chọn'!$B$297:$B$299</definedName>
    <definedName function="false" hidden="false" name="enum_homework_skill" vbProcedure="false">'CH1. Danh mục lựa chọn'!$B$235:$B$241</definedName>
    <definedName function="false" hidden="false" name="enum_homework_status" vbProcedure="false">'CH1. Danh mục lựa chọn'!$B$227:$B$231</definedName>
    <definedName function="false" hidden="false" name="enum_in_class_performance" vbProcedure="false">'CH1. Danh mục lựa chọn'!$B$208:$B$210</definedName>
    <definedName function="false" hidden="false" name="enum_lead_qualification_status" vbProcedure="false">'CH1. Danh mục lựa chọn'!$B$20:$B$22</definedName>
    <definedName function="false" hidden="false" name="enum_lead_source" vbProcedure="false">'CH1. Danh mục lựa chọn'!$B$6:$B$16</definedName>
    <definedName function="false" hidden="false" name="enum_lead_status" vbProcedure="false">'CH1. Danh mục lựa chọn'!$B$26:$B$32</definedName>
    <definedName function="false" hidden="false" name="enum_learning_goal_type" vbProcedure="false">'CH1. Danh mục lựa chọn'!$B$56:$B$60</definedName>
    <definedName function="false" hidden="false" name="enum_learning_mode" vbProcedure="false">'CH1. Danh mục lựa chọn'!$B$64:$B$66</definedName>
    <definedName function="false" hidden="false" name="enum_onboarding_status" vbProcedure="false">'CH1. Danh mục lựa chọn'!$B$157:$B$159</definedName>
    <definedName function="false" hidden="false" name="enum_payment_method" vbProcedure="false">'CH1. Danh mục lựa chọn'!$B$118:$B$123</definedName>
    <definedName function="false" hidden="false" name="enum_payment_status" vbProcedure="false">'CH1. Danh mục lựa chọn'!$B$127:$B$130</definedName>
    <definedName function="false" hidden="false" name="enum_placement_status" vbProcedure="false">'CH1. Danh mục lựa chọn'!$B$144:$B$147</definedName>
    <definedName function="false" hidden="false" name="enum_post_test_status" vbProcedure="false">'CH1. Danh mục lựa chọn'!$B$93:$B$95</definedName>
    <definedName function="false" hidden="false" name="enum_re_enrollment_status" vbProcedure="false">'CH1. Danh mục lựa chọn'!$B$359:$B$363</definedName>
    <definedName function="false" hidden="false" name="enum_session_status" vbProcedure="false">'CH1. Danh mục lựa chọn'!$B$214:$B$217</definedName>
    <definedName function="false" hidden="false" name="enum_staff_role" vbProcedure="false">'CH1. Danh mục lựa chọn'!$B$367:$B$388</definedName>
    <definedName function="false" hidden="false" name="enum_staff_status" vbProcedure="false">'CH1. Danh mục lựa chọn'!$B$392:$B$394</definedName>
    <definedName function="false" hidden="false" name="enum_student_status" vbProcedure="false">'CH1. Danh mục lựa chọn'!$B$163:$B$166</definedName>
    <definedName function="false" hidden="false" name="enum_student_type" vbProcedure="false">'CH1. Danh mục lựa chọn'!$B$50:$B$52</definedName>
    <definedName function="false" hidden="false" name="enum_survey_type" vbProcedure="false">'CH1. Danh mục lựa chọn'!$B$281:$B$285</definedName>
    <definedName function="false" hidden="false" name="enum_test_attendance_status" vbProcedure="false">'CH1. Danh mục lựa chọn'!$B$82:$B$84</definedName>
    <definedName function="false" hidden="false" name="enum_test_format" vbProcedure="false">'CH1. Danh mục lựa chọn'!$B$77:$B$78</definedName>
    <definedName function="false" hidden="false" name="enum_test_status" vbProcedure="false">'CH1. Danh mục lựa chọn'!$B$88:$B$89</definedName>
    <definedName function="false" hidden="false" name="enum_wow_booked_by" vbProcedure="false">'CH1. Danh mục lựa chọn'!$B$252:$B$256</definedName>
    <definedName function="false" hidden="false" name="enum_wow_no_show_reason" vbProcedure="false">'CH1. Danh mục lựa chọn'!$B$274:$B$277</definedName>
    <definedName function="false" hidden="false" name="enum_wow_outcome" vbProcedure="false">'CH1. Danh mục lựa chọn'!$B$268:$B$270</definedName>
    <definedName function="false" hidden="false" name="enum_wow_session_type" vbProcedure="false">'CH1. Danh mục lựa chọn'!$B$245:$B$248</definedName>
    <definedName function="false" hidden="false" name="enum_wow_slot_status" vbProcedure="false">'CH1. Danh mục lựa chọn'!$B$432:$B$435</definedName>
    <definedName function="false" hidden="false" name="enum_wow_status" vbProcedure="false">'CH1. Danh mục lựa chọn'!$B$260:$B$264</definedName>
    <definedName function="false" hidden="false" name="kpiThreshold_ADC" vbProcedure="false">'CH6. Ngưỡng KPI'!$C$38</definedName>
    <definedName function="false" hidden="false" name="kpiThreshold_AIR" vbProcedure="false">'CH6. Ngưỡng KPI'!$C$25</definedName>
    <definedName function="false" hidden="false" name="kpiThreshold_ANR" vbProcedure="false">'CH6. Ngưỡng KPI'!$C$11</definedName>
    <definedName function="false" hidden="false" name="kpiThreshold_AR" vbProcedure="false">'CH6. Ngưỡng KPI'!$C$46</definedName>
    <definedName function="false" hidden="false" name="kpiThreshold_ARR" vbProcedure="false">'CH6. Ngưỡng KPI'!$C$24</definedName>
    <definedName function="false" hidden="false" name="kpiThreshold_ATR" vbProcedure="false">'CH6. Ngưỡng KPI'!$C$22</definedName>
    <definedName function="false" hidden="false" name="kpiThreshold_CAR" vbProcedure="false">'CH6. Ngưỡng KPI'!$C$17</definedName>
    <definedName function="false" hidden="false" name="kpiThreshold_CIR" vbProcedure="false">'CH6. Ngưỡng KPI'!$C$30</definedName>
    <definedName function="false" hidden="false" name="kpiThreshold_CLR" vbProcedure="false">'CH6. Ngưỡng KPI'!$C$19</definedName>
    <definedName function="false" hidden="false" name="kpiThreshold_CR10" vbProcedure="false">'CH6. Ngưỡng KPI'!$C$32</definedName>
    <definedName function="false" hidden="false" name="kpiThreshold_CR3" vbProcedure="false">'CH6. Ngưỡng KPI'!$C$12</definedName>
    <definedName function="false" hidden="false" name="kpiThreshold_CTR" vbProcedure="false">'CH6. Ngưỡng KPI'!$C$45</definedName>
    <definedName function="false" hidden="false" name="kpiThreshold_CUR" vbProcedure="false">'CH6. Ngưỡng KPI'!$C$20</definedName>
    <definedName function="false" hidden="false" name="kpiThreshold_CVR" vbProcedure="false">'CH6. Ngưỡng KPI'!$C$13</definedName>
    <definedName function="false" hidden="false" name="kpiThreshold_DOR" vbProcedure="false">'CH6. Ngưỡng KPI'!$C$47</definedName>
    <definedName function="false" hidden="false" name="kpiThreshold_DR3" vbProcedure="false">'CH6. Ngưỡng KPI'!$C$14</definedName>
    <definedName function="false" hidden="false" name="kpiThreshold_FTR" vbProcedure="false">'CH6. Ngưỡng KPI'!$C$42</definedName>
    <definedName function="false" hidden="false" name="kpiThreshold_FUR" vbProcedure="false">'CH6. Ngưỡng KPI'!$C$34</definedName>
    <definedName function="false" hidden="false" name="kpiThreshold_GCR7" vbProcedure="false">'CH6. Ngưỡng KPI'!$C$27</definedName>
    <definedName function="false" hidden="false" name="kpiThreshold_GLA" vbProcedure="false">'CH6. Ngưỡng KPI'!$C$10</definedName>
    <definedName function="false" hidden="false" name="kpiThreshold_HCR" vbProcedure="false">'CH6. Ngưỡng KPI'!$C$35</definedName>
    <definedName function="false" hidden="false" name="kpiThreshold_NER" vbProcedure="false">'CH6. Ngưỡng KPI'!$C$29</definedName>
    <definedName function="false" hidden="false" name="kpiThreshold_NPS" vbProcedure="false">'CH6. Ngưỡng KPI'!$C$43</definedName>
    <definedName function="false" hidden="false" name="kpiThreshold_NSR" vbProcedure="false">'CH6. Ngưỡng KPI'!$C$8</definedName>
    <definedName function="false" hidden="false" name="kpiThreshold_OTR7" vbProcedure="false">'CH6. Ngưỡng KPI'!$C$36</definedName>
    <definedName function="false" hidden="false" name="kpiThreshold_PCR" vbProcedure="false">'CH6. Ngưỡng KPI'!$C$16</definedName>
    <definedName function="false" hidden="false" name="kpiThreshold_PLR48" vbProcedure="false">'CH6. Ngưỡng KPI'!$C$18</definedName>
    <definedName function="false" hidden="false" name="kpiThreshold_PTD" vbProcedure="false">'CH6. Ngưỡng KPI'!$C$9</definedName>
    <definedName function="false" hidden="false" name="kpiThreshold_RCR" vbProcedure="false">'CH6. Ngưỡng KPI'!$C$26</definedName>
    <definedName function="false" hidden="false" name="kpiThreshold_RER" vbProcedure="false">'CH6. Ngưỡng KPI'!$C$33</definedName>
    <definedName function="false" hidden="false" name="kpiThreshold_RR" vbProcedure="false">'CH6. Ngưỡng KPI'!$C$31</definedName>
    <definedName function="false" hidden="false" name="kpiThreshold_RTR" vbProcedure="false">'CH6. Ngưỡng KPI'!$C$48</definedName>
    <definedName function="false" hidden="false" name="kpiThreshold_SLA_R" vbProcedure="false">'CH6. Ngưỡng KPI'!$C$44</definedName>
    <definedName function="false" hidden="false" name="kpiThreshold_SPR" vbProcedure="false">'CH6. Ngưỡng KPI'!$C$39</definedName>
    <definedName function="false" hidden="false" name="kpiThreshold_SRR" vbProcedure="false">'CH6. Ngưỡng KPI'!$C$41</definedName>
    <definedName function="false" hidden="false" name="kpiThreshold_SS" vbProcedure="false">'CH6. Ngưỡng KPI'!$C$40</definedName>
    <definedName function="false" hidden="false" name="kpiThreshold_TAR" vbProcedure="false">'CH6. Ngưỡng KPI'!$C$7</definedName>
    <definedName function="false" hidden="false" name="kpiThreshold_TBR" vbProcedure="false">'CH6. Ngưỡng KPI'!$C$6</definedName>
    <definedName function="false" hidden="false" name="kpiThreshold_TCR" vbProcedure="false">'CH6. Ngưỡng KPI'!$C$49</definedName>
    <definedName function="false" hidden="false" name="kpiThreshold_TNR" vbProcedure="false">'CH6. Ngưỡng KPI'!$C$37</definedName>
    <definedName function="false" hidden="false" name="kpiThreshold_UAR" vbProcedure="false">'CH6. Ngưỡng KPI'!$C$23</definedName>
    <definedName function="false" hidden="false" name="kpiThreshold_VLR" vbProcedure="false">'CH6. Ngưỡng KPI'!$C$5</definedName>
    <definedName function="false" hidden="false" name="kpiThreshold_WOR" vbProcedure="false">'CH6. Ngưỡng KPI'!$C$28</definedName>
    <definedName function="false" hidden="false" name="kpiThreshold_WRR" vbProcedure="false">'CH6. Ngưỡng KPI'!$C$51</definedName>
    <definedName function="false" hidden="false" name="kpiThreshold_WSR" vbProcedure="false">'CH6. Ngưỡng KPI'!$C$50</definedName>
    <definedName function="false" hidden="false" name="refundFull_days" vbProcedure="false">'CH2. Tham số &amp; Quy tắc'!$B$56</definedName>
    <definedName function="false" hidden="false" name="refundPartial_days" vbProcedure="false">'CH2. Tham số &amp; Quy tắc'!$B$57</definedName>
    <definedName function="false" hidden="false" name="refundReduced_days" vbProcedure="false">'CH2. Tham số &amp; Quy tắc'!$B$58</definedName>
    <definedName function="false" hidden="false" name="slaAbsenceCall_hours" vbProcedure="false">'CH2. Tham số &amp; Quy tắc'!$B$21</definedName>
    <definedName function="false" hidden="false" name="slaActivity_inactive_days" vbProcedure="false">'CH2. Tham số &amp; Quy tắc'!$B$31</definedName>
    <definedName function="false" hidden="false" name="slaApproval_days" vbProcedure="false">'CH2. Tham số &amp; Quy tắc'!$B$12</definedName>
    <definedName function="false" hidden="false" name="slaClassInfoZalo_hours" vbProcedure="false">'CH2. Tham số &amp; Quy tắc'!$B$16</definedName>
    <definedName function="false" hidden="false" name="slaComplaintClose_days" vbProcedure="false">'CH2. Tham số &amp; Quy tắc'!$B$43</definedName>
    <definedName function="false" hidden="false" name="slaCVT_hours" vbProcedure="false">'CH2. Tham số &amp; Quy tắc'!$B$10</definedName>
    <definedName function="false" hidden="false" name="slaENR_cancel_hours" vbProcedure="false">'CH2. Tham số &amp; Quy tắc'!$B$14</definedName>
    <definedName function="false" hidden="false" name="slaENR_pending_hours" vbProcedure="false">'CH2. Tham số &amp; Quy tắc'!$B$13</definedName>
    <definedName function="false" hidden="false" name="slaFB_classify_hours" vbProcedure="false">'CH2. Tham số &amp; Quy tắc'!$B$26</definedName>
    <definedName function="false" hidden="false" name="slaFinalTest_days" vbProcedure="false">'CH2. Tham số &amp; Quy tắc'!$B$32</definedName>
    <definedName function="false" hidden="false" name="slaFollowup_grace_days" vbProcedure="false">'CH2. Tham số &amp; Quy tắc'!$B$11</definedName>
    <definedName function="false" hidden="false" name="slaGLA_hours" vbProcedure="false">'CH2. Tham số &amp; Quy tắc'!$B$9</definedName>
    <definedName function="false" hidden="false" name="slaHomeworkGrading_hours" vbProcedure="false">'CH2. Tham số &amp; Quy tắc'!$B$22</definedName>
    <definedName function="false" hidden="false" name="slaKN_assignment_hours" vbProcedure="false">'CH2. Tham số &amp; Quy tắc'!$B$27</definedName>
    <definedName function="false" hidden="false" name="slaKN_high_hours" vbProcedure="false">'CH2. Tham số &amp; Quy tắc'!$B$28</definedName>
    <definedName function="false" hidden="false" name="slaKN_low_hours" vbProcedure="false">'CH2. Tham số &amp; Quy tắc'!$B$30</definedName>
    <definedName function="false" hidden="false" name="slaKN_medium_hours" vbProcedure="false">'CH2. Tham số &amp; Quy tắc'!$B$29</definedName>
    <definedName function="false" hidden="false" name="slaLeadReassign_hours" vbProcedure="false">'CH2. Tham số &amp; Quy tắc'!$B$8</definedName>
    <definedName function="false" hidden="false" name="slaLRT_minutes" vbProcedure="false">'CH2. Tham số &amp; Quy tắc'!$B$7</definedName>
    <definedName function="false" hidden="false" name="slaNoteReview_hours" vbProcedure="false">'CH2. Tham số &amp; Quy tắc'!$B$38</definedName>
    <definedName function="false" hidden="false" name="slaOBT_hours" vbProcedure="false">'CH2. Tham số &amp; Quy tắc'!$B$18</definedName>
    <definedName function="false" hidden="false" name="slaPaymentConfirm_days" vbProcedure="false">'CH2. Tham số &amp; Quy tắc'!$B$36</definedName>
    <definedName function="false" hidden="false" name="slaPayment_grace_days" vbProcedure="false">'CH2. Tham số &amp; Quy tắc'!$B$15</definedName>
    <definedName function="false" hidden="false" name="slaPLR48_hours" vbProcedure="false">'CH2. Tham số &amp; Quy tắc'!$B$17</definedName>
    <definedName function="false" hidden="false" name="slaQuote_days" vbProcedure="false">'CH2. Tham số &amp; Quy tắc'!$B$35</definedName>
    <definedName function="false" hidden="false" name="slaReenrollSchedule_days" vbProcedure="false">'CH2. Tham số &amp; Quy tắc'!$B$34</definedName>
    <definedName function="false" hidden="false" name="slaReenroll_contact_days" vbProcedure="false">'CH2. Tham số &amp; Quy tắc'!$B$33</definedName>
    <definedName function="false" hidden="false" name="slaRefundProcess_days" vbProcedure="false">'CH2. Tham số &amp; Quy tắc'!$B$37</definedName>
    <definedName function="false" hidden="false" name="slaRiskFlagUpdate_hours" vbProcedure="false">'CH2. Tham số &amp; Quy tắc'!$B$39</definedName>
    <definedName function="false" hidden="false" name="slaSurveyCollect_days" vbProcedure="false">'CH2. Tham số &amp; Quy tắc'!$B$41</definedName>
    <definedName function="false" hidden="false" name="slaSurveyReport_hours" vbProcedure="false">'CH2. Tham số &amp; Quy tắc'!$B$25</definedName>
    <definedName function="false" hidden="false" name="slaTeacherAttendance_minutes" vbProcedure="false">'CH2. Tham số &amp; Quy tắc'!$B$19</definedName>
    <definedName function="false" hidden="false" name="slaTeacherNote_hours" vbProcedure="false">'CH2. Tham số &amp; Quy tắc'!$B$20</definedName>
    <definedName function="false" hidden="false" name="slaTestimonialAsk_days" vbProcedure="false">'CH2. Tham số &amp; Quy tắc'!$B$42</definedName>
    <definedName function="false" hidden="false" name="slaWowBooking_hours" vbProcedure="false">'CH2. Tham số &amp; Quy tắc'!$B$40</definedName>
    <definedName function="false" hidden="false" name="slaWowOutcomeRead_hours" vbProcedure="false">'CH2. Tham số &amp; Quy tắc'!$B$24</definedName>
    <definedName function="false" hidden="false" name="slaWowQuotaCheck_hours" vbProcedure="false">'CH2. Tham số &amp; Quy tắc'!$B$23</definedName>
    <definedName function="false" hidden="false" name="thresholdAtRisk_absences" vbProcedure="false">'CH2. Tham số &amp; Quy tắc'!$B$47</definedName>
    <definedName function="false" hidden="false" name="thresholdAtRisk_hw_missing" vbProcedure="false">'CH2. Tham số &amp; Quy tắc'!$B$48</definedName>
    <definedName function="false" hidden="false" name="thresholdClassStart_days" vbProcedure="false">'CH2. Tham số &amp; Quy tắc'!$B$52</definedName>
    <definedName function="false" hidden="false" name="thresholdContacted_attempts" vbProcedure="false">'CH2. Tham số &amp; Quy tắc'!$B$45</definedName>
    <definedName function="false" hidden="false" name="thresholdContacted_days" vbProcedure="false">'CH2. Tham số &amp; Quy tắc'!$B$46</definedName>
    <definedName function="false" hidden="false" name="thresholdDeposit_minimum" vbProcedure="false">'CH2. Tham số &amp; Quy tắc'!$B$50</definedName>
    <definedName function="false" hidden="false" name="thresholdDiscount_approval" vbProcedure="false">'CH2. Tham số &amp; Quy tắc'!$B$49</definedName>
    <definedName function="false" hidden="false" name="thresholdPlacementChange_count" vbProcedure="false">'CH2. Tham số &amp; Quy tắc'!$B$51</definedName>
    <definedName function="false" hidden="false" name="thresholdPreEnd_days" vbProcedure="false">'CH2. Tham số &amp; Quy tắc'!$B$53</definedName>
    <definedName function="false" hidden="false" name="thresholdReenrollLost_days" vbProcedure="false">'CH2. Tham số &amp; Quy tắc'!$B$54</definedName>
    <definedName function="false" hidden="false" name="wowQuota_default_sessions" vbProcedure="false">'CH2. Tham số &amp; Quy tắc'!$B$60</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sách toàn bộ nhân sự nội bộ (tư vấn, học vụ, giáo viên) kèm vai trò và liên hệ.
AI DÙNG: Quản lý và mọi NV cần tra người phụ trách.
KHI NÀO: Khi thêm/sửa nhân sự hoặc cần biết ai làm việc gì.
XEM XONG LÀM GÌ: Dùng mã NV ở đây để gán việc tại các sheet khác.</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sách khách tiềm năng (lead) chưa đăng ký học.
AI DÙNG: Nhân viên Tư vấn.
KHI NÀO: Khi có lead mới hoặc cần chăm sóc lead.
XEM XONG LÀM GÌ: Làm theo cột "Việc cần làm" để gọi/chốt đúng hạn.</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Nhật ký mỗi lần liên hệ với lead (gọi, nhắn, hẹn).
AI DÙNG: Nhân viên Tư vấn.
KHI NÀO: Ghi lại ngay sau mỗi lần liên hệ khách.
XEM XONG LÀM GÌ: Số lần liên hệ tự đếm về sheet Khách tiềm năng.
----
GHI CHÚ CỘT "touchpoint_id": LỊCH SỬ LIÊN HỆ (CRM): mỗi lần liên hệ với 1 lead là 1 dòng. Ghi đủ thời gian, kênh, chiều (khách đến/NV đi), nội dung. Từ DL02 bấm "Xem lịch sử" sẽ nhảy tới đây. DL02 tự lấy "liên hệ đầu/gần nhất/số lần" từ sheet này.</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Lịch test đầu vào và kết quả test của khách.
AI DÙNG: Nhân viên Tư vấn và người chấm test.
KHI NÀO: Khi đặt lịch test hoặc khi có kết quả test.
XEM XONG LÀM GÌ: Làm theo "Việc cần làm" để chấm và tư vấn đúng hạn.</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Các buổi tư vấn cho khách sau khi có kết quả test.
AI DÙNG: Nhân viên Tư vấn.
KHI NÀO: Sau khi khách có điểm test, trước khi đăng ký.
XEM XONG LÀM GÌ: Chốt đăng ký hoặc tiếp tục theo dõi theo "Việc cần làm".</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mục khóa học: tên, giá, số buổi, cấp độ band.
AI DÙNG: Tư vấn, học vụ, quản lý.
KHI NÀO: Khi mở khóa mới hoặc đổi giá/cấu hình khóa.
XEM XONG LÀM GÌ: Mã khóa ở đây được dùng khi đăng ký và xếp lớp.</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Các lượt đăng ký khóa của HV: học phí, giảm giá, trạng thái.
AI DÙNG: Tư vấn và kế toán.
KHI NÀO: Khi khách đồng ý học và đăng ký.
XEM XONG LÀM GÌ: Làm theo "Việc cần làm" để xác nhận, thu tiền, xếp lớp.</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Các đợt đóng học phí của từng đăng ký.
AI DÙNG: Kế toán, học vụ.
KHI NÀO: Mỗi lần HV đóng tiền.
XEM XONG LÀM GÌ: Theo dõi công nợ còn lại ở cột tương ứng.</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Xếp lớp cho HV đã đăng ký và làm thủ tục nhập học.
AI DÙNG: Học vụ.
KHI NÀO: Sau khi đăng ký được xác nhận.
XEM XONG LÀM GÌ: Làm theo "Việc cần làm" để xếp lớp và nhập học đúng hạn.</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Hồ sơ học viên đang học và đã học, kèm tình trạng học tập.
AI DÙNG: Học vụ.
KHI NÀO: Khi HV nhập học hoặc khi cập nhật tình trạng.
XEM XONG LÀM GÌ: Theo dõi HV nguy cơ và quota WOW ở "Việc cần làm".</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sách lớp học: giáo viên, lịch, sĩ số.
AI DÙNG: Học vụ.
KHI NÀO: Khi mở lớp hoặc đổi thông tin lớp.
XEM XONG LÀM GÌ: Mã lớp ở đây dùng khi xếp HV và ghi buổi học.</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Từng buổi học của mỗi lớp: giờ dạy, giáo viên, ghi chú buổi.
AI DÙNG: Giáo viên và học vụ.
KHI NÀO: Trước và sau mỗi buổi học.
XEM XONG LÀM GÌ: Làm theo "Việc cần làm" để viết ghi chú buổi đúng hạn.
----
GHI CHÚ CỘT "session_id": Mã buổi duy nhất: SES-001, SES-002...</t>
        </r>
      </text>
    </comment>
    <comment ref="B1" authorId="0">
      <text>
        <r>
          <rPr>
            <sz val="10"/>
            <rFont val="Arial"/>
            <family val="2"/>
          </rPr>
          <t xml:space="preserve">Bấm để xem thông tin lớp.</t>
        </r>
      </text>
    </comment>
    <comment ref="E1" authorId="0">
      <text>
        <r>
          <rPr>
            <sz val="10"/>
            <rFont val="Arial"/>
            <family val="2"/>
          </rPr>
          <t xml:space="preserve">Giờ bắt đầu theo lịch.</t>
        </r>
      </text>
    </comment>
    <comment ref="F1" authorId="0">
      <text>
        <r>
          <rPr>
            <sz val="10"/>
            <rFont val="Arial"/>
            <family val="2"/>
          </rPr>
          <t xml:space="preserve">Giờ GV BẤM "BẮT ĐẦU" thực tế trên app. Khác lịch nếu GV trễ.</t>
        </r>
      </text>
    </comment>
    <comment ref="H1" authorId="0">
      <text>
        <r>
          <rPr>
            <sz val="10"/>
            <rFont val="Arial"/>
            <family val="2"/>
          </rPr>
          <t xml:space="preserve">Tự tính: F - E (chỉ tính phút). Nếu &gt; 5 → ghi nhận lý do.</t>
        </r>
      </text>
    </comment>
    <comment ref="K1" authorId="0">
      <text>
        <r>
          <rPr>
            <sz val="10"/>
            <rFont val="Arial"/>
            <family val="2"/>
          </rPr>
          <t xml:space="preserve">TRUE khi GV viết teacher_note 6 phần đầy đủ.</t>
        </r>
      </text>
    </comment>
    <comment ref="M1" authorId="0">
      <text>
        <r>
          <rPr>
            <sz val="10"/>
            <rFont val="Arial"/>
            <family val="2"/>
          </rPr>
          <t xml:space="preserve">TRUE khi teacher_note hoàn thành trong 48h sau buổi.</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Điểm danh học viên từng buổi (có mặt, vắng, đi muộn).
AI DÙNG: Giáo viên và học vụ.
KHI NÀO: Mỗi buổi học.
XEM XONG LÀM GÌ: Làm theo "Việc cần làm" để gọi HV vắng đúng hạn.
----
GHI CHÚ CỘT "attendance_id": Mã ĐD tự sinh: AT-001, AT-002...</t>
        </r>
      </text>
    </comment>
    <comment ref="E1" authorId="0">
      <text>
        <r>
          <rPr>
            <sz val="10"/>
            <rFont val="Arial"/>
            <family val="2"/>
          </rPr>
          <t xml:space="preserve">on_time tính từ giờ GV bấm Bắt đầu, không phải giờ lịch.</t>
        </r>
      </text>
    </comment>
    <comment ref="H1" authorId="0">
      <text>
        <r>
          <rPr>
            <sz val="10"/>
            <rFont val="Arial"/>
            <family val="2"/>
          </rPr>
          <t xml:space="preserve">Đánh giá in_class_performance — 3 lần Weak liên tiếp = at_risk Cao.</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Bài tập giao cho HV: nộp, chấm, điểm.
AI DÙNG: Giáo viên.
KHI NÀO: Khi giao bài và khi HV nộp.
XEM XONG LÀM GÌ: Làm theo "Việc cần làm" để chấm bài đúng hạn.
----
GHI CHÚ CỘT "homework_id": Mã bài tập: HW-001, HW-002...</t>
        </r>
      </text>
    </comment>
    <comment ref="I1" authorId="0">
      <text>
        <r>
          <rPr>
            <sz val="10"/>
            <rFont val="Arial"/>
            <family val="2"/>
          </rPr>
          <t xml:space="preserve">Hạn nộp mặc định = 5 ngày sau buổi học.</t>
        </r>
      </text>
    </comment>
    <comment ref="M1" authorId="0">
      <text>
        <r>
          <rPr>
            <sz val="10"/>
            <rFont val="Arial"/>
            <family val="2"/>
          </rPr>
          <t xml:space="preserve">Điểm theo thang IELTS (0-9) hoặc % đúng tùy score_type.</t>
        </r>
      </text>
    </comment>
    <comment ref="P1" authorId="0">
      <text>
        <r>
          <rPr>
            <sz val="10"/>
            <rFont val="Arial"/>
            <family val="2"/>
          </rPr>
          <t xml:space="preserve">TRUE khi chấm trong 48h. Mục tiêu GCR7 ≥ 95%.</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Các buổi học kèm 1-1 đặc biệt (WOW) cho HV.
AI DÙNG: Nhân viên WOW và học vụ.
KHI NÀO: Khi đặt và sau khi hoàn thành buổi WOW.
XEM XONG LÀM GÌ: Làm theo "Việc cần làm" để ghi kết quả và trừ quota.
----
GHI CHÚ CỘT "wow_id": Mã WOW: WOW-001, WOW-002...</t>
        </r>
      </text>
    </comment>
    <comment ref="F1" authorId="0">
      <text>
        <r>
          <rPr>
            <sz val="10"/>
            <rFont val="Arial"/>
            <family val="2"/>
          </rPr>
          <t xml:space="preserve">academic_support: Luồng 1 (hệ thống). advanced_practice: Luồng 2 (GV). self_booked: Luồng 3 (HV). sales_booked: Luồng 4 (NV TV).</t>
        </r>
      </text>
    </comment>
    <comment ref="M1" authorId="0">
      <text>
        <r>
          <rPr>
            <sz val="10"/>
            <rFont val="Arial"/>
            <family val="2"/>
          </rPr>
          <t xml:space="preserve">NV WOW viết sau buổi completed — SLA 24h.</t>
        </r>
      </text>
    </comment>
    <comment ref="N1" authorId="0">
      <text>
        <r>
          <rPr>
            <sz val="10"/>
            <rFont val="Arial"/>
            <family val="2"/>
          </rPr>
          <t xml:space="preserve">improved: tính vào WOR. Mục tiêu WOR ≥ 70%.</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Khảo sát mức độ hài lòng và tiến bộ của HV.
AI DÙNG: Học vụ.
KHI NÀO: Khi gửi và khi HV nộp khảo sát.
XEM XONG LÀM GÌ: Làm theo "Việc cần làm" để đọc và follow-up.
----
GHI CHÚ CỘT "survey_id": Mã khảo sát: SUR-001, SUR-002...</t>
        </r>
      </text>
    </comment>
    <comment ref="I1" authorId="0">
      <text>
        <r>
          <rPr>
            <sz val="10"/>
            <rFont val="Arial"/>
            <family val="2"/>
          </rPr>
          <t xml:space="preserve">Thang 1-5. ≤ 2 = cần liên hệ HV gấp.</t>
        </r>
      </text>
    </comment>
    <comment ref="J1" authorId="0">
      <text>
        <r>
          <rPr>
            <sz val="10"/>
            <rFont val="Arial"/>
            <family val="2"/>
          </rPr>
          <t xml:space="preserve">NPS thang 0-10. ≥ 9 = promoter. ≤ 6 = detractor.</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Phản hồi, góp ý của HV (tích cực/tiêu cực).
AI DÙNG: Học vụ và quản lý.
KHI NÀO: Khi nhận được phản hồi.
XEM XONG LÀM GÌ: Phân loại và xử lý theo "Việc cần làm".</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Khiếu nại của HV và quá trình xử lý.
AI DÙNG: Học vụ và quản lý.
KHI NÀO: Khi có khiếu nại.
XEM XONG LÀM GÌ: Làm theo "Việc cần làm" để phân công và xử lý đúng hạn.</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HV kết thúc khóa (hoàn thành/nghỉ) và việc mời tái ghi danh.
AI DÙNG: Học vụ và tư vấn.
KHI NÀO: Khi HV gần xong hoặc đã xong khóa.
XEM XONG LÀM GÌ: Làm theo "Việc cần làm" để nhập điểm cuối và mời học tiếp.</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Lịch trực/ca làm việc của nhân viên WOW.
AI DÙNG: Nhân viên WOW và quản lý.
KHI NÀO: Khi xếp ca hoặc tra lịch trực.
XEM XONG LÀM GÌ: Dùng để đặt buổi WOW đúng người, đúng giờ.</t>
        </r>
      </text>
    </comment>
  </commentList>
</comments>
</file>

<file path=xl/comments3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Ô tìm kiếm nhanh: gõ tên/mã để tìm khắp hệ thống.
AI DÙNG: Mọi nhân viên.
KHI NÀO: Khi cần tìm nhanh 1 người/lớp/đăng ký.
XEM XONG LÀM GÌ: Bấm vào kết quả để mở chi tiết.</t>
        </r>
      </text>
    </comment>
  </commentList>
</comments>
</file>

<file path=xl/comments3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Tra cứu nhanh thông tin một lớp học.
AI DÙNG: Học vụ và giáo viên.
KHI NÀO: Khi cần xem nhanh 1 lớp.
XEM XONG LÀM GÌ: Chỉ để đọc, không nhập liệu ở sheet này.</t>
        </r>
      </text>
    </comment>
  </commentList>
</comments>
</file>

<file path=xl/comments3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Tra cứu nhanh hồ sơ một học viên.
AI DÙNG: Học vụ và tư vấn.
KHI NÀO: Khi cần xem nhanh 1 HV.
XEM XONG LÀM GÌ: Chỉ để đọc, không nhập liệu ở sheet này.</t>
        </r>
      </text>
    </comment>
  </commentList>
</comments>
</file>

<file path=xl/comments3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Tra cứu nhanh thông tin một giáo viên.
AI DÙNG: Học vụ và quản lý.
KHI NÀO: Khi cần xem nhanh 1 GV.
XEM XONG LÀM GÌ: Chỉ để đọc, không nhập liệu ở sheet này.</t>
        </r>
      </text>
    </comment>
  </commentList>
</comments>
</file>

<file path=xl/comments3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Tra cứu nhanh thông tin một nhân viên WOW.
AI DÙNG: Học vụ và quản lý.
KHI NÀO: Khi cần xem nhanh 1 NV WOW.
XEM XONG LÀM GÌ: Chỉ để đọc, không nhập liệu ở sheet này.</t>
        </r>
      </text>
    </comment>
  </commentList>
</comments>
</file>

<file path=xl/comments3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Tra cứu nhanh thông tin một khách tiềm năng.
AI DÙNG: Tư vấn.
KHI NÀO: Khi cần xem nhanh 1 lead.
XEM XONG LÀM GÌ: Chỉ để đọc, không nhập liệu ở sheet này.</t>
        </r>
      </text>
    </comment>
  </commentList>
</comments>
</file>

<file path=xl/comments3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sách khách cần chăm/liên hệ lại hôm nay (tự lọc).
AI DÙNG: Nhân viên Tư vấn.
KHI NÀO: Đầu mỗi ngày làm việc.
XEM XONG LÀM GÌ: Liên hệ từng khách, cập nhật ở sheet Khách tiềm năng.</t>
        </r>
      </text>
    </comment>
  </commentList>
</comments>
</file>

<file path=xl/comments3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sách học viên có nguy cơ cần can thiệp (tự lọc).
AI DÙNG: Học vụ.
KHI NÀO: Hằng ngày.
XEM XONG LÀM GÌ: Liên hệ/can thiệp, cập nhật ở sheet Học viên.</t>
        </r>
      </text>
    </comment>
  </commentList>
</comments>
</file>

<file path=xl/comments3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sách bài test đang chờ chấm (tự lọc).
AI DÙNG: Người chấm test.
KHI NÀO: Hằng ngày.
XEM XONG LÀM GÌ: Chấm bài, nhập kết quả ở sheet Đặt lịch test.</t>
        </r>
      </text>
    </comment>
  </commentList>
</comments>
</file>

<file path=xl/comments40.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sách khoản học phí cần thu (tự lọc).
AI DÙNG: Kế toán và học vụ.
KHI NÀO: Hằng ngày.
XEM XONG LÀM GÌ: Thu tiền, cập nhật ở sheet Đăng ký/Thanh toán.</t>
        </r>
      </text>
    </comment>
  </commentList>
</comments>
</file>

<file path=xl/comments4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sách lớp sắp khai giảng cần chuẩn bị (tự lọc).
AI DÙNG: Học vụ.
KHI NÀO: Hằng tuần.
XEM XONG LÀM GÌ: Chuẩn bị lớp, xác nhận HV đủ sĩ số.</t>
        </r>
      </text>
    </comment>
  </commentList>
</comments>
</file>

<file path=xl/comments4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Danh sách khiếu nại cần xử lý (tự lọc).
AI DÙNG: Học vụ và quản lý.
KHI NÀO: Hằng ngày.
XEM XONG LÀM GÌ: Xử lý, cập nhật ở sheet Khiếu nại.</t>
        </r>
      </text>
    </comment>
  </commentList>
</comments>
</file>

<file path=xl/comments4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Đếm khối lượng việc đang mở theo từng nhân viên.
AI DÙNG: Quản lý.
KHI NÀO: Khi phân bổ việc hoặc xem ai đang quá tải.
XEM XONG LÀM GÌ: Cân đối lại việc giữa các NV nếu lệch.</t>
        </r>
      </text>
    </comment>
  </commentList>
</comments>
</file>

<file path=xl/comments4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Báo cáo tổng hợp học viên có nguy cơ.
AI DÙNG: Quản lý và học vụ.
KHI NÀO: Hằng tuần.
XEM XONG LÀM GÌ: Lên kế hoạch giữ chân HV.</t>
        </r>
      </text>
    </comment>
  </commentList>
</comments>
</file>

<file path=xl/comments4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Bảng các chỉ số KPI so với mục tiêu.
AI DÙNG: Quản lý.
KHI NÀO: Cuối tuần hoặc cuối tháng.
XEM XONG LÀM GÌ: Xem chỉ số nào dưới chuẩn để cải thiện.</t>
        </r>
      </text>
    </comment>
  </commentList>
</comments>
</file>

<file path=xl/comments4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Phễu khách: từ lead đến khi thành học viên.
AI DÙNG: Quản lý và trưởng nhóm tư vấn.
KHI NÀO: Cuối tuần hoặc cuối tháng.
XEM XONG LÀM GÌ: Tìm khâu rơi rụng nhiều để xử lý.</t>
        </r>
      </text>
    </comment>
  </commentList>
</comments>
</file>

<file path=xl/comments4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Báo cáo tổng hợp hoạt động trong tháng.
AI DÙNG: Quản lý.
KHI NÀO: Cuối tháng.
XEM XONG LÀM GÌ: Đánh giá tháng và đặt mục tiêu tháng sau.</t>
        </r>
      </text>
    </comment>
  </commentList>
</comments>
</file>

<file path=xl/comments4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Bảng hiệu suất nhân viên Tư vấn.
AI DÙNG: Quản lý.
KHI NÀO: Cuối tuần hoặc cuối tháng.
XEM XONG LÀM GÌ: Đánh giá và hỗ trợ NV tư vấn.</t>
        </r>
      </text>
    </comment>
  </commentList>
</comments>
</file>

<file path=xl/comments4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Bảng hiệu suất nhân viên WOW.
AI DÙNG: Quản lý.
KHI NÀO: Cuối tuần hoặc cuối tháng.
XEM XONG LÀM GÌ: Đánh giá và hỗ trợ NV WOW.</t>
        </r>
      </text>
    </comment>
  </commentList>
</comments>
</file>

<file path=xl/comments50.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Bảng hiệu suất giáo viên.
AI DÙNG: Quản lý.
KHI NÀO: Cuối tuần hoặc cuối tháng.
XEM XONG LÀM GÌ: Đánh giá và hỗ trợ giáo viên.</t>
        </r>
      </text>
    </comment>
  </commentList>
</comments>
</file>

<file path=xl/comments5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Bảng hiệu suất bộ phận học vụ.
AI DÙNG: Quản lý.
KHI NÀO: Cuối tuần hoặc cuối tháng.
XEM XONG LÀM GÌ: Đánh giá và hỗ trợ học vụ.</t>
        </r>
      </text>
    </comment>
  </commentList>
</comments>
</file>

<file path=xl/comments5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MỤC ĐÍCH SHEET: Bảng tổng hợp cho quản lý cấp cao.
AI DÙNG: Ban quản lý.
KHI NÀO: Cuối tháng.
XEM XONG LÀM GÌ: Ra quyết định điều hành.</t>
        </r>
      </text>
    </comment>
  </commentList>
</comments>
</file>

<file path=xl/sharedStrings.xml><?xml version="1.0" encoding="utf-8"?>
<sst xmlns="http://schemas.openxmlformats.org/spreadsheetml/2006/main" count="7997" uniqueCount="4091">
  <si>
    <t xml:space="preserve">ITTs SOP TEMP</t>
  </si>
  <si>
    <t xml:space="preserve">Sheet tổng quan vận hành. Số liệu tự cập nhật.</t>
  </si>
  <si>
    <t xml:space="preserve">PRE-SALES (Phase 1-4)</t>
  </si>
  <si>
    <t xml:space="preserve">Tổng lead</t>
  </si>
  <si>
    <t xml:space="preserve">Lead mới chưa LH</t>
  </si>
  <si>
    <t xml:space="preserve">Đã đăng ký</t>
  </si>
  <si>
    <t xml:space="preserve">Doanh thu đã thu</t>
  </si>
  <si>
    <t xml:space="preserve">Tất cả lead</t>
  </si>
  <si>
    <t xml:space="preserve">Đăng ký đã xác nhận</t>
  </si>
  <si>
    <t xml:space="preserve">Tiền thực nhận</t>
  </si>
  <si>
    <t xml:space="preserve">VẬN HÀNH HỌC (Phase 5-10)</t>
  </si>
  <si>
    <t xml:space="preserve">HV đang học</t>
  </si>
  <si>
    <t xml:space="preserve">HV nguy cơ</t>
  </si>
  <si>
    <t xml:space="preserve">Lớp đang chạy</t>
  </si>
  <si>
    <t xml:space="preserve">Khiếu nại chưa xử lý</t>
  </si>
  <si>
    <t xml:space="preserve">2 trục, cần can thiệp</t>
  </si>
  <si>
    <t xml:space="preserve">Khiếu nại đang mở</t>
  </si>
  <si>
    <t xml:space="preserve">VIỆC CẦN LÀM HÔM NAY</t>
  </si>
  <si>
    <t xml:space="preserve">Task sheet</t>
  </si>
  <si>
    <t xml:space="preserve">Nội dung</t>
  </si>
  <si>
    <t xml:space="preserve">Số lượng</t>
  </si>
  <si>
    <t xml:space="preserve">Mở</t>
  </si>
  <si>
    <t xml:space="preserve">VH5. Lead cần liên hệ lại</t>
  </si>
  <si>
    <t xml:space="preserve">Lead cần liên hệ</t>
  </si>
  <si>
    <t xml:space="preserve">VH6. HV nguy cơ</t>
  </si>
  <si>
    <t xml:space="preserve">HV cần can thiệp</t>
  </si>
  <si>
    <t xml:space="preserve">VH7. Test chờ chấm</t>
  </si>
  <si>
    <t xml:space="preserve">Test chưa có kết quả</t>
  </si>
  <si>
    <t xml:space="preserve">VH8. Học phí đến hạn</t>
  </si>
  <si>
    <t xml:space="preserve">Học phí chờ thu</t>
  </si>
  <si>
    <t xml:space="preserve">VH9. Lớp sắp khai giảng</t>
  </si>
  <si>
    <t xml:space="preserve">VH10. Khiếu nại chưa xử lý</t>
  </si>
  <si>
    <t xml:space="preserve">ĐIỀU HƯỚNG NHANH</t>
  </si>
  <si>
    <t xml:space="preserve">Cấu hình</t>
  </si>
  <si>
    <t xml:space="preserve">Nhập liệu</t>
  </si>
  <si>
    <t xml:space="preserve">Báo cáo</t>
  </si>
  <si>
    <t xml:space="preserve">Tra cứu</t>
  </si>
  <si>
    <t xml:space="preserve">HƯỚNG DẪN SỬ DỤNG - ITTs SOP TEMP</t>
  </si>
  <si>
    <t xml:space="preserve">Hệ thống vận hành trung tâm trên Google Sheets: 52 sheet, 5 nhóm, số hóa trọn quy trình 10 giai đoạn. Trang này là cửa ngõ - đọc 5 phút là dùng được.</t>
  </si>
  <si>
    <t xml:space="preserve">1. BẢN ĐỒ HỆ THỐNG - 5 NHÓM SHEET</t>
  </si>
  <si>
    <t xml:space="preserve">Nhóm</t>
  </si>
  <si>
    <t xml:space="preserve">Vai trò</t>
  </si>
  <si>
    <t xml:space="preserve">Ai dùng</t>
  </si>
  <si>
    <t xml:space="preserve">Khi nào</t>
  </si>
  <si>
    <t xml:space="preserve">HD - Hướng dẫn (xám)</t>
  </si>
  <si>
    <t xml:space="preserve">Đọc để hiểu và tra cứu cách hệ thống chạy</t>
  </si>
  <si>
    <t xml:space="preserve">Mọi người</t>
  </si>
  <si>
    <t xml:space="preserve">Khi mới vào / khi thắc mắc</t>
  </si>
  <si>
    <t xml:space="preserve">CH - Cấu hình (đỏ)</t>
  </si>
  <si>
    <t xml:space="preserve">Mọi danh mục, ngưỡng, thông điệp - sửa 1 chỗ, cả file đổi theo</t>
  </si>
  <si>
    <t xml:space="preserve">IT / Quản lý</t>
  </si>
  <si>
    <t xml:space="preserve">Khi đổi quy định</t>
  </si>
  <si>
    <t xml:space="preserve">DL - Dữ liệu (xanh dương)</t>
  </si>
  <si>
    <t xml:space="preserve">Nhập và xem chi tiết từng bản ghi (18 sheet + lịch WOW)</t>
  </si>
  <si>
    <t xml:space="preserve">Theo vai trò</t>
  </si>
  <si>
    <t xml:space="preserve">Khi nhập liệu / dò chi tiết</t>
  </si>
  <si>
    <t xml:space="preserve">VH - Vận hành (xanh lá)</t>
  </si>
  <si>
    <t xml:space="preserve">Danh sách việc đã lọc sẵn + tra cứu nhanh</t>
  </si>
  <si>
    <t xml:space="preserve">Nhân viên</t>
  </si>
  <si>
    <t xml:space="preserve">Hằng ngày</t>
  </si>
  <si>
    <t xml:space="preserve">BC - Báo cáo (cam)</t>
  </si>
  <si>
    <t xml:space="preserve">Dashboard: KPI, phễu, việc cần duyệt, nguy cơ</t>
  </si>
  <si>
    <t xml:space="preserve">Quản lý</t>
  </si>
  <si>
    <t xml:space="preserve">Hằng ngày / hằng tuần</t>
  </si>
  <si>
    <t xml:space="preserve">2. CÁCH ĐỌC MỘT SHEET DỮ LIỆU (DL)</t>
  </si>
  <si>
    <t xml:space="preserve">Vị trí</t>
  </si>
  <si>
    <t xml:space="preserve">Ý nghĩa</t>
  </si>
  <si>
    <t xml:space="preserve">Dòng 1</t>
  </si>
  <si>
    <t xml:space="preserve">Tên cột kỹ thuật (tiếng Anh) - dùng cho công thức, KHÔNG sửa.</t>
  </si>
  <si>
    <t xml:space="preserve">Dòng 2</t>
  </si>
  <si>
    <t xml:space="preserve">Tên tiếng Việt - giải thích ý nghĩa của biến.</t>
  </si>
  <si>
    <t xml:space="preserve">Dòng 3</t>
  </si>
  <si>
    <t xml:space="preserve">Gợi ý nhập nhanh cho cột (nếu có).</t>
  </si>
  <si>
    <t xml:space="preserve">Dòng 4 trở đi</t>
  </si>
  <si>
    <t xml:space="preserve">Dữ liệu. Mỗi dòng 1 bản ghi, cột A là mã định danh.</t>
  </si>
  <si>
    <t xml:space="preserve">Ô chứa mã (HV001, ENR-...)</t>
  </si>
  <si>
    <t xml:space="preserve">Có liên kết về dữ liệu gốc.</t>
  </si>
  <si>
    <t xml:space="preserve">Cột "next_action"</t>
  </si>
  <si>
    <t xml:space="preserve">Câu nhắc tự sinh kèm màu ưu tiên. Tra "vì sao hiện câu này" ở HD3.</t>
  </si>
  <si>
    <t xml:space="preserve">3. CẨM NANG THEO VAI TRÒ - mở đúng sheet của mình</t>
  </si>
  <si>
    <t xml:space="preserve">Mở mỗi ngày</t>
  </si>
  <si>
    <t xml:space="preserve">Nhập liệu ở</t>
  </si>
  <si>
    <t xml:space="preserve">Xem báo cáo</t>
  </si>
  <si>
    <t xml:space="preserve">Lối tắt</t>
  </si>
  <si>
    <t xml:space="preserve">NV Tư vấn</t>
  </si>
  <si>
    <t xml:space="preserve">VH5 (khách cần chăm)</t>
  </si>
  <si>
    <t xml:space="preserve">DL02 - DL04, DL06</t>
  </si>
  <si>
    <t xml:space="preserve">BC5, BC3</t>
  </si>
  <si>
    <t xml:space="preserve">NV Học vụ</t>
  </si>
  <si>
    <t xml:space="preserve">VH6, VH9, VH10</t>
  </si>
  <si>
    <t xml:space="preserve">DL08, DL09, DL15 - DL17</t>
  </si>
  <si>
    <t xml:space="preserve">BC8, BC1</t>
  </si>
  <si>
    <t xml:space="preserve">Giảng viên</t>
  </si>
  <si>
    <t xml:space="preserve">DL11 (buổi của mình)</t>
  </si>
  <si>
    <t xml:space="preserve">DL11 - DL13</t>
  </si>
  <si>
    <t xml:space="preserve">BC7</t>
  </si>
  <si>
    <t xml:space="preserve">NV WOW</t>
  </si>
  <si>
    <t xml:space="preserve">VH7 (test chờ chấm)</t>
  </si>
  <si>
    <t xml:space="preserve">DL03, DL14</t>
  </si>
  <si>
    <t xml:space="preserve">BC6</t>
  </si>
  <si>
    <t xml:space="preserve">Kế toán</t>
  </si>
  <si>
    <t xml:space="preserve">VH8 (thu học phí)</t>
  </si>
  <si>
    <t xml:space="preserve">DL07 (+DL06 nhắc nợ)</t>
  </si>
  <si>
    <t xml:space="preserve">BC9 (tài chính)</t>
  </si>
  <si>
    <t xml:space="preserve">BC9 (cần duyệt), BC1</t>
  </si>
  <si>
    <t xml:space="preserve">duyệt tại DL06</t>
  </si>
  <si>
    <t xml:space="preserve">BC2, BC4, VH11</t>
  </si>
  <si>
    <t xml:space="preserve">4. HIỂU FILE QUA VÍ DỤ THẬT - theo chân Trần Minh Anh (HV001)</t>
  </si>
  <si>
    <t xml:space="preserve">Xem demo các trang nối nhau bằng mã ID. Quy trình liền mạch cho 1 học viên</t>
  </si>
  <si>
    <t xml:space="preserve">Bước</t>
  </si>
  <si>
    <t xml:space="preserve">Mở sheet</t>
  </si>
  <si>
    <t xml:space="preserve">Tìm mã</t>
  </si>
  <si>
    <t xml:space="preserve">Bạn sẽ thấy</t>
  </si>
  <si>
    <t xml:space="preserve">1</t>
  </si>
  <si>
    <t xml:space="preserve">L-2026-00006</t>
  </si>
  <si>
    <t xml:space="preserve">Điểm khởi đầu: Trần Minh Anh để lại thông tin, mục tiêu xây nền.</t>
  </si>
  <si>
    <t xml:space="preserve">2</t>
  </si>
  <si>
    <t xml:space="preserve">TB-2026-003</t>
  </si>
  <si>
    <t xml:space="preserve">Làm test đầu vào: overall 4.0, đã chấm, đã tư vấn.</t>
  </si>
  <si>
    <t xml:space="preserve">3</t>
  </si>
  <si>
    <t xml:space="preserve">CS-2026-002</t>
  </si>
  <si>
    <t xml:space="preserve">Tư vấn theo kết quả test, chốt khóa Foundation kèm cọc.</t>
  </si>
  <si>
    <t xml:space="preserve">4</t>
  </si>
  <si>
    <t xml:space="preserve">ENR-2026-001</t>
  </si>
  <si>
    <t xml:space="preserve">Đăng ký khóa. final_fee, paid_amount tự tính.</t>
  </si>
  <si>
    <t xml:space="preserve">5</t>
  </si>
  <si>
    <t xml:space="preserve">PAY-2026-001</t>
  </si>
  <si>
    <t xml:space="preserve">Đóng đủ 12.000.000đ một lần, net_received tự trừ phí.</t>
  </si>
  <si>
    <t xml:space="preserve">6</t>
  </si>
  <si>
    <t xml:space="preserve">HV001</t>
  </si>
  <si>
    <t xml:space="preserve">Hồ sơ chính thức. Cờ nguy cơ 2 trục đều ổn.</t>
  </si>
  <si>
    <t xml:space="preserve">7</t>
  </si>
  <si>
    <t xml:space="preserve">OB-001</t>
  </si>
  <si>
    <t xml:space="preserve">Xếp vào lớp LOP-FOUND-PLA-01, onboarding hoàn tất.</t>
  </si>
  <si>
    <t xml:space="preserve">8</t>
  </si>
  <si>
    <t xml:space="preserve">LOP-FOUND-PLA-01</t>
  </si>
  <si>
    <t xml:space="preserve">Lớp Foundation: GV, sĩ số tự đếm từ onboarding.</t>
  </si>
  <si>
    <t xml:space="preserve">5. DANH MỤC ĐẦY ĐỦ 52 SHEET (bấm tên để mở)</t>
  </si>
  <si>
    <t xml:space="preserve">NHÓM HƯỚNG DẪN (tab xám)</t>
  </si>
  <si>
    <t xml:space="preserve">Trang chủ - đếm việc hôm nay + điều hướng nhanh</t>
  </si>
  <si>
    <t xml:space="preserve">Nhìn tổng quát chức năng các trang</t>
  </si>
  <si>
    <t xml:space="preserve">Quy trình nghiệp vụ 10 giai đoạn chi tiết</t>
  </si>
  <si>
    <t xml:space="preserve">Sổ trigger &amp; tự động hóa - tra mọi thứ hệ thống tự làm</t>
  </si>
  <si>
    <t xml:space="preserve">NHÓM CẤU HÌNH (tab đỏ)</t>
  </si>
  <si>
    <t xml:space="preserve">Danh mục giá trị cho mọi ô chọn (dropdown)</t>
  </si>
  <si>
    <t xml:space="preserve">Tham số SLA / ngưỡng / hoàn tiền - SỬA CON SỐ Ở ĐÂY</t>
  </si>
  <si>
    <t xml:space="preserve">Phân quyền theo hành động</t>
  </si>
  <si>
    <t xml:space="preserve">Thông điệp nhắc việc - SỬA CÂU CHỮ Ở ĐÂY</t>
  </si>
  <si>
    <t xml:space="preserve">Thuật ngữ, viết tắt</t>
  </si>
  <si>
    <t xml:space="preserve">Ngưỡng 48 chỉ số KPI - SỬA KPI Ở ĐÂY</t>
  </si>
  <si>
    <t xml:space="preserve">NHÓM DỮ LIỆU (tab xanh dương)</t>
  </si>
  <si>
    <t xml:space="preserve">Khách tiềm năng (lead)</t>
  </si>
  <si>
    <t xml:space="preserve">Lịch sử liên hệ từng lead</t>
  </si>
  <si>
    <t xml:space="preserve">Đặt lịch test đầu vào</t>
  </si>
  <si>
    <t xml:space="preserve">Tư vấn &amp; chốt</t>
  </si>
  <si>
    <t xml:space="preserve">Danh mục khóa học</t>
  </si>
  <si>
    <t xml:space="preserve">Đăng ký học</t>
  </si>
  <si>
    <t xml:space="preserve">Thanh toán</t>
  </si>
  <si>
    <t xml:space="preserve">Xếp lớp &amp; nhập học (onboarding)</t>
  </si>
  <si>
    <t xml:space="preserve">Hồ sơ học viên + cờ nguy cơ</t>
  </si>
  <si>
    <t xml:space="preserve">Lớp học</t>
  </si>
  <si>
    <t xml:space="preserve">Buổi học</t>
  </si>
  <si>
    <t xml:space="preserve">Điểm danh</t>
  </si>
  <si>
    <t xml:space="preserve">Bài tập</t>
  </si>
  <si>
    <t xml:space="preserve">Buổi WOW 1-1</t>
  </si>
  <si>
    <t xml:space="preserve">Khảo sát định kỳ</t>
  </si>
  <si>
    <t xml:space="preserve">Phản hồi (feedback)</t>
  </si>
  <si>
    <t xml:space="preserve">Khiếu nại</t>
  </si>
  <si>
    <t xml:space="preserve">Kết thúc khóa &amp; tái ghi danh</t>
  </si>
  <si>
    <t xml:space="preserve">Lịch trực WOW theo tháng</t>
  </si>
  <si>
    <t xml:space="preserve">NHÓM VẬN HÀNH (tab xanh lá)</t>
  </si>
  <si>
    <t xml:space="preserve">Tìm kiếm toàn hệ thống</t>
  </si>
  <si>
    <t xml:space="preserve">Tra cứu Lớp (kèm danh sách HV của lớp)</t>
  </si>
  <si>
    <t xml:space="preserve">Tra cứu Học viên - hồ sơ 360 độ</t>
  </si>
  <si>
    <t xml:space="preserve">Tra cứu Giảng viên</t>
  </si>
  <si>
    <t xml:space="preserve">Tra cứu NV WOW</t>
  </si>
  <si>
    <t xml:space="preserve">Tra cứu Khách tiềm năng</t>
  </si>
  <si>
    <t xml:space="preserve">Việc: khách cần chăm hôm nay</t>
  </si>
  <si>
    <t xml:space="preserve">Việc: học viên nguy cơ</t>
  </si>
  <si>
    <t xml:space="preserve">Việc: test chờ chấm</t>
  </si>
  <si>
    <t xml:space="preserve">Việc: thu học phí</t>
  </si>
  <si>
    <t xml:space="preserve">Việc: lớp sắp khai giảng</t>
  </si>
  <si>
    <t xml:space="preserve">Việc: khiếu nại đang mở</t>
  </si>
  <si>
    <t xml:space="preserve">Khối lượng việc theo nhân viên</t>
  </si>
  <si>
    <t xml:space="preserve">NHÓM BÁO CÁO (tab cam)</t>
  </si>
  <si>
    <t xml:space="preserve">Học viên nguy cơ</t>
  </si>
  <si>
    <t xml:space="preserve">48 chỉ số KPI</t>
  </si>
  <si>
    <t xml:space="preserve">Phễu khách tiềm năng</t>
  </si>
  <si>
    <t xml:space="preserve">Báo cáo tháng (có so sánh tháng trước)</t>
  </si>
  <si>
    <t xml:space="preserve">Bảng việc NV Tư vấn</t>
  </si>
  <si>
    <t xml:space="preserve">Bảng việc NV WOW</t>
  </si>
  <si>
    <t xml:space="preserve">Bảng Giảng viên (lọc theo GV)</t>
  </si>
  <si>
    <t xml:space="preserve">Bảng Học vụ</t>
  </si>
  <si>
    <t xml:space="preserve">Bảng Quản lý (duyệt, KN cao, hoàn tiền)</t>
  </si>
  <si>
    <t xml:space="preserve">Tài liệu sâu hơn: HD2 (quy trình 10 giai đoạn) - HD3 (sổ trigger) - 2 file Word hướng dẫn vận hành &amp; kỹ thuật.</t>
  </si>
  <si>
    <t xml:space="preserve">QUY TRÌNH HƯỚNG DẪN TỪNG BƯỚC (SOP TEMP)</t>
  </si>
  <si>
    <t xml:space="preserve">File này mô tả toàn bộ quy trình vận hành ITTs theo SOP, chia theo 10 Phase. Mỗi sheet data có cột "next_action" tự gợi ý việc cần làm tiếp.</t>
  </si>
  <si>
    <t xml:space="preserve">Cách dùng hằng ngày: mỗi sáng mở dashboard vai trò của mình (nhóm BC màu cam) và các sheet "Việc cần làm" (nhóm VH màu xanh lá) để biết hôm nay phải xử lý gì.</t>
  </si>
  <si>
    <t xml:space="preserve">CÁCH ĐỌC BẢNG: Mỗi bảng bên dưới là 1 Phase trong quy trình. Đọc theo từng HÀNG, từ trái sang phải: (1) "Trạng thái hiện tại" của lead/học viên - (2) "Điều kiện" để biết rơi vào trường hợp nào - (3) "Hành động cần làm" - (4) "Người làm" - (5) "SLA" là thời hạn phải xong - (6) "Kết quả / Trạng thái mới": giá trị tiếng Anh (vd contacted, confirmed) chính là giá trị cần nhập vào cột trạng thái ở sheet data tương ứng; sau khi nhập, lead/HV chuyển sang hàng có trạng thái đó để làm bước tiếp theo. Mọi bước cũng được hệ thống tự nhắc ở cột "next_action" trong các sheet VH (Việc cần làm).</t>
  </si>
  <si>
    <t xml:space="preserve">LUỒNG TỔNG QUAN - 10 PHASE</t>
  </si>
  <si>
    <t xml:space="preserve">Lead vào -&gt; P1 Tiếp nhận -&gt; P2 Test -&gt; P3 Tư vấn+Báo giá -&gt; P4 Thanh toán -&gt; P5 Xếp lớp -&gt; P6 Vận hành buổi -&gt; P7 BT+WOW -&gt; P8 Khảo sát -&gt; P9 Feedback/KN -&gt; P10 Kết thúc khóa</t>
  </si>
  <si>
    <t xml:space="preserve">PHASE 1-3: TƯ VẤN - LEAD ENROLL</t>
  </si>
  <si>
    <t xml:space="preserve">Trạng thái hiện tại</t>
  </si>
  <si>
    <t xml:space="preserve">Điều kiện</t>
  </si>
  <si>
    <t xml:space="preserve">Hành động cần làm</t>
  </si>
  <si>
    <t xml:space="preserve">Người làm</t>
  </si>
  <si>
    <t xml:space="preserve">SLA</t>
  </si>
  <si>
    <t xml:space="preserve">Kết quả / Trạng thái mới</t>
  </si>
  <si>
    <t xml:space="preserve">lead_status = new (Chưa liên hệ)</t>
  </si>
  <si>
    <t xml:space="preserve">Lead vừa vào hệ thống</t>
  </si>
  <si>
    <t xml:space="preserve">Gọi điện thoại lần 1</t>
  </si>
  <si>
    <t xml:space="preserve">contacted (Đã liên hệ)</t>
  </si>
  <si>
    <t xml:space="preserve">KHẨN: gọi NGAY + ghi nhận lý do trễ</t>
  </si>
  <si>
    <t xml:space="preserve">NV Tư vấn + Sale Leader</t>
  </si>
  <si>
    <t xml:space="preserve">NGAY</t>
  </si>
  <si>
    <t xml:space="preserve">lead_status = contacted (Đã liên hệ, đang khai thác)</t>
  </si>
  <si>
    <t xml:space="preserve">HV chưa book test</t>
  </si>
  <si>
    <t xml:space="preserve">Hẹn ngày làm test đầu vào</t>
  </si>
  <si>
    <t xml:space="preserve">booking_status = booked (đã làm test)</t>
  </si>
  <si>
    <t xml:space="preserve">Đổi lead_status = rejected (Từ chối)</t>
  </si>
  <si>
    <t xml:space="preserve">-</t>
  </si>
  <si>
    <t xml:space="preserve">lead_status = rejected (Từ chối)</t>
  </si>
  <si>
    <t xml:space="preserve">test_status = pending (Chưa có kết quả)</t>
  </si>
  <si>
    <t xml:space="preserve">test_result_overall còn trống</t>
  </si>
  <si>
    <t xml:space="preserve">NV WOW chấm test + ghi nhận xét</t>
  </si>
  <si>
    <t xml:space="preserve">NV WOW Coach</t>
  </si>
  <si>
    <t xml:space="preserve">(điền test_result + academic_note)</t>
  </si>
  <si>
    <t xml:space="preserve">test_status = graded (Đã chấm xong)</t>
  </si>
  <si>
    <t xml:space="preserve">Đã có test_result</t>
  </si>
  <si>
    <t xml:space="preserve">Tư vấn lộ trình + gói khóa phù hợp</t>
  </si>
  <si>
    <t xml:space="preserve">consulted (Đã tư vấn lộ trình)</t>
  </si>
  <si>
    <t xml:space="preserve">consultation_status = consulted (Đã tư vấn xong)</t>
  </si>
  <si>
    <t xml:space="preserve">quoted_amount còn trống</t>
  </si>
  <si>
    <t xml:space="preserve">Gửi báo giá chính thức (email/Zalo)</t>
  </si>
  <si>
    <t xml:space="preserve">conversion_status = interested (đã báo giá, quan tâm)</t>
  </si>
  <si>
    <t xml:space="preserve">Xin Trưởng phòng TV hoặc CEO duyệt</t>
  </si>
  <si>
    <t xml:space="preserve">NV Tư vấn QL</t>
  </si>
  <si>
    <t xml:space="preserve">(điền discount_approved_by)</t>
  </si>
  <si>
    <t xml:space="preserve">conversion_status = interested (Quan tâm, chưa chốt)</t>
  </si>
  <si>
    <t xml:space="preserve">Chưa enroll</t>
  </si>
  <si>
    <t xml:space="preserve">Follow-up chốt deal. Nếu sau 3 lần FL không phản hồi thì đổi lead_status = unreachable</t>
  </si>
  <si>
    <t xml:space="preserve">enrollment_status = confirmed (Đã xác nhận) / lead_status = rejected (Từ chối)</t>
  </si>
  <si>
    <t xml:space="preserve">enrollment_status = confirmed (Đã xác nhận) + payment_status = paid (Đã thanh toán đủ)</t>
  </si>
  <si>
    <t xml:space="preserve">Đã đóng tiền</t>
  </si>
  <si>
    <t xml:space="preserve">Chuyển sheet "DL07. Thanh toán" + báo Học vụ</t>
  </si>
  <si>
    <t xml:space="preserve">-&gt; Chuyển sang Phase 4 (xem bảng phía dưới)</t>
  </si>
  <si>
    <t xml:space="preserve">lead_status = unreachable (Hết cách liên lạc)</t>
  </si>
  <si>
    <t xml:space="preserve">Ghi rõ lost_reason để học bài</t>
  </si>
  <si>
    <t xml:space="preserve">(đóng case)</t>
  </si>
  <si>
    <t xml:space="preserve">PHASE 4: THANH TOÁN</t>
  </si>
  <si>
    <t xml:space="preserve">Trạng thái</t>
  </si>
  <si>
    <t xml:space="preserve">Hành động</t>
  </si>
  <si>
    <t xml:space="preserve">payment_status = unpaid (Chưa thanh toán)</t>
  </si>
  <si>
    <t xml:space="preserve">Báo giá xong, chờ chuyển khoản</t>
  </si>
  <si>
    <t xml:space="preserve">Gửi link/STK + theo dõi</t>
  </si>
  <si>
    <t xml:space="preserve">NV TV</t>
  </si>
  <si>
    <t xml:space="preserve">completed (Hoàn tất) / partial (Đóng từng đợt)</t>
  </si>
  <si>
    <t xml:space="preserve">payment_status = paid (Đã thanh toán đủ)</t>
  </si>
  <si>
    <t xml:space="preserve">Đã thu đủ</t>
  </si>
  <si>
    <t xml:space="preserve">Lập hóa đơn + xác nhận với HV</t>
  </si>
  <si>
    <t xml:space="preserve">-&gt; Chuyển sang Phase 5 (xem bảng phía dưới)</t>
  </si>
  <si>
    <t xml:space="preserve">payment_status = partial (Đã thanh toán 1 phần)</t>
  </si>
  <si>
    <t xml:space="preserve">Chưa đóng đợt tiếp</t>
  </si>
  <si>
    <t xml:space="preserve">FL nhắc HV đợt 2 theo lịch</t>
  </si>
  <si>
    <t xml:space="preserve">Theo lịch đợt</t>
  </si>
  <si>
    <t xml:space="preserve">completed (Hoàn tất)</t>
  </si>
  <si>
    <t xml:space="preserve">payment_status = refunded (Đã hoàn tiền)</t>
  </si>
  <si>
    <t xml:space="preserve">HV yêu cầu hoàn</t>
  </si>
  <si>
    <t xml:space="preserve">Xác minh + duyệt + lập biên bản</t>
  </si>
  <si>
    <t xml:space="preserve">Kế toán + QL</t>
  </si>
  <si>
    <t xml:space="preserve">(close)</t>
  </si>
  <si>
    <t xml:space="preserve">PHASE 5: XẾP LỚP (Học vụ)</t>
  </si>
  <si>
    <t xml:space="preserve">Tình huống</t>
  </si>
  <si>
    <t xml:space="preserve">placement_status = not_assigned (Chưa xếp lớp)</t>
  </si>
  <si>
    <t xml:space="preserve">Chưa có class_id</t>
  </si>
  <si>
    <t xml:space="preserve">Tạo bản ghi xếp lớp (sheet DL08) + gán class_id phù hợp band &amp; lịch của HV</t>
  </si>
  <si>
    <t xml:space="preserve">Học vụ</t>
  </si>
  <si>
    <t xml:space="preserve">Có class_id</t>
  </si>
  <si>
    <t xml:space="preserve">placement_status = not_assigned (Chưa xếp lớp) + không còn lớp phù hợp (cùng band đều full hoặc lệch lịch)</t>
  </si>
  <si>
    <t xml:space="preserve">Lớp cùng band đã full hoặc lịch không khớp</t>
  </si>
  <si>
    <t xml:space="preserve">Báo NV TV + đề xuất mở lớp mới hoặc waitlist</t>
  </si>
  <si>
    <t xml:space="preserve">Học vụ TP</t>
  </si>
  <si>
    <t xml:space="preserve">waitlist / mở lớp</t>
  </si>
  <si>
    <t xml:space="preserve">class: current_enrollment = class_capacity (lớp đã đủ sĩ số)</t>
  </si>
  <si>
    <t xml:space="preserve">current_enrollment = class_capacity</t>
  </si>
  <si>
    <t xml:space="preserve">Khóa enroll thêm hoặc xin duyệt vượt sĩ số</t>
  </si>
  <si>
    <t xml:space="preserve">PHASE 6: VẬN HÀNH BUỔI HỌC</t>
  </si>
  <si>
    <t xml:space="preserve">Trạng thái buổi</t>
  </si>
  <si>
    <t xml:space="preserve">session_status = scheduled (Đã lên lịch)</t>
  </si>
  <si>
    <t xml:space="preserve">Buổi sắp diễn ra</t>
  </si>
  <si>
    <t xml:space="preserve">Chuẩn bị giáo án + tài liệu</t>
  </si>
  <si>
    <t xml:space="preserve">Trước buổi</t>
  </si>
  <si>
    <t xml:space="preserve">in_progress (Đang thực hiện)</t>
  </si>
  <si>
    <t xml:space="preserve">session_status = in_progress (Đang diễn ra)</t>
  </si>
  <si>
    <t xml:space="preserve">GV đã bấm "Bắt đầu"</t>
  </si>
  <si>
    <t xml:space="preserve">Dạy + cập nhật điểm danh sau giờ</t>
  </si>
  <si>
    <t xml:space="preserve">Realtime</t>
  </si>
  <si>
    <t xml:space="preserve">session_status = completed (Đã hoàn thành) + teacher_note_completed_at còn trống</t>
  </si>
  <si>
    <t xml:space="preserve">has_teacher_note = FALSE</t>
  </si>
  <si>
    <t xml:space="preserve">Viết teacher_note 6 phần</t>
  </si>
  <si>
    <t xml:space="preserve">Ghi: has_teacher_note = TRUE</t>
  </si>
  <si>
    <t xml:space="preserve">session_status = completed (Đã hoàn thành) + teacher_note_completed_at đã có</t>
  </si>
  <si>
    <t xml:space="preserve">has_teacher_note = TRUE</t>
  </si>
  <si>
    <t xml:space="preserve">Học vụ duyệt note + chia sẻ HV</t>
  </si>
  <si>
    <t xml:space="preserve">Hoàn tất</t>
  </si>
  <si>
    <t xml:space="preserve">session_status = cancelled (Đã hủy)</t>
  </si>
  <si>
    <t xml:space="preserve">Buổi bị hủy đột xuất</t>
  </si>
  <si>
    <t xml:space="preserve">Báo HV + lên lịch bù</t>
  </si>
  <si>
    <t xml:space="preserve">session_status = scheduled (lịch bù mới)</t>
  </si>
  <si>
    <t xml:space="preserve">PHASE 6: ĐIỂM DANH</t>
  </si>
  <si>
    <t xml:space="preserve">class_start_actual đã ghi nhận (GV bấm "Bắt đầu" buổi)</t>
  </si>
  <si>
    <t xml:space="preserve">GV bấm "Bắt đầu" (class_start_actual ghi nhận)</t>
  </si>
  <si>
    <t xml:space="preserve">Mở app điểm danh</t>
  </si>
  <si>
    <t xml:space="preserve">GV</t>
  </si>
  <si>
    <t xml:space="preserve">attendance_status = on_time (Đúng giờ)</t>
  </si>
  <si>
    <t xml:space="preserve">Điểm danh on_time</t>
  </si>
  <si>
    <t xml:space="preserve">Ghi: attendance = on_time</t>
  </si>
  <si>
    <t xml:space="preserve">attendance_status = late (Trễ)</t>
  </si>
  <si>
    <t xml:space="preserve">Điểm danh late + ghi giờ</t>
  </si>
  <si>
    <t xml:space="preserve">Ghi: attendance = late</t>
  </si>
  <si>
    <t xml:space="preserve">attendance_status = no_show (Vắng) + absence_type = excused (Có phép)</t>
  </si>
  <si>
    <t xml:space="preserve">HV báo trước có lý do</t>
  </si>
  <si>
    <t xml:space="preserve">Điểm danh absent + absence_type = excused</t>
  </si>
  <si>
    <t xml:space="preserve">Ghi: attendance = absent</t>
  </si>
  <si>
    <t xml:space="preserve">attendance_status = no_show (Vắng) + absence_type = unexcused (Không phép)</t>
  </si>
  <si>
    <t xml:space="preserve">absence_type = unexcused tính vào at_risk</t>
  </si>
  <si>
    <t xml:space="preserve">GV Học vụ</t>
  </si>
  <si>
    <t xml:space="preserve">cập nhật at_risk_level</t>
  </si>
  <si>
    <t xml:space="preserve">in_class_performance = weak (Yếu) 3 buổi liên tiếp</t>
  </si>
  <si>
    <t xml:space="preserve">Cập nhật at_risk = high + book WOW academic_support</t>
  </si>
  <si>
    <t xml:space="preserve">Ghi: at_risk = high</t>
  </si>
  <si>
    <t xml:space="preserve">PHASE 7: BÀI TẬP</t>
  </si>
  <si>
    <t xml:space="preserve">homework_status = assigned (Đã giao)</t>
  </si>
  <si>
    <t xml:space="preserve">HV chưa nộp, chưa quá hạn</t>
  </si>
  <si>
    <t xml:space="preserve">Theo dõi, có thể nhắc</t>
  </si>
  <si>
    <t xml:space="preserve">Đến hạn nộp</t>
  </si>
  <si>
    <t xml:space="preserve">homework_status = submitted_on_time (Đã nộp) / missing (Chưa nộp)</t>
  </si>
  <si>
    <t xml:space="preserve">homework_status = assigned (Đã giao) + quá homework_due_date</t>
  </si>
  <si>
    <t xml:space="preserve">Quá hạn 1+ ngày</t>
  </si>
  <si>
    <t xml:space="preserve">Đánh dấu missing tính at_risk</t>
  </si>
  <si>
    <t xml:space="preserve">missing (Chưa nộp)</t>
  </si>
  <si>
    <t xml:space="preserve">homework_status = submitted_on_time (Nộp đúng/trước hạn) + graded_at còn trống</t>
  </si>
  <si>
    <t xml:space="preserve">Chấm + cho điểm + nhận xét</t>
  </si>
  <si>
    <t xml:space="preserve">graded (Đã chấm)</t>
  </si>
  <si>
    <t xml:space="preserve">homework_status = submitted_on_time (Nộp đúng/trước hạn) + graded_at còn trống, quá hạn chấm</t>
  </si>
  <si>
    <t xml:space="preserve">Chấm GẤP - tính vào KPI GCR7</t>
  </si>
  <si>
    <t xml:space="preserve">homework_score đã có (đã chấm) + điểm thấp hoặc in_class_performance = weak (Yếu)</t>
  </si>
  <si>
    <t xml:space="preserve">Điểm thấp hoặc kỹ năng Weak</t>
  </si>
  <si>
    <t xml:space="preserve">Ghi vào teacher_note + đề xuất WOW</t>
  </si>
  <si>
    <t xml:space="preserve">Cùng note</t>
  </si>
  <si>
    <t xml:space="preserve">WOW booked</t>
  </si>
  <si>
    <t xml:space="preserve">PHASE 7: WOW SESSIONS</t>
  </si>
  <si>
    <t xml:space="preserve">wow_booked_by = academic_hv (Học vụ)</t>
  </si>
  <si>
    <t xml:space="preserve">HV có cờ at_risk/off_track ở DL09</t>
  </si>
  <si>
    <t xml:space="preserve">Hệ thống tự tạo WOW academic_support</t>
  </si>
  <si>
    <t xml:space="preserve">Hệ thống (tương lai) / Học vụ thủ công</t>
  </si>
  <si>
    <t xml:space="preserve">booked (Đã đặt)</t>
  </si>
  <si>
    <t xml:space="preserve">wow_booked_by = teacher (Giảng viên)</t>
  </si>
  <si>
    <t xml:space="preserve">GV ghi đề xuất trong teacher_note</t>
  </si>
  <si>
    <t xml:space="preserve">Học vụ tạo WOW advanced_practice</t>
  </si>
  <si>
    <t xml:space="preserve">wow_booked_by = student (Học viên)</t>
  </si>
  <si>
    <t xml:space="preserve">HV tự book qua app</t>
  </si>
  <si>
    <t xml:space="preserve">Trừ quota confirm</t>
  </si>
  <si>
    <t xml:space="preserve">HV (app) Học vụ</t>
  </si>
  <si>
    <t xml:space="preserve">confirmed (Đã xác nhận)</t>
  </si>
  <si>
    <t xml:space="preserve">wow_booked_by = sales (NV Tư vấn)</t>
  </si>
  <si>
    <t xml:space="preserve">NV TV book trước midterm</t>
  </si>
  <si>
    <t xml:space="preserve">Học vụ confirm với HV</t>
  </si>
  <si>
    <t xml:space="preserve">NV TV Học vụ</t>
  </si>
  <si>
    <t xml:space="preserve">wow_status = booked (Đã đặt)</t>
  </si>
  <si>
    <t xml:space="preserve">Chưa confirm</t>
  </si>
  <si>
    <t xml:space="preserve">Học vụ liên hệ HV xác nhận lịch</t>
  </si>
  <si>
    <t xml:space="preserve">wow_status = confirmed (Đã xác nhận)</t>
  </si>
  <si>
    <t xml:space="preserve">Sắp diễn ra</t>
  </si>
  <si>
    <t xml:space="preserve">NV WOW chuẩn bị nội dung trọng tâm</t>
  </si>
  <si>
    <t xml:space="preserve">wow_status = completed (Đã hoàn thành) + wow_content_note còn trống</t>
  </si>
  <si>
    <t xml:space="preserve">wow_content_note còn trống</t>
  </si>
  <si>
    <t xml:space="preserve">có content_note</t>
  </si>
  <si>
    <t xml:space="preserve">wow_status = completed (Đã hoàn thành) + có content_note, wow_outcome còn trống</t>
  </si>
  <si>
    <t xml:space="preserve">Có content_note, chưa đánh giá</t>
  </si>
  <si>
    <t xml:space="preserve">Đánh giá outcome: improved / no_change / needs_more</t>
  </si>
  <si>
    <t xml:space="preserve">có outcome</t>
  </si>
  <si>
    <t xml:space="preserve">wow_status = no_show (HV không đến)</t>
  </si>
  <si>
    <t xml:space="preserve">Trừ quota + ghi no_show_reason + thông báo HV</t>
  </si>
  <si>
    <t xml:space="preserve">NV WOW + Học vụ</t>
  </si>
  <si>
    <t xml:space="preserve">close</t>
  </si>
  <si>
    <t xml:space="preserve">PHASE 8: KHẢO SÁT</t>
  </si>
  <si>
    <t xml:space="preserve">Tuần</t>
  </si>
  <si>
    <t xml:space="preserve">survey_type = week_1 (Tuần 1)</t>
  </si>
  <si>
    <t xml:space="preserve">HV đã học buổi 1</t>
  </si>
  <si>
    <t xml:space="preserve">Gửi form khảo sát ấn tượng ban đầu</t>
  </si>
  <si>
    <t xml:space="preserve">Sau buổi 1</t>
  </si>
  <si>
    <t xml:space="preserve">Ghi: survey_type = week_1</t>
  </si>
  <si>
    <t xml:space="preserve">survey_type = week_4 (Tuần 4)</t>
  </si>
  <si>
    <t xml:space="preserve">HV đã học 4 tuần</t>
  </si>
  <si>
    <t xml:space="preserve">Gửi form đánh giá tiến bộ giữa khóa</t>
  </si>
  <si>
    <t xml:space="preserve">Ghi: survey_type = week_4</t>
  </si>
  <si>
    <t xml:space="preserve">survey_type = week_8 (Tuần 8)</t>
  </si>
  <si>
    <t xml:space="preserve">HV đã học 8 tuần</t>
  </si>
  <si>
    <t xml:space="preserve">Gửi form (cho khóa dài)</t>
  </si>
  <si>
    <t xml:space="preserve">Ghi: survey_type = week_8</t>
  </si>
  <si>
    <t xml:space="preserve">survey_type = end_of_course (Cuối khóa)</t>
  </si>
  <si>
    <t xml:space="preserve">HV sắp KT</t>
  </si>
  <si>
    <t xml:space="preserve">Gửi form đánh giá tổng kết + xin testimonial</t>
  </si>
  <si>
    <t xml:space="preserve">Sau buổi cuối</t>
  </si>
  <si>
    <t xml:space="preserve">Ghi: survey_type = end_of_course</t>
  </si>
  <si>
    <t xml:space="preserve">nps_score &gt;= 9 (Promoter)</t>
  </si>
  <si>
    <t xml:space="preserve">HV rất hài lòng</t>
  </si>
  <si>
    <t xml:space="preserve">Đề xuất xin testimonial chính thức + ref</t>
  </si>
  <si>
    <t xml:space="preserve">Học vụ MKT</t>
  </si>
  <si>
    <t xml:space="preserve">Ghi: is_testimonial = TRUE</t>
  </si>
  <si>
    <t xml:space="preserve">nps_score &lt;= 6 (Detractor)</t>
  </si>
  <si>
    <t xml:space="preserve">HV không hài lòng</t>
  </si>
  <si>
    <t xml:space="preserve">Học vụ gọi điện tìm hiểu sâu</t>
  </si>
  <si>
    <t xml:space="preserve">có thể tạo Feedback</t>
  </si>
  <si>
    <t xml:space="preserve">PHASE 8-9: FEEDBACK &amp; KHIẾU NẠI</t>
  </si>
  <si>
    <t xml:space="preserve">feedback_status = new (Mới nhận) / complaint_status = new (Mới tiếp nhận)</t>
  </si>
  <si>
    <t xml:space="preserve">Chưa phân loại</t>
  </si>
  <si>
    <t xml:space="preserve">Phân loại type + category + priority</t>
  </si>
  <si>
    <t xml:space="preserve">complaint_status = assigned (Đã phân loại &amp; phân công)</t>
  </si>
  <si>
    <t xml:space="preserve">complaint_status = assigned (Đã phân công) + complaint_severity = high (Cao)</t>
  </si>
  <si>
    <t xml:space="preserve">complaint_severity = high</t>
  </si>
  <si>
    <t xml:space="preserve">Liên hệ HV NGAY + thông báo các bên liên quan</t>
  </si>
  <si>
    <t xml:space="preserve">Học vụ QL</t>
  </si>
  <si>
    <t xml:space="preserve">complaint_status = assigned (Đã phân công) + complaint_severity = medium (Trung bình)</t>
  </si>
  <si>
    <t xml:space="preserve">complaint_severity = medium</t>
  </si>
  <si>
    <t xml:space="preserve">Lên kế hoạch xử lý</t>
  </si>
  <si>
    <t xml:space="preserve">feedback_type = positive (Tích cực)</t>
  </si>
  <si>
    <t xml:space="preserve">type = positive</t>
  </si>
  <si>
    <t xml:space="preserve">Chuyển feedback đến đối tượng (GV/NV)</t>
  </si>
  <si>
    <t xml:space="preserve">complaint_status = resolved (Đã giải quyết)</t>
  </si>
  <si>
    <t xml:space="preserve">feedback_type = positive (Tích cực) + is_testimonial = TRUE (đặc biệt tốt)</t>
  </si>
  <si>
    <t xml:space="preserve">type = positive + đặc biệt tốt</t>
  </si>
  <si>
    <t xml:space="preserve">Xin testimonial chính thức</t>
  </si>
  <si>
    <t xml:space="preserve">complaint_status = in_progress (Đang xử lý)</t>
  </si>
  <si>
    <t xml:space="preserve">Đang xử lý</t>
  </si>
  <si>
    <t xml:space="preserve">Cập nhật action_note + đặt next_follow_up</t>
  </si>
  <si>
    <t xml:space="preserve">complaint_status = in_progress (chờ theo dõi lại)</t>
  </si>
  <si>
    <t xml:space="preserve">complaint_status = in_progress (Đang xử lý) + đến hẹn theo dõi lại</t>
  </si>
  <si>
    <t xml:space="preserve">Đến ngày FL</t>
  </si>
  <si>
    <t xml:space="preserve">Liên hệ HV xác nhận tình hình</t>
  </si>
  <si>
    <t xml:space="preserve">Đúng ngày</t>
  </si>
  <si>
    <t xml:space="preserve">in_progress (Đang thực hiện) / resolved (Đã giải quyết)</t>
  </si>
  <si>
    <t xml:space="preserve">Tự động escalate Quản lý</t>
  </si>
  <si>
    <t xml:space="preserve">Hệ thống QL</t>
  </si>
  <si>
    <t xml:space="preserve">escalated (Đã chuyển cấp trên)</t>
  </si>
  <si>
    <t xml:space="preserve">complaint_status = resolved (Đã xử lý xong)</t>
  </si>
  <si>
    <t xml:space="preserve">HV xác nhận hài lòng</t>
  </si>
  <si>
    <t xml:space="preserve">Đóng case</t>
  </si>
  <si>
    <t xml:space="preserve">PHASE 10: KẾT THÚC KHÓA + TÁI ĐĂNG KÝ</t>
  </si>
  <si>
    <t xml:space="preserve">NV TV liên hệ giới thiệu khóa tiếp theo</t>
  </si>
  <si>
    <t xml:space="preserve">Có deal mới</t>
  </si>
  <si>
    <t xml:space="preserve">student_status = completed (Hoàn thành khóa)</t>
  </si>
  <si>
    <t xml:space="preserve">Đã hoàn thành buổi cuối</t>
  </si>
  <si>
    <t xml:space="preserve">Gửi survey end_of_course + cert hoàn thành</t>
  </si>
  <si>
    <t xml:space="preserve">Ghi: student_status = finished</t>
  </si>
  <si>
    <t xml:space="preserve">achievement_status = achieved (Đạt mục tiêu)</t>
  </si>
  <si>
    <t xml:space="preserve">final_test_score ≥ target_band</t>
  </si>
  <si>
    <t xml:space="preserve">Xin testimonial + giới thiệu (referral)</t>
  </si>
  <si>
    <t xml:space="preserve">Học vụ + NV TV</t>
  </si>
  <si>
    <t xml:space="preserve">achievement_note</t>
  </si>
  <si>
    <t xml:space="preserve">achievement_status = not_achieved (Không cải thiện đáng kể)</t>
  </si>
  <si>
    <t xml:space="preserve">final_test_score &lt; target_band</t>
  </si>
  <si>
    <t xml:space="preserve">Phân tích + đề xuất khóa tiếp tục với CK</t>
  </si>
  <si>
    <t xml:space="preserve">enroll khóa mới</t>
  </si>
  <si>
    <t xml:space="preserve">Đưa vào kênh nurture lâu dài</t>
  </si>
  <si>
    <t xml:space="preserve">MKT</t>
  </si>
  <si>
    <t xml:space="preserve">lead_long_term</t>
  </si>
  <si>
    <t xml:space="preserve">HD3 - SỔ TRIGGER &amp; TỰ ĐỘNG HÓA (mọi thứ hệ thống tự làm, tra cứu tại đây)</t>
  </si>
  <si>
    <t xml:space="preserve">5 phần: (1) Nhắc việc &amp; gợi ý chuyển trạng thái - điều kiện nào ra câu nào; (2) Dấu giờ tự động - đổi trạng thái là hệ thống tự điền giờ; (3) Quy tắc màu; (4) Cột tự tính - cột nào không nhập tay; (5) Bảng báo cáo tự lọc. Cột "Mở ô" bấm để nhảy thẳng tới công thức thật đang chạy.</t>
  </si>
  <si>
    <t xml:space="preserve">Loại</t>
  </si>
  <si>
    <t xml:space="preserve">KHI NÀO / CÁCH TÍNH</t>
  </si>
  <si>
    <t xml:space="preserve">Mã</t>
  </si>
  <si>
    <t xml:space="preserve">Nội dung hiển thị</t>
  </si>
  <si>
    <t xml:space="preserve">Người phụ trách</t>
  </si>
  <si>
    <t xml:space="preserve">Chỉnh NGƯỠNG tại</t>
  </si>
  <si>
    <t xml:space="preserve">Chỉnh CÂU tại</t>
  </si>
  <si>
    <t xml:space="preserve">Mở ô (xem thử)</t>
  </si>
  <si>
    <t xml:space="preserve">PHẦN 1 - NHẮC VIỆC (next_action) &amp; GỢI Ý CHUYỂN TRẠNG THÁI (auto_trigger_hint)</t>
  </si>
  <si>
    <t xml:space="preserve">DL02. Khách tiềm năng</t>
  </si>
  <si>
    <t xml:space="preserve">next_action</t>
  </si>
  <si>
    <t xml:space="preserve">Lead giao quá hạn chưa gọi</t>
  </si>
  <si>
    <t xml:space="preserve">lead_status chưa đóng, đã có assigned_to (NV phụ trách) nhưng first_call_time (giờ liên hệ đầu) còn trống, và kể từ lead_created_time (giờ tạo lead) đã quá slaLeadReassign_hours</t>
  </si>
  <si>
    <t xml:space="preserve">NA046</t>
  </si>
  <si>
    <t xml:space="preserve">Gọi đủ số lần, không phản hồi</t>
  </si>
  <si>
    <t xml:space="preserve">contact_count (số lần liên hệ) ≥ thresholdContacted_attempts và lead_status là no_response/considering</t>
  </si>
  <si>
    <t xml:space="preserve">NA047</t>
  </si>
  <si>
    <t xml:space="preserve">Đã liên hệ, quá ngày chưa chốt</t>
  </si>
  <si>
    <t xml:space="preserve">lead_status = contacted và kể từ last_contact_time (liên hệ gần nhất) đã quá thresholdContacted_days</t>
  </si>
  <si>
    <t xml:space="preserve">NA048</t>
  </si>
  <si>
    <t xml:space="preserve">Lead mới quá hạn phản hồi</t>
  </si>
  <si>
    <t xml:space="preserve">lead_status = new và kể từ lead_created_time đã quá slaLRT_minutes phút</t>
  </si>
  <si>
    <t xml:space="preserve">NA049</t>
  </si>
  <si>
    <t xml:space="preserve">Lead mới còn trong hạn</t>
  </si>
  <si>
    <t xml:space="preserve">lead_status = new và còn trong hạn slaLRT_minutes phút kể từ lead_created_time</t>
  </si>
  <si>
    <t xml:space="preserve">NA050</t>
  </si>
  <si>
    <t xml:space="preserve">Tới/quá hẹn theo dõi</t>
  </si>
  <si>
    <t xml:space="preserve">lead_status = contacted/considering/no_response và next_followup_time (lịch liên hệ tiếp) ≤ hôm nay</t>
  </si>
  <si>
    <t xml:space="preserve">NA051</t>
  </si>
  <si>
    <t xml:space="preserve">Sắp tới hẹn theo dõi</t>
  </si>
  <si>
    <t xml:space="preserve">next_followup_time (lịch liên hệ tiếp) ≤ hôm nay + 1 (trong 24 giờ)</t>
  </si>
  <si>
    <t xml:space="preserve">NA052</t>
  </si>
  <si>
    <t xml:space="preserve">Lead đã đóng</t>
  </si>
  <si>
    <t xml:space="preserve">lead_status = rejected (từ chối) hoặc unreachable (không liên lạc được)</t>
  </si>
  <si>
    <t xml:space="preserve">NA053</t>
  </si>
  <si>
    <t xml:space="preserve">DL03. Đặt lịch test</t>
  </si>
  <si>
    <t xml:space="preserve">Có bài test, quá hạn chấm</t>
  </si>
  <si>
    <t xml:space="preserve">test_attendance_status (kết quả điểm danh) = on_time/late + test_status (trạng thái chấm bài) = pending, và kể từ test_attendance_time (giờ vào test thực tế) đã quá slaGLA_hours</t>
  </si>
  <si>
    <t xml:space="preserve">NA054</t>
  </si>
  <si>
    <t xml:space="preserve">Có bài test, còn trong hạn chấm</t>
  </si>
  <si>
    <t xml:space="preserve">test_attendance_status = on_time/late + test_status = pending, còn trong hạn slaGLA_hours kể từ test_attendance_time</t>
  </si>
  <si>
    <t xml:space="preserve">NA055</t>
  </si>
  <si>
    <t xml:space="preserve">Đã chấm, chưa chuyển trạng thái</t>
  </si>
  <si>
    <t xml:space="preserve">test_status = graded (đã chấm xong) và post_test_status (trạng thái sau test) còn trống</t>
  </si>
  <si>
    <t xml:space="preserve">NA056</t>
  </si>
  <si>
    <t xml:space="preserve">Quá hạn tư vấn sau test</t>
  </si>
  <si>
    <t xml:space="preserve">post_test_status = awaiting (chờ tư vấn) và kể từ result_time (thời gian trả kết quả) đã quá slaCVT_hours</t>
  </si>
  <si>
    <t xml:space="preserve">NA001</t>
  </si>
  <si>
    <t xml:space="preserve">Đã tư vấn xong</t>
  </si>
  <si>
    <t xml:space="preserve">post_test_status = consulted (đã tư vấn)</t>
  </si>
  <si>
    <t xml:space="preserve">NA002</t>
  </si>
  <si>
    <t xml:space="preserve">auto_trigger_hint</t>
  </si>
  <si>
    <t xml:space="preserve">Chấm xong, cần chuyển trạng thái</t>
  </si>
  <si>
    <t xml:space="preserve">NA085</t>
  </si>
  <si>
    <t xml:space="preserve">Chờ tư vấn, cần tạo bản ghi TV</t>
  </si>
  <si>
    <t xml:space="preserve">test_status = graded và post_test_status = awaiting (chờ tư vấn)</t>
  </si>
  <si>
    <t xml:space="preserve">NA086</t>
  </si>
  <si>
    <t xml:space="preserve">DL04. Tư vấn</t>
  </si>
  <si>
    <t xml:space="preserve">Quan tâm, quá hạn chưa chốt</t>
  </si>
  <si>
    <t xml:space="preserve">conversion_status (kết quả tư vấn) = interested và kể từ conversion_time (thời gian cập nhật kết quả) đã quá slaFollowup_grace_days</t>
  </si>
  <si>
    <t xml:space="preserve">NA003</t>
  </si>
  <si>
    <t xml:space="preserve">Đồng ý + đặt cọc</t>
  </si>
  <si>
    <t xml:space="preserve">conversion_status = confirmed_with_deposit</t>
  </si>
  <si>
    <t xml:space="preserve">NA057</t>
  </si>
  <si>
    <t xml:space="preserve">Khách bỏ</t>
  </si>
  <si>
    <t xml:space="preserve">conversion_status = dropped</t>
  </si>
  <si>
    <t xml:space="preserve">NA058</t>
  </si>
  <si>
    <t xml:space="preserve">Chưa quyết định</t>
  </si>
  <si>
    <t xml:space="preserve">conversion_status = undecided</t>
  </si>
  <si>
    <t xml:space="preserve">NA004</t>
  </si>
  <si>
    <t xml:space="preserve">DL06. Đăng ký</t>
  </si>
  <si>
    <t xml:space="preserve">Đăng ký đã hủy</t>
  </si>
  <si>
    <t xml:space="preserve">enrollment_status (trạng thái đăng ký) = cancelled</t>
  </si>
  <si>
    <t xml:space="preserve">NA059</t>
  </si>
  <si>
    <t xml:space="preserve">Chờ quá hạn (nên hủy)</t>
  </si>
  <si>
    <t xml:space="preserve">enrollment_status = pending và kể từ enrollment_time (thời gian xác nhận) đã quá slaENR_cancel_hours</t>
  </si>
  <si>
    <t xml:space="preserve">NA060</t>
  </si>
  <si>
    <t xml:space="preserve">Giảm giá vượt mức</t>
  </si>
  <si>
    <t xml:space="preserve">discount_amount (tiền chiết khấu) &gt; thresholdDiscount_approval và discount_approved_by (người duyệt) còn trống</t>
  </si>
  <si>
    <t xml:space="preserve">NA061</t>
  </si>
  <si>
    <t xml:space="preserve">Chờ quá hạn xác nhận</t>
  </si>
  <si>
    <t xml:space="preserve">enrollment_status = pending và kể từ enrollment_time đã quá slaENR_pending_hours</t>
  </si>
  <si>
    <t xml:space="preserve">NA005</t>
  </si>
  <si>
    <t xml:space="preserve">Xác nhận nhưng chưa thu tiền</t>
  </si>
  <si>
    <t xml:space="preserve">enrollment_status = confirmed và payment_status (trạng thái thanh toán) = unpaid</t>
  </si>
  <si>
    <t xml:space="preserve">NA006</t>
  </si>
  <si>
    <t xml:space="preserve">Còn nợ học phí và quá hạn</t>
  </si>
  <si>
    <t xml:space="preserve">payment_status = partial + remaining_amount (còn lại) &gt; 0, và kể từ enrollment_time đã quá slaPayment_grace_days</t>
  </si>
  <si>
    <t xml:space="preserve">NA007</t>
  </si>
  <si>
    <t xml:space="preserve">Xác nhận + đóng đủ</t>
  </si>
  <si>
    <t xml:space="preserve">enrollment_status = confirmed và payment_status = paid</t>
  </si>
  <si>
    <t xml:space="preserve">NA009</t>
  </si>
  <si>
    <t xml:space="preserve">Đủ cọc, còn ở trạng thái chờ</t>
  </si>
  <si>
    <t xml:space="preserve">paid_amount (đã thanh toán) ≥ thresholdDeposit_minimum và enrollment_status = pending</t>
  </si>
  <si>
    <t xml:space="preserve">NA087</t>
  </si>
  <si>
    <t xml:space="preserve">Đã thanh toán đủ</t>
  </si>
  <si>
    <t xml:space="preserve">payment_status = paid (không phải partial/unpaid)</t>
  </si>
  <si>
    <t xml:space="preserve">NA088</t>
  </si>
  <si>
    <t xml:space="preserve">DL08. Xếp lớp &amp; Nhập học</t>
  </si>
  <si>
    <t xml:space="preserve">Quá hạn gửi thông tin Zalo</t>
  </si>
  <si>
    <t xml:space="preserve">placement_status (trạng thái xếp lớp) = assigned + class_confirmation_status (xác nhận lớp của HV) = pending, và kể từ assigned_at (thời gian xếp lớp) đã quá slaClassInfoZalo_hours</t>
  </si>
  <si>
    <t xml:space="preserve">NA062</t>
  </si>
  <si>
    <t xml:space="preserve">Quá hạn xếp lớp</t>
  </si>
  <si>
    <t xml:space="preserve">placement_status = not_assigned và kể từ assigned_at đã quá slaPLR48_hours</t>
  </si>
  <si>
    <t xml:space="preserve">NA063</t>
  </si>
  <si>
    <t xml:space="preserve">Quá hạn nhập học (đã xếp)</t>
  </si>
  <si>
    <t xml:space="preserve">placement_status = assigned và kể từ assigned_at đã quá slaOBT_hours</t>
  </si>
  <si>
    <t xml:space="preserve">NA010</t>
  </si>
  <si>
    <t xml:space="preserve">Quá hạn nhập học (đang làm)</t>
  </si>
  <si>
    <t xml:space="preserve">onboarding_status = in_progress và kể từ assigned_at đã quá slaOBT_hours</t>
  </si>
  <si>
    <t xml:space="preserve">NA011</t>
  </si>
  <si>
    <t xml:space="preserve">Đã nhập học xong</t>
  </si>
  <si>
    <t xml:space="preserve">onboarding_status = completed</t>
  </si>
  <si>
    <t xml:space="preserve">NA012</t>
  </si>
  <si>
    <t xml:space="preserve">Còn trong hạn xử lý</t>
  </si>
  <si>
    <t xml:space="preserve">các trường hợp còn lại</t>
  </si>
  <si>
    <t xml:space="preserve">NA013</t>
  </si>
  <si>
    <t xml:space="preserve">Xong xác nhận + onboarding</t>
  </si>
  <si>
    <t xml:space="preserve">placement đã xong + class_confirmation_status = confirmed (HV đã xác nhận lớp) + onboarding_status = completed</t>
  </si>
  <si>
    <t xml:space="preserve">NA089</t>
  </si>
  <si>
    <t xml:space="preserve">Xác nhận rồi, chưa hoàn tất OB</t>
  </si>
  <si>
    <t xml:space="preserve">class_confirmation_status = confirmed (HV đã xác nhận lớp) nhưng onboarding_status chưa completed</t>
  </si>
  <si>
    <t xml:space="preserve">NA090</t>
  </si>
  <si>
    <t xml:space="preserve">DL09. Học viên</t>
  </si>
  <si>
    <t xml:space="preserve">Vắng vượt ngưỡng</t>
  </si>
  <si>
    <t xml:space="preserve">Đếm số buổi no_show (vắng) của HV này bên DL12 ≥ thresholdAtRisk_absences</t>
  </si>
  <si>
    <t xml:space="preserve">NA064</t>
  </si>
  <si>
    <t xml:space="preserve">Thiếu bài vượt ngưỡng</t>
  </si>
  <si>
    <t xml:space="preserve">Đếm số bài missing (không nộp) của HV này bên DL13 ≥ thresholdAtRisk_hw_missing</t>
  </si>
  <si>
    <t xml:space="preserve">NA065</t>
  </si>
  <si>
    <t xml:space="preserve">Nguy hiểm (yếu cả 2)</t>
  </si>
  <si>
    <t xml:space="preserve">attendance_progress_status (tiến độ chuyên cần) = off_track VÀ academic_progress_status (tiến độ học thuật) = off_track</t>
  </si>
  <si>
    <t xml:space="preserve">NA014</t>
  </si>
  <si>
    <t xml:space="preserve">Học thuật rớt lộ trình</t>
  </si>
  <si>
    <t xml:space="preserve">academic_progress_status = off_track</t>
  </si>
  <si>
    <t xml:space="preserve">NA015</t>
  </si>
  <si>
    <t xml:space="preserve">Chuyên cần rớt lộ trình</t>
  </si>
  <si>
    <t xml:space="preserve">attendance_progress_status = off_track</t>
  </si>
  <si>
    <t xml:space="preserve">NA016</t>
  </si>
  <si>
    <t xml:space="preserve">Học thuật có nguy cơ</t>
  </si>
  <si>
    <t xml:space="preserve">academic_progress_status = at_risk</t>
  </si>
  <si>
    <t xml:space="preserve">NA066</t>
  </si>
  <si>
    <t xml:space="preserve">Chuyên cần có nguy cơ</t>
  </si>
  <si>
    <t xml:space="preserve">attendance_progress_status = at_risk</t>
  </si>
  <si>
    <t xml:space="preserve">NA017</t>
  </si>
  <si>
    <t xml:space="preserve">Không hoạt động quá lâu</t>
  </si>
  <si>
    <t xml:space="preserve">kể từ last_learning_activity_time (lần hoạt động cuối) đã quá slaActivity_inactive_days</t>
  </si>
  <si>
    <t xml:space="preserve">NA067</t>
  </si>
  <si>
    <t xml:space="preserve">Đang học ổn định</t>
  </si>
  <si>
    <t xml:space="preserve">NA018</t>
  </si>
  <si>
    <t xml:space="preserve">DL11. Buổi học</t>
  </si>
  <si>
    <t xml:space="preserve">Quá giờ vào lớp chưa bắt đầu</t>
  </si>
  <si>
    <t xml:space="preserve">session_status (trạng thái) = scheduled và kể từ class_start_scheduled (giờ bắt đầu theo lịch) đã quá slaTeacherAttendance_minutes phút mà buổi chưa mở</t>
  </si>
  <si>
    <t xml:space="preserve">NA068</t>
  </si>
  <si>
    <t xml:space="preserve">Buổi sắp tới</t>
  </si>
  <si>
    <t xml:space="preserve">session_status = scheduled</t>
  </si>
  <si>
    <t xml:space="preserve">NA019</t>
  </si>
  <si>
    <t xml:space="preserve">Buổi đang diễn ra</t>
  </si>
  <si>
    <t xml:space="preserve">session_status = in_progress</t>
  </si>
  <si>
    <t xml:space="preserve">NA020</t>
  </si>
  <si>
    <t xml:space="preserve">Quá hạn ghi nhận xét</t>
  </si>
  <si>
    <t xml:space="preserve">session_status = completed + has_teacher_note (có note) = FALSE, và kể từ session_date (ngày buổi) đã quá slaTeacherNote_hours</t>
  </si>
  <si>
    <t xml:space="preserve">NA021</t>
  </si>
  <si>
    <t xml:space="preserve">Còn hạn ghi nhận xét</t>
  </si>
  <si>
    <t xml:space="preserve">session_status = completed + has_teacher_note = FALSE, còn trong hạn slaTeacherNote_hours</t>
  </si>
  <si>
    <t xml:space="preserve">NA069</t>
  </si>
  <si>
    <t xml:space="preserve">Đã ghi nhận xét</t>
  </si>
  <si>
    <t xml:space="preserve">session_status = completed + has_teacher_note = TRUE</t>
  </si>
  <si>
    <t xml:space="preserve">NA022</t>
  </si>
  <si>
    <t xml:space="preserve">Buổi bị hủy</t>
  </si>
  <si>
    <t xml:space="preserve">session_status = cancelled</t>
  </si>
  <si>
    <t xml:space="preserve">NA023</t>
  </si>
  <si>
    <t xml:space="preserve">Buổi đã dời</t>
  </si>
  <si>
    <t xml:space="preserve">session_status = rescheduled</t>
  </si>
  <si>
    <t xml:space="preserve">NA024</t>
  </si>
  <si>
    <t xml:space="preserve">DL12. Điểm danh</t>
  </si>
  <si>
    <t xml:space="preserve">Vắng không phép quá hạn gọi</t>
  </si>
  <si>
    <t xml:space="preserve">attendance_status = no_show + absence_type = unexcused (không phép), và kể từ giờ buổi (tra từ DL11) đã quá slaAbsenceCall_hours</t>
  </si>
  <si>
    <t xml:space="preserve">NA070</t>
  </si>
  <si>
    <t xml:space="preserve">Vắng không phép</t>
  </si>
  <si>
    <t xml:space="preserve">attendance_status = no_show + absence_type = unexcused</t>
  </si>
  <si>
    <t xml:space="preserve">NA025</t>
  </si>
  <si>
    <t xml:space="preserve">Vắng có phép</t>
  </si>
  <si>
    <t xml:space="preserve">attendance_status = no_show + absence_type = excused</t>
  </si>
  <si>
    <t xml:space="preserve">NA026</t>
  </si>
  <si>
    <t xml:space="preserve">Đi học trễ</t>
  </si>
  <si>
    <t xml:space="preserve">attendance_status = late</t>
  </si>
  <si>
    <t xml:space="preserve">NA027</t>
  </si>
  <si>
    <t xml:space="preserve">Đúng giờ</t>
  </si>
  <si>
    <t xml:space="preserve">attendance_status = on_time</t>
  </si>
  <si>
    <t xml:space="preserve">NA028</t>
  </si>
  <si>
    <t xml:space="preserve">DL13. Bài tập</t>
  </si>
  <si>
    <t xml:space="preserve">Chưa nộp bài</t>
  </si>
  <si>
    <t xml:space="preserve">homework_status = missing</t>
  </si>
  <si>
    <t xml:space="preserve">NA029</t>
  </si>
  <si>
    <t xml:space="preserve">Đã nộp, quá hạn chấm</t>
  </si>
  <si>
    <t xml:space="preserve">homework_status = submitted + homework_score (điểm) còn trống, và kể từ homework_submitted_time (giờ nộp) đã quá slaHomeworkGrading_hours</t>
  </si>
  <si>
    <t xml:space="preserve">NA071</t>
  </si>
  <si>
    <t xml:space="preserve">Đã nộp, còn hạn chấm</t>
  </si>
  <si>
    <t xml:space="preserve">homework_status = submitted + homework_score còn trống, còn trong hạn slaHomeworkGrading_hours</t>
  </si>
  <si>
    <t xml:space="preserve">NA072</t>
  </si>
  <si>
    <t xml:space="preserve">Đã giao, chưa tới hạn nộp</t>
  </si>
  <si>
    <t xml:space="preserve">homework_status = assigned</t>
  </si>
  <si>
    <t xml:space="preserve">NA073</t>
  </si>
  <si>
    <t xml:space="preserve">Đã chấm xong</t>
  </si>
  <si>
    <t xml:space="preserve">homework_score (điểm) đã có</t>
  </si>
  <si>
    <t xml:space="preserve">NA030</t>
  </si>
  <si>
    <t xml:space="preserve">DL14. Buổi WOW 1-1</t>
  </si>
  <si>
    <t xml:space="preserve">Quá hạn trừ quota</t>
  </si>
  <si>
    <t xml:space="preserve">wow_status = completed + quota_deducted (trừ quota) ≠ TRUE, và kể từ wow_session_date (ngày học) đã quá slaWowQuotaCheck_hours</t>
  </si>
  <si>
    <t xml:space="preserve">NA074</t>
  </si>
  <si>
    <t xml:space="preserve">Vừa được đặt</t>
  </si>
  <si>
    <t xml:space="preserve">wow_status = booked</t>
  </si>
  <si>
    <t xml:space="preserve">NA031</t>
  </si>
  <si>
    <t xml:space="preserve">Đã xác nhận, qua giờ hẹn</t>
  </si>
  <si>
    <t xml:space="preserve">wow_status = confirmed + wow_session_date đã qua hiện tại</t>
  </si>
  <si>
    <t xml:space="preserve">NA032</t>
  </si>
  <si>
    <t xml:space="preserve">Đã xác nhận, sắp tới</t>
  </si>
  <si>
    <t xml:space="preserve">wow_status = confirmed + wow_session_date chưa tới</t>
  </si>
  <si>
    <t xml:space="preserve">NA033</t>
  </si>
  <si>
    <t xml:space="preserve">Quá hạn ghi kết quả</t>
  </si>
  <si>
    <t xml:space="preserve">wow_status = completed + wow_content_note (note sau buổi) trống, và kể từ wow_session_date đã quá slaWowOutcomeRead_hours</t>
  </si>
  <si>
    <t xml:space="preserve">NA075</t>
  </si>
  <si>
    <t xml:space="preserve">Còn hạn ghi kết quả</t>
  </si>
  <si>
    <t xml:space="preserve">wow_status = completed + wow_content_note trống, còn trong hạn slaWowOutcomeRead_hours</t>
  </si>
  <si>
    <t xml:space="preserve">NA076</t>
  </si>
  <si>
    <t xml:space="preserve">Chưa đánh giá kết quả</t>
  </si>
  <si>
    <t xml:space="preserve">wow_status = completed + wow_outcome (kết quả) trống</t>
  </si>
  <si>
    <t xml:space="preserve">NA034</t>
  </si>
  <si>
    <t xml:space="preserve">Đã hoàn tất</t>
  </si>
  <si>
    <t xml:space="preserve">wow_status = completed + đã đủ note và kết quả</t>
  </si>
  <si>
    <t xml:space="preserve">HV vắng buổi WOW</t>
  </si>
  <si>
    <t xml:space="preserve">wow_status = no_show</t>
  </si>
  <si>
    <t xml:space="preserve">NA035</t>
  </si>
  <si>
    <t xml:space="preserve">Buổi WOW đã hủy</t>
  </si>
  <si>
    <t xml:space="preserve">wow_status = cancelled</t>
  </si>
  <si>
    <t xml:space="preserve">NA077</t>
  </si>
  <si>
    <t xml:space="preserve">DL15. Khảo sát</t>
  </si>
  <si>
    <t xml:space="preserve">Đã nộp, quá hạn xử lý</t>
  </si>
  <si>
    <t xml:space="preserve">submitted_date (ngày trả lời) đã có + assigned_staff (NV xử lý) trống, và kể từ submitted_date đã quá slaSurveyReport_hours</t>
  </si>
  <si>
    <t xml:space="preserve">NA078</t>
  </si>
  <si>
    <t xml:space="preserve">Đã gửi, HV chưa làm</t>
  </si>
  <si>
    <t xml:space="preserve">sent_date (đã gửi) có + submitted_date (trả lời) trống</t>
  </si>
  <si>
    <t xml:space="preserve">NA036</t>
  </si>
  <si>
    <t xml:space="preserve">Cần theo dõi thêm</t>
  </si>
  <si>
    <t xml:space="preserve">submitted_date có + follow_up_needed (cần follow-up) = yes</t>
  </si>
  <si>
    <t xml:space="preserve">NA079</t>
  </si>
  <si>
    <t xml:space="preserve">Đã làm khảo sát</t>
  </si>
  <si>
    <t xml:space="preserve">submitted_date đã có</t>
  </si>
  <si>
    <t xml:space="preserve">NA037</t>
  </si>
  <si>
    <t xml:space="preserve">DL16. Phản hồi</t>
  </si>
  <si>
    <t xml:space="preserve">Phản hồi mới quá hạn phân loại</t>
  </si>
  <si>
    <t xml:space="preserve">feedback_status (trạng thái xử lý) = new và kể từ feedback_time (thời gian nhận) đã quá slaFB_classify_hours</t>
  </si>
  <si>
    <t xml:space="preserve">NA091</t>
  </si>
  <si>
    <t xml:space="preserve">Phản hồi mới còn trong hạn</t>
  </si>
  <si>
    <t xml:space="preserve">feedback_status = new, còn trong hạn phân loại slaFB_classify_hours</t>
  </si>
  <si>
    <t xml:space="preserve">NA092</t>
  </si>
  <si>
    <t xml:space="preserve">Tiêu cực chưa xử lý xong</t>
  </si>
  <si>
    <t xml:space="preserve">feedback_type (loại) = negative và feedback_status chưa resolved</t>
  </si>
  <si>
    <t xml:space="preserve">NA093</t>
  </si>
  <si>
    <t xml:space="preserve">Đã xử lý xong phản hồi</t>
  </si>
  <si>
    <t xml:space="preserve">feedback_status = resolved</t>
  </si>
  <si>
    <t xml:space="preserve">NA094</t>
  </si>
  <si>
    <t xml:space="preserve">DL17. Khiếu nại</t>
  </si>
  <si>
    <t xml:space="preserve">Ưu tiên thấp quá hạn</t>
  </si>
  <si>
    <t xml:space="preserve">complaint_severity (mức độ) = low + resolution_time (thời gian xử lý xong) trống, và kể từ complaint_time (thời gian tiếp nhận) đã quá slaKN_low_hours</t>
  </si>
  <si>
    <t xml:space="preserve">NA080</t>
  </si>
  <si>
    <t xml:space="preserve">Mới, quá hạn phân công</t>
  </si>
  <si>
    <t xml:space="preserve">complaint_status (trạng thái xử lý) = new và kể từ complaint_time đã quá slaKN_assignment_hours</t>
  </si>
  <si>
    <t xml:space="preserve">NA081</t>
  </si>
  <si>
    <t xml:space="preserve">Mức cao quá hạn</t>
  </si>
  <si>
    <t xml:space="preserve">complaint_severity = high + resolution_time trống, và kể từ complaint_time đã quá slaKN_high_hours</t>
  </si>
  <si>
    <t xml:space="preserve">NA038</t>
  </si>
  <si>
    <t xml:space="preserve">Mức trung bình quá hạn</t>
  </si>
  <si>
    <t xml:space="preserve">complaint_severity = medium + resolution_time trống, và kể từ complaint_time đã quá slaKN_medium_hours</t>
  </si>
  <si>
    <t xml:space="preserve">NA039</t>
  </si>
  <si>
    <t xml:space="preserve">Đã leo thang</t>
  </si>
  <si>
    <t xml:space="preserve">complaint_status = escalated + resolution_time trống</t>
  </si>
  <si>
    <t xml:space="preserve">NA040</t>
  </si>
  <si>
    <t xml:space="preserve">Đã giải quyết, HV chấp nhận</t>
  </si>
  <si>
    <t xml:space="preserve">complaint_status = resolved + complaint_result (kết quả từ HV) = accepted</t>
  </si>
  <si>
    <t xml:space="preserve">NA041</t>
  </si>
  <si>
    <t xml:space="preserve">Còn trong hạn</t>
  </si>
  <si>
    <t xml:space="preserve">DL18. Kết thúc khóa</t>
  </si>
  <si>
    <t xml:space="preserve">Chưa có điểm cuối (quá hạn)</t>
  </si>
  <si>
    <t xml:space="preserve">student_status = completed + final_test_score (điểm test cuối) trống, và kể từ course_completion_time (thời gian hoàn thành khóa) đã quá slaFinalTest_days</t>
  </si>
  <si>
    <t xml:space="preserve">NA082</t>
  </si>
  <si>
    <t xml:space="preserve">Quan tâm, chưa xếp khóa (quá hạn)</t>
  </si>
  <si>
    <t xml:space="preserve">re_enrollment_status = interested + next_enrollment_id (đăng ký mới) trống, và kể từ course_completion_time đã quá slaReenrollSchedule_days</t>
  </si>
  <si>
    <t xml:space="preserve">NA083</t>
  </si>
  <si>
    <t xml:space="preserve">Quá hạn mời học lại</t>
  </si>
  <si>
    <t xml:space="preserve">student_status = completed + re_enrollment_status = not_contacted, và kể từ course_completion_time đã quá slaReenroll_contact_days</t>
  </si>
  <si>
    <t xml:space="preserve">NA042</t>
  </si>
  <si>
    <t xml:space="preserve">HV nghỉ giữa khóa</t>
  </si>
  <si>
    <t xml:space="preserve">student_status = dropped + re_enrollment_status trống</t>
  </si>
  <si>
    <t xml:space="preserve">NA043</t>
  </si>
  <si>
    <t xml:space="preserve">Đã đăng ký khóa mới</t>
  </si>
  <si>
    <t xml:space="preserve">re_enrollment_status = confirmed_with_deposit</t>
  </si>
  <si>
    <t xml:space="preserve">NA044</t>
  </si>
  <si>
    <t xml:space="preserve">Từ chối học tiếp</t>
  </si>
  <si>
    <t xml:space="preserve">re_enrollment_status = rejected</t>
  </si>
  <si>
    <t xml:space="preserve">NA084</t>
  </si>
  <si>
    <t xml:space="preserve">Quan tâm học tiếp</t>
  </si>
  <si>
    <t xml:space="preserve">re_enrollment_status = interested</t>
  </si>
  <si>
    <t xml:space="preserve">NA045</t>
  </si>
  <si>
    <t xml:space="preserve">PHẦN 2 - DẤU GIỜ TỰ ĐỘNG (Apps Script: đổi trạng thái -&gt; tự điền giờ nếu ô trống)</t>
  </si>
  <si>
    <t xml:space="preserve">dấu giờ</t>
  </si>
  <si>
    <t xml:space="preserve">DL03: nhập test_status</t>
  </si>
  <si>
    <t xml:space="preserve">Khi test_status nhận giá trị graded và ô result_time đang trống -&gt; hệ thống tự điền thời điểm hiện tại</t>
  </si>
  <si>
    <t xml:space="preserve">Tự điền result_time = bây giờ</t>
  </si>
  <si>
    <t xml:space="preserve">Hệ thống</t>
  </si>
  <si>
    <t xml:space="preserve">DL04: nhập conversion_status</t>
  </si>
  <si>
    <t xml:space="preserve">Khi conversion_status nhận giá trị (bất kỳ) và ô conversion_time đang trống -&gt; hệ thống tự điền thời điểm hiện tại</t>
  </si>
  <si>
    <t xml:space="preserve">Tự điền conversion_time = bây giờ</t>
  </si>
  <si>
    <t xml:space="preserve">DL08: nhập class_confirmation_status</t>
  </si>
  <si>
    <t xml:space="preserve">Khi class_confirmation_status nhận giá trị confirmed và ô confirmation_time đang trống -&gt; hệ thống tự điền thời điểm hiện tại</t>
  </si>
  <si>
    <t xml:space="preserve">Tự điền confirmation_time = bây giờ</t>
  </si>
  <si>
    <t xml:space="preserve">DL08: nhập onboarding_status</t>
  </si>
  <si>
    <t xml:space="preserve">Khi onboarding_status nhận giá trị completed và ô onboarding_completed_at đang trống -&gt; hệ thống tự điền thời điểm hiện tại</t>
  </si>
  <si>
    <t xml:space="preserve">Tự điền onboarding_completed_at = bây giờ</t>
  </si>
  <si>
    <t xml:space="preserve">DL12: nhập attendance_status</t>
  </si>
  <si>
    <t xml:space="preserve">Khi attendance_status nhận giá trị on_time / late và ô check_in_time đang trống -&gt; hệ thống tự điền thời điểm hiện tại</t>
  </si>
  <si>
    <t xml:space="preserve">Tự điền check_in_time = bây giờ</t>
  </si>
  <si>
    <t xml:space="preserve">DL13: nhập homework_status</t>
  </si>
  <si>
    <t xml:space="preserve">Khi homework_status nhận giá trị submitted và ô homework_submitted_time đang trống -&gt; hệ thống tự điền thời điểm hiện tại</t>
  </si>
  <si>
    <t xml:space="preserve">Tự điền homework_submitted_time = bây giờ</t>
  </si>
  <si>
    <t xml:space="preserve">DL13: nhập homework_score</t>
  </si>
  <si>
    <t xml:space="preserve">Khi homework_score nhận giá trị (có điểm) và ô graded_at đang trống -&gt; hệ thống tự điền thời điểm hiện tại</t>
  </si>
  <si>
    <t xml:space="preserve">Tự điền graded_at = bây giờ</t>
  </si>
  <si>
    <t xml:space="preserve">DL16: nhập feedback_status</t>
  </si>
  <si>
    <t xml:space="preserve">Khi feedback_status nhận giá trị in_progress / resolved và ô classified_at đang trống -&gt; hệ thống tự điền thời điểm hiện tại</t>
  </si>
  <si>
    <t xml:space="preserve">Tự điền classified_at = bây giờ</t>
  </si>
  <si>
    <t xml:space="preserve">Khi feedback_status nhận giá trị resolved và ô action_taken_at đang trống -&gt; hệ thống tự điền thời điểm hiện tại</t>
  </si>
  <si>
    <t xml:space="preserve">Tự điền action_taken_at = bây giờ</t>
  </si>
  <si>
    <t xml:space="preserve">DL17: nhập assigned_handler</t>
  </si>
  <si>
    <t xml:space="preserve">Khi assigned_handler nhận giá trị (có tên) và ô assigned_at đang trống -&gt; hệ thống tự điền thời điểm hiện tại</t>
  </si>
  <si>
    <t xml:space="preserve">Tự điền assigned_at = bây giờ</t>
  </si>
  <si>
    <t xml:space="preserve">DL17: nhập complaint_status</t>
  </si>
  <si>
    <t xml:space="preserve">Khi complaint_status nhận giá trị resolved và ô resolution_time đang trống -&gt; hệ thống tự điền thời điểm hiện tại</t>
  </si>
  <si>
    <t xml:space="preserve">Tự điền resolution_time = bây giờ</t>
  </si>
  <si>
    <t xml:space="preserve">DL18: nhập re_enrollment_status</t>
  </si>
  <si>
    <t xml:space="preserve">Khi re_enrollment_status nhận giá trị (bất kỳ) và ô re_enrollment_contact_time đang trống -&gt; hệ thống tự điền thời điểm hiện tại</t>
  </si>
  <si>
    <t xml:space="preserve">Tự điền re_enrollment_contact_time = bây giờ</t>
  </si>
  <si>
    <t xml:space="preserve">PHẦN 3 - QUY TẮC MÀU CỘT "VIỆC CẦN LÀM"</t>
  </si>
  <si>
    <t xml:space="preserve">màu</t>
  </si>
  <si>
    <t xml:space="preserve">Nền ĐỎ - khẩn</t>
  </si>
  <si>
    <t xml:space="preserve">Câu chứa " ngay", " gấp", "GỌI" hoặc "NGUY"</t>
  </si>
  <si>
    <t xml:space="preserve">Làm ngay lập tức</t>
  </si>
  <si>
    <t xml:space="preserve">Nền XANH - xong</t>
  </si>
  <si>
    <t xml:space="preserve">Câu chứa "Không cần làm gì"</t>
  </si>
  <si>
    <t xml:space="preserve">Không cần hành động</t>
  </si>
  <si>
    <t xml:space="preserve">Nền VÀNG - chờ xử lý</t>
  </si>
  <si>
    <t xml:space="preserve">Các câu còn lại có nội dung</t>
  </si>
  <si>
    <t xml:space="preserve">Cần làm nhưng chưa gấp</t>
  </si>
  <si>
    <t xml:space="preserve">PHẦN 4 - CỘT TỰ TÍNH (KHÔNG nhập tay - hệ thống tự điền bằng công thức)</t>
  </si>
  <si>
    <t xml:space="preserve">cột tự tính</t>
  </si>
  <si>
    <t xml:space="preserve">assigned_to</t>
  </si>
  <si>
    <t xml:space="preserve">Liên kết bấm-nhảy theo mã (tự đúng khi sắp xếp), tra từ: DL01</t>
  </si>
  <si>
    <t xml:space="preserve">first_call_time</t>
  </si>
  <si>
    <t xml:space="preserve">Lấy mốc SỚM NHẤT từ: trong sheet</t>
  </si>
  <si>
    <t xml:space="preserve">contact_count</t>
  </si>
  <si>
    <t xml:space="preserve">Đếm tự động từ: trong sheet</t>
  </si>
  <si>
    <t xml:space="preserve">last_contact_time</t>
  </si>
  <si>
    <t xml:space="preserve">Lấy mốc thời gian MỚI NHẤT từ: trong sheet</t>
  </si>
  <si>
    <t xml:space="preserve">assigned_to_name</t>
  </si>
  <si>
    <t xml:space="preserve">Tra tên/giá trị từ: DL01</t>
  </si>
  <si>
    <t xml:space="preserve">DL02b. Lịch sử liên hệ</t>
  </si>
  <si>
    <t xml:space="preserve">lead_id</t>
  </si>
  <si>
    <t xml:space="preserve">Liên kết bấm-nhảy theo mã (tự đúng khi sắp xếp), tra từ: DL02</t>
  </si>
  <si>
    <t xml:space="preserve">customer_name</t>
  </si>
  <si>
    <t xml:space="preserve">Tra tên/giá trị từ: DL02</t>
  </si>
  <si>
    <t xml:space="preserve">staff_id</t>
  </si>
  <si>
    <t xml:space="preserve">staff_id_name</t>
  </si>
  <si>
    <t xml:space="preserve">overall_score</t>
  </si>
  <si>
    <t xml:space="preserve">Trung bình 4 kỹ năng, làm tròn 0.5</t>
  </si>
  <si>
    <t xml:space="preserve">lead_id_name</t>
  </si>
  <si>
    <t xml:space="preserve">test_booking_id</t>
  </si>
  <si>
    <t xml:space="preserve">Liên kết bấm-nhảy theo mã (tự đúng khi sắp xếp), tra từ: DL03</t>
  </si>
  <si>
    <t xml:space="preserve">consulted_by</t>
  </si>
  <si>
    <t xml:space="preserve">customer_name_display</t>
  </si>
  <si>
    <t xml:space="preserve">student_id</t>
  </si>
  <si>
    <t xml:space="preserve">Liên kết bấm-nhảy theo mã (tự đúng khi sắp xếp), tra từ: DL09</t>
  </si>
  <si>
    <t xml:space="preserve">consultation_id</t>
  </si>
  <si>
    <t xml:space="preserve">Liên kết bấm-nhảy theo mã (tự đúng khi sắp xếp), tra từ: DL04</t>
  </si>
  <si>
    <t xml:space="preserve">course_id</t>
  </si>
  <si>
    <t xml:space="preserve">Liên kết bấm-nhảy theo mã (tự đúng khi sắp xếp), tra từ: DL05</t>
  </si>
  <si>
    <t xml:space="preserve">final_fee</t>
  </si>
  <si>
    <t xml:space="preserve">Công thức tự tính từ: trong sheet</t>
  </si>
  <si>
    <t xml:space="preserve">paid_amount</t>
  </si>
  <si>
    <t xml:space="preserve">Cộng tự động từ: DL07</t>
  </si>
  <si>
    <t xml:space="preserve">remaining_amount</t>
  </si>
  <si>
    <t xml:space="preserve">payment_status</t>
  </si>
  <si>
    <t xml:space="preserve">student_id_name</t>
  </si>
  <si>
    <t xml:space="preserve">Tra tên/giá trị từ: DL09</t>
  </si>
  <si>
    <t xml:space="preserve">course_id_name</t>
  </si>
  <si>
    <t xml:space="preserve">Tra tên/giá trị từ: DL05</t>
  </si>
  <si>
    <t xml:space="preserve">DL07. Thanh toán</t>
  </si>
  <si>
    <t xml:space="preserve">enrollment_id</t>
  </si>
  <si>
    <t xml:space="preserve">Liên kết bấm-nhảy theo mã (tự đúng khi sắp xếp), tra từ: DL06</t>
  </si>
  <si>
    <t xml:space="preserve">net_received</t>
  </si>
  <si>
    <t xml:space="preserve">received_by_name</t>
  </si>
  <si>
    <t xml:space="preserve">verified_by_name</t>
  </si>
  <si>
    <t xml:space="preserve">class_id</t>
  </si>
  <si>
    <t xml:space="preserve">Liên kết bấm-nhảy theo mã (tự đúng khi sắp xếp), tra từ: DL10</t>
  </si>
  <si>
    <t xml:space="preserve">sla_status</t>
  </si>
  <si>
    <t xml:space="preserve">class_id_name</t>
  </si>
  <si>
    <t xml:space="preserve">Tra tên/giá trị từ: DL10</t>
  </si>
  <si>
    <t xml:space="preserve">first_enrollment_id</t>
  </si>
  <si>
    <t xml:space="preserve">first_enrollment_date</t>
  </si>
  <si>
    <t xml:space="preserve">Lấy mốc SỚM NHẤT từ: DL06</t>
  </si>
  <si>
    <t xml:space="preserve">total_enrollments</t>
  </si>
  <si>
    <t xml:space="preserve">Đếm tự động từ: DL06</t>
  </si>
  <si>
    <t xml:space="preserve">last_learning_activity_time</t>
  </si>
  <si>
    <t xml:space="preserve">Lấy mốc thời gian MỚI NHẤT từ: DL12 + DL13 + DL14</t>
  </si>
  <si>
    <t xml:space="preserve">wow_quota_default</t>
  </si>
  <si>
    <t xml:space="preserve">Tra tên/giá trị từ: DL05 + DL06</t>
  </si>
  <si>
    <t xml:space="preserve">wow_quota_used</t>
  </si>
  <si>
    <t xml:space="preserve">Đếm tự động từ: DL14</t>
  </si>
  <si>
    <t xml:space="preserve">wow_quota_remaining</t>
  </si>
  <si>
    <t xml:space="preserve">DL10. Lớp học</t>
  </si>
  <si>
    <t xml:space="preserve">main_teacher_id</t>
  </si>
  <si>
    <t xml:space="preserve">current_enrollment</t>
  </si>
  <si>
    <t xml:space="preserve">Đếm tự động từ: DL08</t>
  </si>
  <si>
    <t xml:space="preserve">teacher_late_minutes</t>
  </si>
  <si>
    <t xml:space="preserve">Số phút trễ = giờ vào thực tế - giờ theo lịch</t>
  </si>
  <si>
    <t xml:space="preserve">teacher_id</t>
  </si>
  <si>
    <t xml:space="preserve">has_teacher_note</t>
  </si>
  <si>
    <t xml:space="preserve">teacher_note_within_sla</t>
  </si>
  <si>
    <t xml:space="preserve">teacher_id_name</t>
  </si>
  <si>
    <t xml:space="preserve">session_id</t>
  </si>
  <si>
    <t xml:space="preserve">Liên kết bấm-nhảy theo mã (tự đúng khi sắp xếp), tra từ: DL11</t>
  </si>
  <si>
    <t xml:space="preserve">is_late</t>
  </si>
  <si>
    <t xml:space="preserve">graded_within_48h</t>
  </si>
  <si>
    <t xml:space="preserve">staff_name</t>
  </si>
  <si>
    <t xml:space="preserve">quota_deducted</t>
  </si>
  <si>
    <t xml:space="preserve">sla_content_note_24h</t>
  </si>
  <si>
    <t xml:space="preserve">within_3_days</t>
  </si>
  <si>
    <t xml:space="preserve">follow_up_needed</t>
  </si>
  <si>
    <t xml:space="preserve">feedback_id</t>
  </si>
  <si>
    <t xml:space="preserve">Liên kết bấm-nhảy theo mã (tự đúng khi sắp xếp), tra từ: DL16</t>
  </si>
  <si>
    <t xml:space="preserve">attendance_rate</t>
  </si>
  <si>
    <t xml:space="preserve">Đếm tự động từ: DL12</t>
  </si>
  <si>
    <t xml:space="preserve">completion_rate</t>
  </si>
  <si>
    <t xml:space="preserve">Đếm tự động từ: DL13</t>
  </si>
  <si>
    <t xml:space="preserve">PHẦN 5 - BẢNG BÁO CÁO TỰ LỌC (dòng nào thỏa điều kiện thì tự xuất hiện, tự dồn lên đầu)</t>
  </si>
  <si>
    <t xml:space="preserve">bảng tự lọc</t>
  </si>
  <si>
    <t xml:space="preserve">BC1. Học viên nguy cơ</t>
  </si>
  <si>
    <t xml:space="preserve">HV có bất kỳ trục nào at_risk/off_track (DL09)</t>
  </si>
  <si>
    <t xml:space="preserve">CH2: thresholdAtRisk_*</t>
  </si>
  <si>
    <t xml:space="preserve">BC5. Bảng NV Tư vấn</t>
  </si>
  <si>
    <t xml:space="preserve">Lead có hẹn liên hệ &lt;= ngày mai (DL02)</t>
  </si>
  <si>
    <t xml:space="preserve">BC6. Bảng NV WOW</t>
  </si>
  <si>
    <t xml:space="preserve">Test đã làm, trạng thái chấm còn pending (DL03)</t>
  </si>
  <si>
    <t xml:space="preserve">CH2: slaGLA_hours</t>
  </si>
  <si>
    <t xml:space="preserve">BC8. Bảng Học vụ (nhập học)</t>
  </si>
  <si>
    <t xml:space="preserve">Onboarding not_started/in_progress (DL08)</t>
  </si>
  <si>
    <t xml:space="preserve">CH2: slaOBT_hours</t>
  </si>
  <si>
    <t xml:space="preserve">BC8. Bảng Học vụ (khiếu nại)</t>
  </si>
  <si>
    <t xml:space="preserve">Khiếu nại chưa resolved (DL17)</t>
  </si>
  <si>
    <t xml:space="preserve">CH2: slaKN_*</t>
  </si>
  <si>
    <t xml:space="preserve">BC9. Chiết khấu chờ duyệt</t>
  </si>
  <si>
    <t xml:space="preserve">discount &gt;= thresholdDiscount_approval VÀ chưa có người duyệt (DL06)</t>
  </si>
  <si>
    <t xml:space="preserve">CH2: thresholdDiscount_approval</t>
  </si>
  <si>
    <t xml:space="preserve">BC9. Khiếu nại mức cao</t>
  </si>
  <si>
    <t xml:space="preserve">severity=high hoặc status=escalated (DL17)</t>
  </si>
  <si>
    <t xml:space="preserve">CH2: slaKN_high_hours</t>
  </si>
  <si>
    <t xml:space="preserve">BC9. Hoàn tiền chờ xử lý</t>
  </si>
  <si>
    <t xml:space="preserve">Đăng ký cancelled và đã đóng tiền &gt; 0 (DL06)</t>
  </si>
  <si>
    <t xml:space="preserve">CH2: refund*_days</t>
  </si>
  <si>
    <t xml:space="preserve">DANH MỤC LỰA CHỌN (ENUM)</t>
  </si>
  <si>
    <t xml:space="preserve">Đây là kho giá trị cho các ô dropdown (chọn từ danh sách) trong toàn file. Mỗi KHỐI là một danh mục (vd: nguồn lead, trạng thái lớp). Cột trái là MÃ kỹ thuật (tiếng Anh, dùng trong công thức), cột phải là giá trị hiển thị kèm nghĩa tiếng Việt. Muốn thêm/bớt lựa chọn cho một dropdown, sửa trong khối tương ứng ở đây - dropdown ở các sheet data sẽ tự cập nhật theo.</t>
  </si>
  <si>
    <t xml:space="preserve">Mã (kỹ thuật)</t>
  </si>
  <si>
    <t xml:space="preserve">Giá trị hiển thị (dropdown)</t>
  </si>
  <si>
    <t xml:space="preserve">lead_source - Nguồn lead</t>
  </si>
  <si>
    <t xml:space="preserve">Giá trị</t>
  </si>
  <si>
    <t xml:space="preserve">Combined (cho dropdown)</t>
  </si>
  <si>
    <t xml:space="preserve">facebook_ads</t>
  </si>
  <si>
    <t xml:space="preserve">facebook_ads (Quảng cáo Facebook)</t>
  </si>
  <si>
    <t xml:space="preserve">tiktok_ads</t>
  </si>
  <si>
    <t xml:space="preserve">tiktok_ads (Quảng cáo TikTok)</t>
  </si>
  <si>
    <t xml:space="preserve">website</t>
  </si>
  <si>
    <t xml:space="preserve">website (Form website ITTs)</t>
  </si>
  <si>
    <t xml:space="preserve">landing_page</t>
  </si>
  <si>
    <t xml:space="preserve">landing_page (Landing page chiến dịch)</t>
  </si>
  <si>
    <t xml:space="preserve">zalo_oa</t>
  </si>
  <si>
    <t xml:space="preserve">zalo_oa (Zalo Official Account)</t>
  </si>
  <si>
    <t xml:space="preserve">hotline</t>
  </si>
  <si>
    <t xml:space="preserve">hotline (Gọi đến hotline)</t>
  </si>
  <si>
    <t xml:space="preserve">walk_in</t>
  </si>
  <si>
    <t xml:space="preserve">walk_in (Khách tự đến trực tiếp)</t>
  </si>
  <si>
    <t xml:space="preserve">referral</t>
  </si>
  <si>
    <t xml:space="preserve">referral (Giới thiệu)</t>
  </si>
  <si>
    <t xml:space="preserve">seeding</t>
  </si>
  <si>
    <t xml:space="preserve">seeding (Bài seeding nội dung)</t>
  </si>
  <si>
    <t xml:space="preserve">upsell</t>
  </si>
  <si>
    <t xml:space="preserve">upsell (Học viên cũ mua thêm)</t>
  </si>
  <si>
    <t xml:space="preserve">other</t>
  </si>
  <si>
    <t xml:space="preserve">other (Khác)</t>
  </si>
  <si>
    <t xml:space="preserve">lead_qualification_status - Mức đủ điều kiện</t>
  </si>
  <si>
    <t xml:space="preserve">qualified</t>
  </si>
  <si>
    <t xml:space="preserve">qualified (Đủ điều kiện)</t>
  </si>
  <si>
    <t xml:space="preserve">unknown</t>
  </si>
  <si>
    <t xml:space="preserve">unknown (Chưa rõ)</t>
  </si>
  <si>
    <t xml:space="preserve">unqualified</t>
  </si>
  <si>
    <t xml:space="preserve">unqualified (Không phù hợp)</t>
  </si>
  <si>
    <t xml:space="preserve">lead_status - Trạng thái lead</t>
  </si>
  <si>
    <t xml:space="preserve">new</t>
  </si>
  <si>
    <t xml:space="preserve">new (Chưa liên hệ)</t>
  </si>
  <si>
    <t xml:space="preserve">contacted</t>
  </si>
  <si>
    <t xml:space="preserve">contacted (Đã liên hệ, đang khai thác)</t>
  </si>
  <si>
    <t xml:space="preserve">considering</t>
  </si>
  <si>
    <t xml:space="preserve">considering (Đang cân nhắc)</t>
  </si>
  <si>
    <t xml:space="preserve">no_response</t>
  </si>
  <si>
    <t xml:space="preserve">no_response (Không liên lạc được)</t>
  </si>
  <si>
    <t xml:space="preserve">unreachable</t>
  </si>
  <si>
    <t xml:space="preserve">unreachable (Hết cách liên lạc)</t>
  </si>
  <si>
    <t xml:space="preserve">rejected</t>
  </si>
  <si>
    <t xml:space="preserve">rejected (Từ chối)</t>
  </si>
  <si>
    <t xml:space="preserve">converted</t>
  </si>
  <si>
    <t xml:space="preserve">converted (Đã chuyển đổi - đã thành HV)</t>
  </si>
  <si>
    <t xml:space="preserve">contact_channel - Kênh liên hệ</t>
  </si>
  <si>
    <t xml:space="preserve">Combined</t>
  </si>
  <si>
    <t xml:space="preserve">facebook</t>
  </si>
  <si>
    <t xml:space="preserve">facebook (Facebook)</t>
  </si>
  <si>
    <t xml:space="preserve">zalo</t>
  </si>
  <si>
    <t xml:space="preserve">zalo (Zalo)</t>
  </si>
  <si>
    <t xml:space="preserve">phone</t>
  </si>
  <si>
    <t xml:space="preserve">phone (Điện thoại)</t>
  </si>
  <si>
    <t xml:space="preserve">email</t>
  </si>
  <si>
    <t xml:space="preserve">email (Email)</t>
  </si>
  <si>
    <t xml:space="preserve">walk_in (Đến trực tiếp)</t>
  </si>
  <si>
    <t xml:space="preserve">contact_direction - Chiều liên hệ</t>
  </si>
  <si>
    <t xml:space="preserve">inbound</t>
  </si>
  <si>
    <t xml:space="preserve">inbound (Khách liên hệ đến)</t>
  </si>
  <si>
    <t xml:space="preserve">outbound</t>
  </si>
  <si>
    <t xml:space="preserve">outbound (NV gọi/nhắn đi)</t>
  </si>
  <si>
    <t xml:space="preserve">student_type - Đối tượng học</t>
  </si>
  <si>
    <t xml:space="preserve">school_student</t>
  </si>
  <si>
    <t xml:space="preserve">school_student (Học sinh)</t>
  </si>
  <si>
    <t xml:space="preserve">university_student</t>
  </si>
  <si>
    <t xml:space="preserve">university_student (Sinh viên)</t>
  </si>
  <si>
    <t xml:space="preserve">working_people</t>
  </si>
  <si>
    <t xml:space="preserve">working_people (Người đi làm)</t>
  </si>
  <si>
    <t xml:space="preserve">learning_goal_type - Loại mục tiêu</t>
  </si>
  <si>
    <t xml:space="preserve">study_abroad</t>
  </si>
  <si>
    <t xml:space="preserve">study_abroad (Du học)</t>
  </si>
  <si>
    <t xml:space="preserve">immigration</t>
  </si>
  <si>
    <t xml:space="preserve">immigration (Định cư)</t>
  </si>
  <si>
    <t xml:space="preserve">job</t>
  </si>
  <si>
    <t xml:space="preserve">job (Công việc)</t>
  </si>
  <si>
    <t xml:space="preserve">graduation</t>
  </si>
  <si>
    <t xml:space="preserve">graduation (Tốt nghiệp)</t>
  </si>
  <si>
    <t xml:space="preserve">personal</t>
  </si>
  <si>
    <t xml:space="preserve">personal (Cá nhân)</t>
  </si>
  <si>
    <t xml:space="preserve">learning_mode - Hình thức học</t>
  </si>
  <si>
    <t xml:space="preserve">online</t>
  </si>
  <si>
    <t xml:space="preserve">online (Trực tuyến)</t>
  </si>
  <si>
    <t xml:space="preserve">offline</t>
  </si>
  <si>
    <t xml:space="preserve">offline (Tại trung tâm)</t>
  </si>
  <si>
    <t xml:space="preserve">hybrid</t>
  </si>
  <si>
    <t xml:space="preserve">hybrid (Kết hợp)</t>
  </si>
  <si>
    <t xml:space="preserve">booking_status - TT đặt lịch test</t>
  </si>
  <si>
    <t xml:space="preserve">pending</t>
  </si>
  <si>
    <t xml:space="preserve">pending (Chưa đặt lịch)</t>
  </si>
  <si>
    <t xml:space="preserve">booked</t>
  </si>
  <si>
    <t xml:space="preserve">booked (Đã đặt lịch)</t>
  </si>
  <si>
    <t xml:space="preserve">rejected (Khách từ chối test)</t>
  </si>
  <si>
    <t xml:space="preserve">cancelled</t>
  </si>
  <si>
    <t xml:space="preserve">cancelled (Đã đặt nhưng hủy)</t>
  </si>
  <si>
    <t xml:space="preserve">test_format - Hình thức test</t>
  </si>
  <si>
    <t xml:space="preserve">online (Online (Zoom/LMS))</t>
  </si>
  <si>
    <t xml:space="preserve">offline (Offline tại trung tâm)</t>
  </si>
  <si>
    <t xml:space="preserve">test_attendance_status - KQ điểm danh test</t>
  </si>
  <si>
    <t xml:space="preserve">on_time</t>
  </si>
  <si>
    <t xml:space="preserve">on_time (Đúng giờ)</t>
  </si>
  <si>
    <t xml:space="preserve">late</t>
  </si>
  <si>
    <t xml:space="preserve">late (Đến trễ)</t>
  </si>
  <si>
    <t xml:space="preserve">no_show</t>
  </si>
  <si>
    <t xml:space="preserve">no_show (Vắng mặt)</t>
  </si>
  <si>
    <t xml:space="preserve">test_status - TT chấm bài test</t>
  </si>
  <si>
    <t xml:space="preserve">pending (Chưa có kết quả)</t>
  </si>
  <si>
    <t xml:space="preserve">graded</t>
  </si>
  <si>
    <t xml:space="preserve">graded (Đã chấm xong)</t>
  </si>
  <si>
    <t xml:space="preserve">post_test_status - TT sau test</t>
  </si>
  <si>
    <t xml:space="preserve">awaiting_consultation</t>
  </si>
  <si>
    <t xml:space="preserve">awaiting_consultation (Có KQ, chờ tư vấn)</t>
  </si>
  <si>
    <t xml:space="preserve">consulted</t>
  </si>
  <si>
    <t xml:space="preserve">consulted (Đã tư vấn xong)</t>
  </si>
  <si>
    <t xml:space="preserve">no_response (Khách không phản hồi)</t>
  </si>
  <si>
    <t xml:space="preserve">consultation_status - TT tư vấn</t>
  </si>
  <si>
    <t xml:space="preserve">not_consulted</t>
  </si>
  <si>
    <t xml:space="preserve">not_consulted (Chưa tư vấn)</t>
  </si>
  <si>
    <t xml:space="preserve">no_response (Không phản hồi)</t>
  </si>
  <si>
    <t xml:space="preserve">conversion_status - Kết quả tư vấn</t>
  </si>
  <si>
    <t xml:space="preserve">undecided</t>
  </si>
  <si>
    <t xml:space="preserve">undecided (Chưa quyết định)</t>
  </si>
  <si>
    <t xml:space="preserve">interested</t>
  </si>
  <si>
    <t xml:space="preserve">interested (Quan tâm, chưa chốt)</t>
  </si>
  <si>
    <t xml:space="preserve">confirmed_with_deposit</t>
  </si>
  <si>
    <t xml:space="preserve">confirmed_with_deposit (Đồng ý + có cọc)</t>
  </si>
  <si>
    <t xml:space="preserve">dropped</t>
  </si>
  <si>
    <t xml:space="preserve">dropped (Từ chối đăng ký)</t>
  </si>
  <si>
    <t xml:space="preserve">enrollment_status - TT đăng ký</t>
  </si>
  <si>
    <t xml:space="preserve">pending (Đang chờ xác nhận)</t>
  </si>
  <si>
    <t xml:space="preserve">confirmed</t>
  </si>
  <si>
    <t xml:space="preserve">cancelled (Đã hủy)</t>
  </si>
  <si>
    <t xml:space="preserve">payment_method - Phương thức thanh toán</t>
  </si>
  <si>
    <t xml:space="preserve">bank_transfer</t>
  </si>
  <si>
    <t xml:space="preserve">bank_transfer (Chuyển khoản NH)</t>
  </si>
  <si>
    <t xml:space="preserve">cash</t>
  </si>
  <si>
    <t xml:space="preserve">cash (Tiền mặt)</t>
  </si>
  <si>
    <t xml:space="preserve">installment</t>
  </si>
  <si>
    <t xml:space="preserve">installment (Trả góp)</t>
  </si>
  <si>
    <t xml:space="preserve">momo</t>
  </si>
  <si>
    <t xml:space="preserve">momo (MoMo)</t>
  </si>
  <si>
    <t xml:space="preserve">zalopay</t>
  </si>
  <si>
    <t xml:space="preserve">zalopay (ZaloPay)</t>
  </si>
  <si>
    <t xml:space="preserve">payment_status - TT thanh toán</t>
  </si>
  <si>
    <t xml:space="preserve">unpaid</t>
  </si>
  <si>
    <t xml:space="preserve">unpaid (Chưa thanh toán)</t>
  </si>
  <si>
    <t xml:space="preserve">partial</t>
  </si>
  <si>
    <t xml:space="preserve">partial (Đã thanh toán 1 phần)</t>
  </si>
  <si>
    <t xml:space="preserve">paid</t>
  </si>
  <si>
    <t xml:space="preserve">paid (Đã thanh toán đủ)</t>
  </si>
  <si>
    <t xml:space="preserve">refunded</t>
  </si>
  <si>
    <t xml:space="preserve">refunded (Đã hoàn tiền)</t>
  </si>
  <si>
    <t xml:space="preserve">discount_type - Loại chiết khấu</t>
  </si>
  <si>
    <t xml:space="preserve">promotion</t>
  </si>
  <si>
    <t xml:space="preserve">promotion (Khuyến mãi)</t>
  </si>
  <si>
    <t xml:space="preserve">loyalty</t>
  </si>
  <si>
    <t xml:space="preserve">loyalty (Khách cũ)</t>
  </si>
  <si>
    <t xml:space="preserve">scholarship</t>
  </si>
  <si>
    <t xml:space="preserve">scholarship (Học bổng)</t>
  </si>
  <si>
    <t xml:space="preserve">staff</t>
  </si>
  <si>
    <t xml:space="preserve">staff (NV nội bộ)</t>
  </si>
  <si>
    <t xml:space="preserve">bundle</t>
  </si>
  <si>
    <t xml:space="preserve">bundle (Combo nhiều khóa/HV)</t>
  </si>
  <si>
    <t xml:space="preserve">placement_status - TT xếp lớp</t>
  </si>
  <si>
    <t xml:space="preserve">not_assigned</t>
  </si>
  <si>
    <t xml:space="preserve">not_assigned (Chưa xếp lớp)</t>
  </si>
  <si>
    <t xml:space="preserve">assigned</t>
  </si>
  <si>
    <t xml:space="preserve">assigned (Đã xếp)</t>
  </si>
  <si>
    <t xml:space="preserve">confirmed (HV xác nhận đồng ý)</t>
  </si>
  <si>
    <t xml:space="preserve">changed</t>
  </si>
  <si>
    <t xml:space="preserve">changed (Đã đổi lớp ≥1 lần)</t>
  </si>
  <si>
    <t xml:space="preserve">class_confirmation_status - XN lớp của HV</t>
  </si>
  <si>
    <t xml:space="preserve">pending (Chờ phản hồi)</t>
  </si>
  <si>
    <t xml:space="preserve">confirmed (Đồng ý)</t>
  </si>
  <si>
    <t xml:space="preserve">onboarding_status - TT onboarding</t>
  </si>
  <si>
    <t xml:space="preserve">not_started</t>
  </si>
  <si>
    <t xml:space="preserve">not_started (Chưa bắt đầu)</t>
  </si>
  <si>
    <t xml:space="preserve">in_progress</t>
  </si>
  <si>
    <t xml:space="preserve">completed</t>
  </si>
  <si>
    <t xml:space="preserve">completed (Hoàn thành)</t>
  </si>
  <si>
    <t xml:space="preserve">student_status - TT kết thúc khóa</t>
  </si>
  <si>
    <t xml:space="preserve">active</t>
  </si>
  <si>
    <t xml:space="preserve">active (Đang học)</t>
  </si>
  <si>
    <t xml:space="preserve">completed (Hoàn thành khóa)</t>
  </si>
  <si>
    <t xml:space="preserve">dropped (Bỏ học giữa chừng)</t>
  </si>
  <si>
    <t xml:space="preserve">transferred</t>
  </si>
  <si>
    <t xml:space="preserve">transferred (Bảo lưu/chuyển khóa)</t>
  </si>
  <si>
    <t xml:space="preserve">attendance_status - KQ điểm danh</t>
  </si>
  <si>
    <t xml:space="preserve">late (Trễ)</t>
  </si>
  <si>
    <t xml:space="preserve">no_show (Vắng)</t>
  </si>
  <si>
    <t xml:space="preserve">absence_type - Loại vắng</t>
  </si>
  <si>
    <t xml:space="preserve">excused</t>
  </si>
  <si>
    <t xml:space="preserve">excused (Có phép)</t>
  </si>
  <si>
    <t xml:space="preserve">unexcused</t>
  </si>
  <si>
    <t xml:space="preserve">unexcused (Không phép)</t>
  </si>
  <si>
    <t xml:space="preserve">attendance_progress_status - Tiến độ chuyên cần</t>
  </si>
  <si>
    <t xml:space="preserve">on_track</t>
  </si>
  <si>
    <t xml:space="preserve">on_track (Đang đều đặn)</t>
  </si>
  <si>
    <t xml:space="preserve">at_risk</t>
  </si>
  <si>
    <t xml:space="preserve">at_risk (Có nguy cơ)</t>
  </si>
  <si>
    <t xml:space="preserve">off_track</t>
  </si>
  <si>
    <t xml:space="preserve">off_track (Sa sút nặng)</t>
  </si>
  <si>
    <t xml:space="preserve">attendance_risk_reason - Lý do nguy cơ chuyên cần</t>
  </si>
  <si>
    <t xml:space="preserve">frequent_absence</t>
  </si>
  <si>
    <t xml:space="preserve">frequent_absence (Vắng nhiều)</t>
  </si>
  <si>
    <t xml:space="preserve">no_activity</t>
  </si>
  <si>
    <t xml:space="preserve">no_activity (Không có hoạt động học)</t>
  </si>
  <si>
    <t xml:space="preserve">inconsistent_attendance</t>
  </si>
  <si>
    <t xml:space="preserve">inconsistent_attendance (Đi học không đều)</t>
  </si>
  <si>
    <t xml:space="preserve">academic_progress_status - Tiến độ học thuật</t>
  </si>
  <si>
    <t xml:space="preserve">on_track (Đang tiến bộ)</t>
  </si>
  <si>
    <t xml:space="preserve">off_track (Lệch tiến độ)</t>
  </si>
  <si>
    <t xml:space="preserve">academic_risk_reason - Lý do nguy cơ học thuật</t>
  </si>
  <si>
    <t xml:space="preserve">homework_missing</t>
  </si>
  <si>
    <t xml:space="preserve">homework_missing (Không làm bài)</t>
  </si>
  <si>
    <t xml:space="preserve">late_submission</t>
  </si>
  <si>
    <t xml:space="preserve">late_submission (Nộp bài trễ)</t>
  </si>
  <si>
    <t xml:space="preserve">weak_performance</t>
  </si>
  <si>
    <t xml:space="preserve">weak_performance (Điểm thấp liên tục)</t>
  </si>
  <si>
    <t xml:space="preserve">slow_progress</t>
  </si>
  <si>
    <t xml:space="preserve">slow_progress (Tiến bộ chậm)</t>
  </si>
  <si>
    <t xml:space="preserve">in_class_performance - Tham gia trên lớp</t>
  </si>
  <si>
    <t xml:space="preserve">good</t>
  </si>
  <si>
    <t xml:space="preserve">good (Tốt)</t>
  </si>
  <si>
    <t xml:space="preserve">average</t>
  </si>
  <si>
    <t xml:space="preserve">average (Bình thường)</t>
  </si>
  <si>
    <t xml:space="preserve">weak</t>
  </si>
  <si>
    <t xml:space="preserve">weak (Yếu)</t>
  </si>
  <si>
    <t xml:space="preserve">session_status - Trạng thái buổi học</t>
  </si>
  <si>
    <t xml:space="preserve">scheduled</t>
  </si>
  <si>
    <t xml:space="preserve">scheduled (Đã lên lịch)</t>
  </si>
  <si>
    <t xml:space="preserve">in_progress (Đang diễn ra)</t>
  </si>
  <si>
    <t xml:space="preserve">completed (Đã hoàn thành)</t>
  </si>
  <si>
    <t xml:space="preserve">cancel_reason - Lý do hủy (buổi WOW / buổi học)</t>
  </si>
  <si>
    <t xml:space="preserve">cancelled_by_itts</t>
  </si>
  <si>
    <t xml:space="preserve">cancelled_by_itts (Trung tâm hủy)</t>
  </si>
  <si>
    <t xml:space="preserve">cancelled_by_student</t>
  </si>
  <si>
    <t xml:space="preserve">cancelled_by_student (Học viên hủy)</t>
  </si>
  <si>
    <t xml:space="preserve">cancelled_by_system</t>
  </si>
  <si>
    <t xml:space="preserve">cancelled_by_system (Hệ thống hủy tự động)</t>
  </si>
  <si>
    <t xml:space="preserve">homework_status - TT bài tập</t>
  </si>
  <si>
    <t xml:space="preserve">not_assigned (Chưa giao bài)</t>
  </si>
  <si>
    <t xml:space="preserve">assigned (Đã giao)</t>
  </si>
  <si>
    <t xml:space="preserve">submitted_on_time</t>
  </si>
  <si>
    <t xml:space="preserve">submitted_on_time (Nộp đúng/trước hạn)</t>
  </si>
  <si>
    <t xml:space="preserve">submitted_late</t>
  </si>
  <si>
    <t xml:space="preserve">submitted_late (Nộp trễ)</t>
  </si>
  <si>
    <t xml:space="preserve">missing</t>
  </si>
  <si>
    <t xml:space="preserve">missing (Không nộp)</t>
  </si>
  <si>
    <t xml:space="preserve">homework_skill - Kỹ năng</t>
  </si>
  <si>
    <t xml:space="preserve">Listening</t>
  </si>
  <si>
    <t xml:space="preserve">Listening (Nghe)</t>
  </si>
  <si>
    <t xml:space="preserve">Reading</t>
  </si>
  <si>
    <t xml:space="preserve">Reading (Đọc)</t>
  </si>
  <si>
    <t xml:space="preserve">Writing</t>
  </si>
  <si>
    <t xml:space="preserve">Writing (Viết)</t>
  </si>
  <si>
    <t xml:space="preserve">Speaking</t>
  </si>
  <si>
    <t xml:space="preserve">Speaking (Nói)</t>
  </si>
  <si>
    <t xml:space="preserve">Vocabulary</t>
  </si>
  <si>
    <t xml:space="preserve">Vocabulary (Từ vựng)</t>
  </si>
  <si>
    <t xml:space="preserve">Grammar</t>
  </si>
  <si>
    <t xml:space="preserve">Grammar (Ngữ pháp)</t>
  </si>
  <si>
    <t xml:space="preserve">Mixed</t>
  </si>
  <si>
    <t xml:space="preserve">Mixed (Tổng hợp)</t>
  </si>
  <si>
    <t xml:space="preserve">wow_session_type - Loại buổi WOW</t>
  </si>
  <si>
    <t xml:space="preserve">academic_support</t>
  </si>
  <si>
    <t xml:space="preserve">academic_support (Hỗ trợ học thuật)</t>
  </si>
  <si>
    <t xml:space="preserve">advanced_practice</t>
  </si>
  <si>
    <t xml:space="preserve">advanced_practice (Luyện nâng cao)</t>
  </si>
  <si>
    <t xml:space="preserve">self_booked</t>
  </si>
  <si>
    <t xml:space="preserve">self_booked (HV tự đặt)</t>
  </si>
  <si>
    <t xml:space="preserve">sales_booked</t>
  </si>
  <si>
    <t xml:space="preserve">sales_booked (NV TV đặt)</t>
  </si>
  <si>
    <t xml:space="preserve">wow_booked_by - Người tạo booking WOW</t>
  </si>
  <si>
    <t xml:space="preserve">system</t>
  </si>
  <si>
    <t xml:space="preserve">system (Hệ thống tự tạo)</t>
  </si>
  <si>
    <t xml:space="preserve">academic_hv</t>
  </si>
  <si>
    <t xml:space="preserve">academic_hv (Học vụ)</t>
  </si>
  <si>
    <t xml:space="preserve">teacher</t>
  </si>
  <si>
    <t xml:space="preserve">teacher (Giảng viên)</t>
  </si>
  <si>
    <t xml:space="preserve">student</t>
  </si>
  <si>
    <t xml:space="preserve">student (Học viên)</t>
  </si>
  <si>
    <t xml:space="preserve">sales</t>
  </si>
  <si>
    <t xml:space="preserve">sales (NV Tư vấn)</t>
  </si>
  <si>
    <t xml:space="preserve">wow_status - Trạng thái buổi WOW</t>
  </si>
  <si>
    <t xml:space="preserve">no_show (HV không đến)</t>
  </si>
  <si>
    <t xml:space="preserve">wow_outcome - KQ buổi WOW</t>
  </si>
  <si>
    <t xml:space="preserve">improved</t>
  </si>
  <si>
    <t xml:space="preserve">improved (Tiến bộ rõ rệt)</t>
  </si>
  <si>
    <t xml:space="preserve">no_change</t>
  </si>
  <si>
    <t xml:space="preserve">no_change (Chưa cải thiện)</t>
  </si>
  <si>
    <t xml:space="preserve">needs_more</t>
  </si>
  <si>
    <t xml:space="preserve">needs_more (Cần thêm buổi)</t>
  </si>
  <si>
    <t xml:space="preserve">wow_no_show_reason - Lý do HV không đến WOW</t>
  </si>
  <si>
    <t xml:space="preserve">no_contact</t>
  </si>
  <si>
    <t xml:space="preserve">no_contact (Không liên lạc được)</t>
  </si>
  <si>
    <t xml:space="preserve">forgot</t>
  </si>
  <si>
    <t xml:space="preserve">forgot (Quên lịch)</t>
  </si>
  <si>
    <t xml:space="preserve">personal (Lý do cá nhân)</t>
  </si>
  <si>
    <t xml:space="preserve">survey_type - Loại khảo sát</t>
  </si>
  <si>
    <t xml:space="preserve">week_1</t>
  </si>
  <si>
    <t xml:space="preserve">week_1 (Tuần 1)</t>
  </si>
  <si>
    <t xml:space="preserve">week_4</t>
  </si>
  <si>
    <t xml:space="preserve">week_4 (Tuần 4)</t>
  </si>
  <si>
    <t xml:space="preserve">week_8</t>
  </si>
  <si>
    <t xml:space="preserve">week_8 (Tuần 8)</t>
  </si>
  <si>
    <t xml:space="preserve">end_of_course</t>
  </si>
  <si>
    <t xml:space="preserve">end_of_course (Cuối khóa)</t>
  </si>
  <si>
    <t xml:space="preserve">adhoc</t>
  </si>
  <si>
    <t xml:space="preserve">adhoc (Đột xuất)</t>
  </si>
  <si>
    <t xml:space="preserve">feedback_channel - Kênh thu feedback</t>
  </si>
  <si>
    <t xml:space="preserve">survey</t>
  </si>
  <si>
    <t xml:space="preserve">survey (Khảo sát có cấu trúc)</t>
  </si>
  <si>
    <t xml:space="preserve">direct</t>
  </si>
  <si>
    <t xml:space="preserve">direct (Trực tiếp)</t>
  </si>
  <si>
    <t xml:space="preserve">message</t>
  </si>
  <si>
    <t xml:space="preserve">message (Tin nhắn)</t>
  </si>
  <si>
    <t xml:space="preserve">call</t>
  </si>
  <si>
    <t xml:space="preserve">call (Điện thoại)</t>
  </si>
  <si>
    <t xml:space="preserve">feedback_type - Loại feedback</t>
  </si>
  <si>
    <t xml:space="preserve">positive</t>
  </si>
  <si>
    <t xml:space="preserve">positive (Tích cực)</t>
  </si>
  <si>
    <t xml:space="preserve">neutral</t>
  </si>
  <si>
    <t xml:space="preserve">neutral (Trung tính)</t>
  </si>
  <si>
    <t xml:space="preserve">negative</t>
  </si>
  <si>
    <t xml:space="preserve">negative (Tiêu cực)</t>
  </si>
  <si>
    <t xml:space="preserve">feedback_category - Danh mục feedback</t>
  </si>
  <si>
    <t xml:space="preserve">teacher_quality</t>
  </si>
  <si>
    <t xml:space="preserve">teacher_quality (Chất lượng giảng dạy)</t>
  </si>
  <si>
    <t xml:space="preserve">curriculum</t>
  </si>
  <si>
    <t xml:space="preserve">curriculum (Chương trình/giáo trình)</t>
  </si>
  <si>
    <t xml:space="preserve">schedule</t>
  </si>
  <si>
    <t xml:space="preserve">schedule (Lịch học)</t>
  </si>
  <si>
    <t xml:space="preserve">facility</t>
  </si>
  <si>
    <t xml:space="preserve">facility (Cơ sở vật chất)</t>
  </si>
  <si>
    <t xml:space="preserve">service</t>
  </si>
  <si>
    <t xml:space="preserve">service (Thái độ phục vụ)</t>
  </si>
  <si>
    <t xml:space="preserve">feedback_status - TT xử lý feedback</t>
  </si>
  <si>
    <t xml:space="preserve">new (Mới nhận)</t>
  </si>
  <si>
    <t xml:space="preserve">in_progress (Đang xử lý)</t>
  </si>
  <si>
    <t xml:space="preserve">resolved</t>
  </si>
  <si>
    <t xml:space="preserve">resolved (Đã xử lý xong)</t>
  </si>
  <si>
    <t xml:space="preserve">complaint_channel - Kênh tiếp nhận KN</t>
  </si>
  <si>
    <t xml:space="preserve">direct (Gặp mặt trực tiếp)</t>
  </si>
  <si>
    <t xml:space="preserve">message (Zalo/Facebook)</t>
  </si>
  <si>
    <t xml:space="preserve">complaint_type - Loại khiếu nại</t>
  </si>
  <si>
    <t xml:space="preserve">academic</t>
  </si>
  <si>
    <t xml:space="preserve">academic (Học thuật/chuyên môn)</t>
  </si>
  <si>
    <t xml:space="preserve">payment</t>
  </si>
  <si>
    <t xml:space="preserve">payment (Thanh toán/học phí)</t>
  </si>
  <si>
    <t xml:space="preserve">teacher (Về 1 GV cụ thể)</t>
  </si>
  <si>
    <t xml:space="preserve">complaint_severity - Mức độ khiếu nại</t>
  </si>
  <si>
    <t xml:space="preserve">low</t>
  </si>
  <si>
    <t xml:space="preserve">low (Thấp)</t>
  </si>
  <si>
    <t xml:space="preserve">medium</t>
  </si>
  <si>
    <t xml:space="preserve">medium (Trung bình)</t>
  </si>
  <si>
    <t xml:space="preserve">high</t>
  </si>
  <si>
    <t xml:space="preserve">high (Cao)</t>
  </si>
  <si>
    <t xml:space="preserve">complaint_status - TT khiếu nại</t>
  </si>
  <si>
    <t xml:space="preserve">new (Mới tiếp nhận)</t>
  </si>
  <si>
    <t xml:space="preserve">assigned (Đã phân công)</t>
  </si>
  <si>
    <t xml:space="preserve">escalated</t>
  </si>
  <si>
    <t xml:space="preserve">escalated (Leo thang lên QL cao)</t>
  </si>
  <si>
    <t xml:space="preserve">complaint_result - KQ từ HV</t>
  </si>
  <si>
    <t xml:space="preserve">accepted</t>
  </si>
  <si>
    <t xml:space="preserve">accepted (Chấp nhận)</t>
  </si>
  <si>
    <t xml:space="preserve">rejected (Không chấp nhận)</t>
  </si>
  <si>
    <t xml:space="preserve">pending (Chờ phản hồi HV)</t>
  </si>
  <si>
    <t xml:space="preserve">achievement_status - Mức đạt mục tiêu</t>
  </si>
  <si>
    <t xml:space="preserve">achieved</t>
  </si>
  <si>
    <t xml:space="preserve">achieved (Đạt mục tiêu)</t>
  </si>
  <si>
    <t xml:space="preserve">partially_achieved</t>
  </si>
  <si>
    <t xml:space="preserve">partially_achieved (Tiến bộ rõ nhưng chưa đủ)</t>
  </si>
  <si>
    <t xml:space="preserve">not_achieved</t>
  </si>
  <si>
    <t xml:space="preserve">not_achieved (Không cải thiện đáng kể)</t>
  </si>
  <si>
    <t xml:space="preserve">re_enrollment_status - TT tái đăng ký</t>
  </si>
  <si>
    <t xml:space="preserve">not_contacted</t>
  </si>
  <si>
    <t xml:space="preserve">not_contacted (Chưa LH)</t>
  </si>
  <si>
    <t xml:space="preserve">interested (Quan tâm, chưa quyết định)</t>
  </si>
  <si>
    <t xml:space="preserve">rejected (Từ chối học tiếp)</t>
  </si>
  <si>
    <t xml:space="preserve">staff_role - Vai trò NV</t>
  </si>
  <si>
    <t xml:space="preserve">ceo</t>
  </si>
  <si>
    <t xml:space="preserve">ceo (Giám đốc (CEO))</t>
  </si>
  <si>
    <t xml:space="preserve">sales_manager</t>
  </si>
  <si>
    <t xml:space="preserve">sales_manager (Trưởng phòng Tư vấn)</t>
  </si>
  <si>
    <t xml:space="preserve">sales_staff</t>
  </si>
  <si>
    <t xml:space="preserve">sales_staff (NV Tư vấn (EC))</t>
  </si>
  <si>
    <t xml:space="preserve">academic_manager</t>
  </si>
  <si>
    <t xml:space="preserve">academic_manager (Trưởng phòng Học vụ)</t>
  </si>
  <si>
    <t xml:space="preserve">academic_staff</t>
  </si>
  <si>
    <t xml:space="preserve">academic_staff (NV Học vụ / CSKH)</t>
  </si>
  <si>
    <t xml:space="preserve">aca_manager</t>
  </si>
  <si>
    <t xml:space="preserve">aca_manager (Trưởng phòng ACA)</t>
  </si>
  <si>
    <t xml:space="preserve">wow_leader</t>
  </si>
  <si>
    <t xml:space="preserve">wow_leader (WOW Leader)</t>
  </si>
  <si>
    <t xml:space="preserve">wow_coach</t>
  </si>
  <si>
    <t xml:space="preserve">wow_coach (Giáo viên WOW)</t>
  </si>
  <si>
    <t xml:space="preserve">teacher (Giáo viên ACA)</t>
  </si>
  <si>
    <t xml:space="preserve">marketing_staff</t>
  </si>
  <si>
    <t xml:space="preserve">marketing_staff (NV Marketing)</t>
  </si>
  <si>
    <t xml:space="preserve">hr_manager</t>
  </si>
  <si>
    <t xml:space="preserve">hr_manager (Trưởng phòng Nhân sự)</t>
  </si>
  <si>
    <t xml:space="preserve">hr_leader</t>
  </si>
  <si>
    <t xml:space="preserve">hr_leader (HR Leader)</t>
  </si>
  <si>
    <t xml:space="preserve">hr_staff</t>
  </si>
  <si>
    <t xml:space="preserve">hr_staff (NV Nhân sự)</t>
  </si>
  <si>
    <t xml:space="preserve">accounting_manager</t>
  </si>
  <si>
    <t xml:space="preserve">accounting_manager (Trưởng phòng Kế toán)</t>
  </si>
  <si>
    <t xml:space="preserve">accountant</t>
  </si>
  <si>
    <t xml:space="preserve">accountant (NV Kế toán)</t>
  </si>
  <si>
    <t xml:space="preserve">it_manager</t>
  </si>
  <si>
    <t xml:space="preserve">it_manager (Trưởng phòng IT)</t>
  </si>
  <si>
    <t xml:space="preserve">it_staff</t>
  </si>
  <si>
    <t xml:space="preserve">it_staff (NV IT)</t>
  </si>
  <si>
    <t xml:space="preserve">janitor</t>
  </si>
  <si>
    <t xml:space="preserve">janitor (NV Tạp vụ)</t>
  </si>
  <si>
    <t xml:space="preserve">security</t>
  </si>
  <si>
    <t xml:space="preserve">security (NV Bảo vệ)</t>
  </si>
  <si>
    <t xml:space="preserve">sales_leader</t>
  </si>
  <si>
    <t xml:space="preserve">sales_leader (Sale Leader Chi nhánh)</t>
  </si>
  <si>
    <t xml:space="preserve">marketing_manager</t>
  </si>
  <si>
    <t xml:space="preserve">marketing_manager (Trưởng phòng Marketing)</t>
  </si>
  <si>
    <t xml:space="preserve">marketing_leader</t>
  </si>
  <si>
    <t xml:space="preserve">marketing_leader (Marketing Leader)</t>
  </si>
  <si>
    <t xml:space="preserve">staff_status - TT nhân viên</t>
  </si>
  <si>
    <t xml:space="preserve">active (Đang làm việc)</t>
  </si>
  <si>
    <t xml:space="preserve">on_leave</t>
  </si>
  <si>
    <t xml:space="preserve">on_leave (Nghỉ phép)</t>
  </si>
  <si>
    <t xml:space="preserve">inactive</t>
  </si>
  <si>
    <t xml:space="preserve">inactive (Đã nghỉ việc)</t>
  </si>
  <si>
    <t xml:space="preserve">class_status - TT lớp</t>
  </si>
  <si>
    <t xml:space="preserve">planning</t>
  </si>
  <si>
    <t xml:space="preserve">planning (Đang lên kế hoạch)</t>
  </si>
  <si>
    <t xml:space="preserve">open</t>
  </si>
  <si>
    <t xml:space="preserve">open (Đang tuyển sinh)</t>
  </si>
  <si>
    <t xml:space="preserve">in_progress (Đang học)</t>
  </si>
  <si>
    <t xml:space="preserve">finished</t>
  </si>
  <si>
    <t xml:space="preserve">finished (Đã kết thúc)</t>
  </si>
  <si>
    <t xml:space="preserve">class_level - Trình độ lớp/khóa</t>
  </si>
  <si>
    <t xml:space="preserve">Foundation</t>
  </si>
  <si>
    <t xml:space="preserve">Foundation (Nền tảng)</t>
  </si>
  <si>
    <t xml:space="preserve">Pre-IELTS</t>
  </si>
  <si>
    <t xml:space="preserve">Pre-IELTS (Tiền IELTS)</t>
  </si>
  <si>
    <t xml:space="preserve">IELTS_5.5</t>
  </si>
  <si>
    <t xml:space="preserve">IELTS_5.5 (Mục tiêu 5.5)</t>
  </si>
  <si>
    <t xml:space="preserve">IELTS_6.0</t>
  </si>
  <si>
    <t xml:space="preserve">IELTS_6.0 (Mục tiêu 6.0)</t>
  </si>
  <si>
    <t xml:space="preserve">IELTS_6.5</t>
  </si>
  <si>
    <t xml:space="preserve">IELTS_6.5 (Mục tiêu 6.5)</t>
  </si>
  <si>
    <t xml:space="preserve">IELTS_7.0+</t>
  </si>
  <si>
    <t xml:space="preserve">IELTS_7.0+ (Mục tiêu 7.0+)</t>
  </si>
  <si>
    <t xml:space="preserve">PRIME</t>
  </si>
  <si>
    <t xml:space="preserve">PRIME: 0 - 2.0</t>
  </si>
  <si>
    <t xml:space="preserve">GOLD</t>
  </si>
  <si>
    <t xml:space="preserve">GOLD: 2.0 - 3.0</t>
  </si>
  <si>
    <t xml:space="preserve">PLATINUM</t>
  </si>
  <si>
    <t xml:space="preserve">PLATINUM: 3.0 - 4.0</t>
  </si>
  <si>
    <t xml:space="preserve">DIAMOND</t>
  </si>
  <si>
    <t xml:space="preserve">DIAMOND: 4.0 - 5.0</t>
  </si>
  <si>
    <t xml:space="preserve">MASTER</t>
  </si>
  <si>
    <t xml:space="preserve">MASTER: 5.0 - 6.0</t>
  </si>
  <si>
    <t xml:space="preserve">ELITE</t>
  </si>
  <si>
    <t xml:space="preserve">ELITE: 6.5 - 7.0</t>
  </si>
  <si>
    <t xml:space="preserve">EVO 1</t>
  </si>
  <si>
    <t xml:space="preserve">EVO 1: WRI + SPE 6.5</t>
  </si>
  <si>
    <t xml:space="preserve">EVO 2</t>
  </si>
  <si>
    <t xml:space="preserve">EVO 2: 7.0 - 7.5</t>
  </si>
  <si>
    <t xml:space="preserve">branch - Cơ sở</t>
  </si>
  <si>
    <t xml:space="preserve">online (Cơ sở Online)</t>
  </si>
  <si>
    <t xml:space="preserve">branch_1</t>
  </si>
  <si>
    <t xml:space="preserve">branch_1 (Cơ sở 1)</t>
  </si>
  <si>
    <t xml:space="preserve">branch_2</t>
  </si>
  <si>
    <t xml:space="preserve">branch_2 (Cơ sở 2)</t>
  </si>
  <si>
    <t xml:space="preserve">branch_3</t>
  </si>
  <si>
    <t xml:space="preserve">branch_3 (Cơ sở 3)</t>
  </si>
  <si>
    <t xml:space="preserve">branch_4</t>
  </si>
  <si>
    <t xml:space="preserve">branch_4 (Cơ sở 4)</t>
  </si>
  <si>
    <t xml:space="preserve">branch_5</t>
  </si>
  <si>
    <t xml:space="preserve">branch_5 (Cơ sở 5)</t>
  </si>
  <si>
    <t xml:space="preserve">wow_slot_status - Trạng thái slot lịch WOW</t>
  </si>
  <si>
    <t xml:space="preserve">available</t>
  </si>
  <si>
    <t xml:space="preserve">available (Còn trống)</t>
  </si>
  <si>
    <t xml:space="preserve">booked (Đã có người đặt)</t>
  </si>
  <si>
    <t xml:space="preserve">taught</t>
  </si>
  <si>
    <t xml:space="preserve">taught (Đã dạy xong)</t>
  </si>
  <si>
    <t xml:space="preserve">off</t>
  </si>
  <si>
    <t xml:space="preserve">off (Nghỉ/Bận)</t>
  </si>
  <si>
    <t xml:space="preserve">THAM SỐ &amp; QUY TẮC - CẤU HÌNH TẬP TRUNG (CONFIG-DRIVEN)</t>
  </si>
  <si>
    <t xml:space="preserve">Đây là nơi đặt các CON SỐ QUY TẮC của trung tâm (thời hạn xử lý/SLA, ngưỡng cảnh báo, định mức). Mỗi dòng là 1 tham số: cột "Value" là con số đang áp dụng (ô vàng = được phép sửa), cột "Mô tả" giải thích con số đó dùng làm gì. Ví dụ slaLRT_minutes=15 nghĩa là nhân viên tư vấn phải gọi lead mới trong vòng 15 phút. Khi bạn đổi con số ở đây, toàn bộ công thức/KPI/cảnh báo trong file tự tính lại theo - không cần sửa ở đâu khác.</t>
  </si>
  <si>
    <t xml:space="preserve">PHẦN 1 - PARAMETERS (sửa cột "Value" ô vàng để cấu hình)</t>
  </si>
  <si>
    <t xml:space="preserve">Param Name (named range)</t>
  </si>
  <si>
    <t xml:space="preserve">Value</t>
  </si>
  <si>
    <t xml:space="preserve">Unit</t>
  </si>
  <si>
    <t xml:space="preserve">Ý nghĩa (là gì)</t>
  </si>
  <si>
    <t xml:space="preserve">Mục đích (vì sao có)</t>
  </si>
  <si>
    <t xml:space="preserve">Giá trị đề xuất</t>
  </si>
  <si>
    <t xml:space="preserve">Ví dụ thực tế</t>
  </si>
  <si>
    <t xml:space="preserve">Tác động khi đổi &amp; dùng ở đâu</t>
  </si>
  <si>
    <t xml:space="preserve">SLA THEO GIAI ĐOẠN (P1 - Lead ... P10 - Kết thúc khóa)</t>
  </si>
  <si>
    <t xml:space="preserve">slaLRT_minutes</t>
  </si>
  <si>
    <t xml:space="preserve">phút</t>
  </si>
  <si>
    <t xml:space="preserve">Thời gian phản hồi lead mới (LRT): tối đa bao lâu phải gọi/nhắn 1 lead MỚI kể từ khi lead vào hệ thống.</t>
  </si>
  <si>
    <t xml:space="preserve">Không để lead nguội. Gọi càng sớm tỷ lệ chốt càng cao.</t>
  </si>
  <si>
    <t xml:space="preserve">15 phút trong giờ làm việc. Nới 30 phút nếu ít người trực.</t>
  </si>
  <si>
    <t xml:space="preserve">Lead vào 9:00, đến 9:15 chưa gọi thì ô Việc cần làm ở DL02 hiện "Quá SLA LRT - GỌI NGAY".</t>
  </si>
  <si>
    <t xml:space="preserve">Đặt nhỏ hơn thì nhắc gắt hơn. Dùng ở DL02 (Khách tiềm năng), cột Việc cần làm.</t>
  </si>
  <si>
    <t xml:space="preserve">slaLeadReassign_hours</t>
  </si>
  <si>
    <t xml:space="preserve">giờ</t>
  </si>
  <si>
    <t xml:space="preserve">Hạn giao lại lead cho NV khác nếu người được giao không gọi.</t>
  </si>
  <si>
    <t xml:space="preserve">Lead luôn có người chăm, không bị "ôm" rồi bỏ.</t>
  </si>
  <si>
    <t xml:space="preserve">4 giờ.</t>
  </si>
  <si>
    <t xml:space="preserve">Đặt nhỏ hơn thì giao lại nhanh hơn. Dùng ở DL02 (Khách tiềm năng), cột Việc cần làm.</t>
  </si>
  <si>
    <t xml:space="preserve">slaGLA_hours</t>
  </si>
  <si>
    <t xml:space="preserve">Thời hạn chấm bài test đầu vào (GLA): tối đa bao lâu phải chấm xong bài test của khách.</t>
  </si>
  <si>
    <t xml:space="preserve">Trả kết quả test nhanh để kịp tư vấn, tránh khách chờ lâu rồi bỏ.</t>
  </si>
  <si>
    <t xml:space="preserve">24 giờ.</t>
  </si>
  <si>
    <t xml:space="preserve">Nới ra thì khách chờ lâu hơn. Dùng ở DL03 (Đặt lịch test), cột Việc cần làm.</t>
  </si>
  <si>
    <t xml:space="preserve">slaCVT_hours</t>
  </si>
  <si>
    <t xml:space="preserve">Thời hạn tư vấn sau khi có kết quả test (CVT): có điểm rồi thì tối đa bao lâu phải tư vấn cho khách.</t>
  </si>
  <si>
    <t xml:space="preserve">Chốt khách khi còn quan tâm, ngay sau khi có kết quả.</t>
  </si>
  <si>
    <t xml:space="preserve">Nới ra thì dễ mất khách. Dùng ở DL03/DL04, cột Việc cần làm.</t>
  </si>
  <si>
    <t xml:space="preserve">slaFollowup_grace_days</t>
  </si>
  <si>
    <t xml:space="preserve">ngày</t>
  </si>
  <si>
    <t xml:space="preserve">Hạn theo dõi lại lead đang cân nhắc: quá số ngày này chưa liên hệ lại thì nhắc.</t>
  </si>
  <si>
    <t xml:space="preserve">Không bỏ quên lead còn quan tâm.</t>
  </si>
  <si>
    <t xml:space="preserve">3 ngày.</t>
  </si>
  <si>
    <t xml:space="preserve">Nới ra thì lead dễ nguội. Dùng ở DL02/DL04, cột Việc cần làm.</t>
  </si>
  <si>
    <t xml:space="preserve">slaApproval_days</t>
  </si>
  <si>
    <t xml:space="preserve">Hạn để cấp trên phê duyệt một yêu cầu (giảm giá, hoàn tiền...).</t>
  </si>
  <si>
    <t xml:space="preserve">Yêu cầu được duyệt nhanh, không tắc nghẽn.</t>
  </si>
  <si>
    <t xml:space="preserve">1 ngày.</t>
  </si>
  <si>
    <t xml:space="preserve">Nới ra thì duyệt chậm hơn. Dùng cho chỉ số tỷ lệ duyệt đúng hạn ở báo cáo.</t>
  </si>
  <si>
    <t xml:space="preserve">slaENR_pending_hours</t>
  </si>
  <si>
    <t xml:space="preserve">Hạn xử lý đăng ký đang chờ (pending): để chờ quá lâu thì nhắc xác nhận hoặc hủy.</t>
  </si>
  <si>
    <t xml:space="preserve">Không để đăng ký treo, chốt rõ xác nhận hay hủy.</t>
  </si>
  <si>
    <t xml:space="preserve">Nới ra thì đăng ký treo lâu. Dùng ở DL06 (Đăng ký), cột Việc cần làm.</t>
  </si>
  <si>
    <t xml:space="preserve">slaENR_cancel_hours</t>
  </si>
  <si>
    <t xml:space="preserve">Hạn coi như hủy đăng ký: đăng ký "chờ" quá lâu thì đề xuất hủy hẳn.</t>
  </si>
  <si>
    <t xml:space="preserve">Dọn các đăng ký ảo, giải phóng chỗ.</t>
  </si>
  <si>
    <t xml:space="preserve">72 giờ.</t>
  </si>
  <si>
    <t xml:space="preserve">Nới ra thì đăng ký ảo tồn lâu. Dùng ở DL06 (Đăng ký), cột Việc cần làm.</t>
  </si>
  <si>
    <t xml:space="preserve">slaPayment_grace_days</t>
  </si>
  <si>
    <t xml:space="preserve">Hạn trễ đóng đợt tiền tiếp theo: quá số ngày này chưa đóng thì nhắc/cảnh báo.</t>
  </si>
  <si>
    <t xml:space="preserve">Thu đủ học phí đúng hạn.</t>
  </si>
  <si>
    <t xml:space="preserve">14 ngày.</t>
  </si>
  <si>
    <t xml:space="preserve">Nới ra thì dòng tiền chậm. Dùng ở DL06/DL07, cột Việc cần làm.</t>
  </si>
  <si>
    <t xml:space="preserve">slaClassInfoZalo_hours</t>
  </si>
  <si>
    <t xml:space="preserve">Hạn gửi thông tin lớp qua Zalo cho HV sau khi xếp lớp.</t>
  </si>
  <si>
    <t xml:space="preserve">HV nhận thông tin lớp kịp thời để đi học đúng buổi đầu.</t>
  </si>
  <si>
    <t xml:space="preserve">Nới ra thì HV nhận tin trễ. Dùng ở DL08 (Xếp lớp), cột Việc cần làm.</t>
  </si>
  <si>
    <t xml:space="preserve">slaPLR48_hours</t>
  </si>
  <si>
    <t xml:space="preserve">Thời hạn xếp lớp (PLR48): đăng ký đã xác nhận thì tối đa bao lâu phải xếp được lớp cho HV.</t>
  </si>
  <si>
    <t xml:space="preserve">Cho HV vào học sớm, không để chờ sau khi đã đóng tiền.</t>
  </si>
  <si>
    <t xml:space="preserve">48 giờ.</t>
  </si>
  <si>
    <t xml:space="preserve">Đăng ký xác nhận thứ Hai, quá thứ Tư chưa xếp lớp thì DL08 báo "Quá PLR48 - XẾP LỚP NGAY".</t>
  </si>
  <si>
    <t xml:space="preserve">Nới ra thì HV chờ lâu hơn. Dùng ở DL08 (Xếp lớp), cột Việc cần làm.</t>
  </si>
  <si>
    <t xml:space="preserve">slaOBT_hours</t>
  </si>
  <si>
    <t xml:space="preserve">Thời hạn nhập học (OBT): tối đa bao lâu phải hoàn tất thủ tục nhập học cho HV.</t>
  </si>
  <si>
    <t xml:space="preserve">Hoàn tất onboarding để HV bắt đầu học đúng hẹn.</t>
  </si>
  <si>
    <t xml:space="preserve">Nới ra thì onboarding chậm. Dùng ở DL08 (Xếp lớp), cột Việc cần làm.</t>
  </si>
  <si>
    <t xml:space="preserve">slaTeacherAttendance_minutes</t>
  </si>
  <si>
    <t xml:space="preserve">Hạn để GV bắt đầu lớp/điểm danh sau giờ vào học.</t>
  </si>
  <si>
    <t xml:space="preserve">Đảm bảo lớp bắt đầu đúng giờ, có điểm danh.</t>
  </si>
  <si>
    <t xml:space="preserve">30 phút.</t>
  </si>
  <si>
    <t xml:space="preserve">Đặt nhỏ hơn thì siết giờ giấc GV chặt hơn. Dùng ở DL11 (Buổi học), cột Việc cần làm.</t>
  </si>
  <si>
    <t xml:space="preserve">slaTeacherNote_hours</t>
  </si>
  <si>
    <t xml:space="preserve">Thời hạn giáo viên ghi nhận xét buổi học (teacher_note) sau khi buổi kết thúc.</t>
  </si>
  <si>
    <t xml:space="preserve">Bảo đảm có nhận xét từng buổi để theo dõi tiến bộ HV.</t>
  </si>
  <si>
    <t xml:space="preserve">Nới ra thì nhận xét buổi bị chậm. Dùng ở DL11 (Buổi học), cột Việc cần làm.</t>
  </si>
  <si>
    <t xml:space="preserve">slaAbsenceCall_hours</t>
  </si>
  <si>
    <t xml:space="preserve">Hạn gọi HV/phụ huynh sau buổi HV vắng không phép.</t>
  </si>
  <si>
    <t xml:space="preserve">Liên hệ ngay khi HV vắng để giữ HV không bỏ học.</t>
  </si>
  <si>
    <t xml:space="preserve">Nới ra thì phản ứng chậm khi HV vắng. Dùng ở DL12 (Điểm danh), cột Việc cần làm.</t>
  </si>
  <si>
    <t xml:space="preserve">slaHomeworkGrading_hours</t>
  </si>
  <si>
    <t xml:space="preserve">Hạn GV chấm bài tập sau khi HV nộp.</t>
  </si>
  <si>
    <t xml:space="preserve">Trả bài nhanh để HV biết kết quả và sửa.</t>
  </si>
  <si>
    <t xml:space="preserve">Đặt nhỏ hơn thì siết tốc độ chấm. Dùng ở DL13 (Bài tập), cột Việc cần làm.</t>
  </si>
  <si>
    <t xml:space="preserve">slaWowQuotaCheck_hours</t>
  </si>
  <si>
    <t xml:space="preserve">Hạn kiểm tra và trừ quota buổi WOW sau khi buổi kết thúc.</t>
  </si>
  <si>
    <t xml:space="preserve">Đảm bảo số buổi WOW được tính đúng, không lệch quota.</t>
  </si>
  <si>
    <t xml:space="preserve">Nới ra thì quota dễ sai. Dùng ở DL14 (Buổi WOW 1-1), cột Việc cần làm.</t>
  </si>
  <si>
    <t xml:space="preserve">slaWowOutcomeRead_hours</t>
  </si>
  <si>
    <t xml:space="preserve">Hạn Học vụ đọc và ghi kết quả (content_note) buổi WOW.</t>
  </si>
  <si>
    <t xml:space="preserve">Nắm kết quả buổi kèm để theo dõi tiến bộ HV.</t>
  </si>
  <si>
    <t xml:space="preserve">Nới ra thì theo dõi tiến bộ trễ. Dùng ở DL14 (Buổi WOW 1-1), cột Việc cần làm.</t>
  </si>
  <si>
    <t xml:space="preserve">slaSurveyReport_hours</t>
  </si>
  <si>
    <t xml:space="preserve">Hạn xử lý và báo cáo khảo sát sau khi HV nộp.</t>
  </si>
  <si>
    <t xml:space="preserve">Đọc phản hồi khảo sát kịp thời để cải thiện.</t>
  </si>
  <si>
    <t xml:space="preserve">Nới ra thì phản hồi bị chậm xử lý. Dùng ở DL15 (Khảo sát), cột Việc cần làm.</t>
  </si>
  <si>
    <t xml:space="preserve">slaFB_classify_hours</t>
  </si>
  <si>
    <t xml:space="preserve">Hạn phân loại phản hồi mới (tích cực/tiêu cực/góp ý).</t>
  </si>
  <si>
    <t xml:space="preserve">Đọc và phân loại phản hồi kịp thời để hành động.</t>
  </si>
  <si>
    <t xml:space="preserve">Nới ra thì phản hồi bị bỏ. Dùng ở DL16 (Phản hồi), quy trình xử lý.</t>
  </si>
  <si>
    <t xml:space="preserve">slaKN_assignment_hours</t>
  </si>
  <si>
    <t xml:space="preserve">Hạn phân công người xử lý cho khiếu nại MỚI.</t>
  </si>
  <si>
    <t xml:space="preserve">Khiếu nại có người phụ trách ngay, không bị bỏ.</t>
  </si>
  <si>
    <t xml:space="preserve">2 giờ.</t>
  </si>
  <si>
    <t xml:space="preserve">Nới ra thì khiếu nại bị treo. Dùng ở DL17 (Khiếu nại), cột Việc cần làm.</t>
  </si>
  <si>
    <t xml:space="preserve">slaKN_high_hours</t>
  </si>
  <si>
    <t xml:space="preserve">Hạn xử lý khiếu nại mức độ cao.</t>
  </si>
  <si>
    <t xml:space="preserve">Việc nghiêm trọng được giải quyết nhanh.</t>
  </si>
  <si>
    <t xml:space="preserve">Nới ra thì việc gấp bị chậm. Dùng ở DL17 (Khiếu nại), cột Việc cần làm.</t>
  </si>
  <si>
    <t xml:space="preserve">slaKN_medium_hours</t>
  </si>
  <si>
    <t xml:space="preserve">Hạn xử lý khiếu nại mức độ trung bình.</t>
  </si>
  <si>
    <t xml:space="preserve">Cân đối nguồn lực cho việc mức trung bình.</t>
  </si>
  <si>
    <t xml:space="preserve">Nới ra thì tồn đọng nhiều. Dùng ở DL17 (Khiếu nại), cột Việc cần làm.</t>
  </si>
  <si>
    <t xml:space="preserve">slaKN_low_hours</t>
  </si>
  <si>
    <t xml:space="preserve">Hạn xử lý khiếu nại mức độ thấp.</t>
  </si>
  <si>
    <t xml:space="preserve">Việc nhỏ vẫn phải được phản hồi, không bỏ quên.</t>
  </si>
  <si>
    <t xml:space="preserve">168 giờ (7 ngày).</t>
  </si>
  <si>
    <t xml:space="preserve">Khiếu nại mức thấp quá 7 ngày chưa xử lý thì DL17 báo cần phản hồi.</t>
  </si>
  <si>
    <t xml:space="preserve">Nới ra thì việc nhỏ tồn lâu. Dùng ở DL17 (Khiếu nại), cột Việc cần làm.</t>
  </si>
  <si>
    <t xml:space="preserve">slaActivity_inactive_days</t>
  </si>
  <si>
    <t xml:space="preserve">Số ngày HV không có hoạt động học thì coi là có nguy cơ.</t>
  </si>
  <si>
    <t xml:space="preserve">Phát hiện sớm HV bỏ học để can thiệp.</t>
  </si>
  <si>
    <t xml:space="preserve">7 ngày.</t>
  </si>
  <si>
    <t xml:space="preserve">Nới ra thì phát hiện trễ. Dùng ở DL09 (Học viên), cột Việc cần làm.</t>
  </si>
  <si>
    <t xml:space="preserve">slaFinalTest_days</t>
  </si>
  <si>
    <t xml:space="preserve">Hạn nhập điểm test cuối khóa sau khi HV hoàn thành.</t>
  </si>
  <si>
    <t xml:space="preserve">Có điểm cuối để đánh giá kết quả và tư vấn khóa tiếp.</t>
  </si>
  <si>
    <t xml:space="preserve">Nới ra thì đánh giá kết quả trễ. Dùng ở DL18 (Kết thúc khóa), cột Việc cần làm.</t>
  </si>
  <si>
    <t xml:space="preserve">slaReenroll_contact_days</t>
  </si>
  <si>
    <t xml:space="preserve">Hạn liên hệ tái ghi danh sau khi HV hoàn thành khóa.</t>
  </si>
  <si>
    <t xml:space="preserve">Giữ chân HV, mời học khóa tiếp theo đúng thời điểm.</t>
  </si>
  <si>
    <t xml:space="preserve">Nới ra thì bỏ lỡ cơ hội tái ghi danh. Dùng ở DL18 (Kết thúc khóa), cột Việc cần làm.</t>
  </si>
  <si>
    <t xml:space="preserve">slaReenrollSchedule_days</t>
  </si>
  <si>
    <t xml:space="preserve">Hạn chốt lịch khóa mới cho HV đã quan tâm tái ghi danh.</t>
  </si>
  <si>
    <t xml:space="preserve">Chuyển HV quan tâm thành đăng ký khóa mới kịp thời.</t>
  </si>
  <si>
    <t xml:space="preserve">Nới ra thì dễ mất HV quay lại. Dùng ở DL18 (Kết thúc khóa), cột Việc cần làm.</t>
  </si>
  <si>
    <t xml:space="preserve">slaQuote_days</t>
  </si>
  <si>
    <t xml:space="preserve">Hạn gửi báo giá sau buổi tư vấn.</t>
  </si>
  <si>
    <t xml:space="preserve">Khách còn nóng thì chốt nhanh, để lâu nguội.</t>
  </si>
  <si>
    <t xml:space="preserve">Tư vấn hôm nay thì mai phải có báo giá.</t>
  </si>
  <si>
    <t xml:space="preserve">Hiển thị ở HD2 P3.</t>
  </si>
  <si>
    <t xml:space="preserve">slaPaymentConfirm_days</t>
  </si>
  <si>
    <t xml:space="preserve">Hạn gửi xác nhận/phiếu thu sau khi thu đủ tiền.</t>
  </si>
  <si>
    <t xml:space="preserve">Khách yên tâm đã đóng thành công.</t>
  </si>
  <si>
    <t xml:space="preserve">Thu đủ hôm nay, mai gửi xác nhận.</t>
  </si>
  <si>
    <t xml:space="preserve">Hiển thị ở HD2 P4.</t>
  </si>
  <si>
    <t xml:space="preserve">slaRefundProcess_days</t>
  </si>
  <si>
    <t xml:space="preserve">Hạn hoàn tất chuyển tiền hoàn sau khi duyệt.</t>
  </si>
  <si>
    <t xml:space="preserve">Giữ uy tín khi HV rời đi.</t>
  </si>
  <si>
    <t xml:space="preserve">5 ngày.</t>
  </si>
  <si>
    <t xml:space="preserve">Duyệt hoàn thứ 2 thì thứ 6 tiền phải về.</t>
  </si>
  <si>
    <t xml:space="preserve">slaNoteReview_hours</t>
  </si>
  <si>
    <t xml:space="preserve">Hạn học vụ duyệt nhận xét buổi học của GV.</t>
  </si>
  <si>
    <t xml:space="preserve">Phát hiện sớm vấn đề trong note.</t>
  </si>
  <si>
    <t xml:space="preserve">GV nộp note tối nay, trưa mai học vụ phải duyệt.</t>
  </si>
  <si>
    <t xml:space="preserve">Hiển thị ở HD2 P6.</t>
  </si>
  <si>
    <t xml:space="preserve">slaRiskFlagUpdate_hours</t>
  </si>
  <si>
    <t xml:space="preserve">Hạn cập nhật cờ nguy cơ sau chuỗi tín hiệu yếu.</t>
  </si>
  <si>
    <t xml:space="preserve">Cờ đúng lúc thì can thiệp đúng lúc.</t>
  </si>
  <si>
    <t xml:space="preserve">HV yếu 3 buổi liền thì trong 2 ngày phải xét cờ.</t>
  </si>
  <si>
    <t xml:space="preserve">slaWowBooking_hours</t>
  </si>
  <si>
    <t xml:space="preserve">Hạn xử lý/xác nhận một booking WOW (mọi nguồn đặt).</t>
  </si>
  <si>
    <t xml:space="preserve">Buổi WOW là cam kết chăm sóc - không để trôi.</t>
  </si>
  <si>
    <t xml:space="preserve">HV tự đặt sáng nay, trong hôm sau phải chốt lịch.</t>
  </si>
  <si>
    <t xml:space="preserve">Hiển thị ở HD2 P7.</t>
  </si>
  <si>
    <t xml:space="preserve">slaSurveyCollect_days</t>
  </si>
  <si>
    <t xml:space="preserve">Hạn thu khảo sát định kỳ sau khi gửi form.</t>
  </si>
  <si>
    <t xml:space="preserve">Thu đủ phản hồi khi trải nghiệm còn mới.</t>
  </si>
  <si>
    <t xml:space="preserve">Gửi form tuần 4 thì trong 7 ngày phải chốt số.</t>
  </si>
  <si>
    <t xml:space="preserve">Hiển thị ở HD2 P8.</t>
  </si>
  <si>
    <t xml:space="preserve">slaTestimonialAsk_days</t>
  </si>
  <si>
    <t xml:space="preserve">Hạn xin review/testimonial khi HV đang hài lòng.</t>
  </si>
  <si>
    <t xml:space="preserve">Xin lúc cảm xúc tốt nhất.</t>
  </si>
  <si>
    <t xml:space="preserve">NPS 9-10 thì trong tuần đó ngỏ lời xin review.</t>
  </si>
  <si>
    <t xml:space="preserve">Hiển thị ở HD2 P8-P9.</t>
  </si>
  <si>
    <t xml:space="preserve">slaComplaintClose_days</t>
  </si>
  <si>
    <t xml:space="preserve">Hạn đóng hồ sơ khiếu nại sau khi xử lý xong.</t>
  </si>
  <si>
    <t xml:space="preserve">Xác nhận HV thật sự hài lòng rồi mới đóng.</t>
  </si>
  <si>
    <t xml:space="preserve">Xử lý xong thì trong 7 ngày gọi xác nhận + đóng case.</t>
  </si>
  <si>
    <t xml:space="preserve">Hiển thị ở HD2 P9.</t>
  </si>
  <si>
    <t xml:space="preserve">NGƯỠNG CẢNH BÁO (THRESHOLDS)</t>
  </si>
  <si>
    <t xml:space="preserve">thresholdContacted_attempts</t>
  </si>
  <si>
    <t xml:space="preserve">lần</t>
  </si>
  <si>
    <t xml:space="preserve">Số lần liên hệ không được để chuyển lead sang "hết cách liên lạc".</t>
  </si>
  <si>
    <t xml:space="preserve">Dừng đeo bám lead không phản hồi, dồn sức cho lead khác.</t>
  </si>
  <si>
    <t xml:space="preserve">5 lần.</t>
  </si>
  <si>
    <t xml:space="preserve">Đã gọi/nhắn 5 lần mà không phản hồi thì DL02 đề xuất chuyển unreachable.</t>
  </si>
  <si>
    <t xml:space="preserve">Đặt nhỏ hơn thì bỏ lead sớm hơn. Dùng ở DL02 (Khách tiềm năng), cột Việc cần làm.</t>
  </si>
  <si>
    <t xml:space="preserve">thresholdContacted_days</t>
  </si>
  <si>
    <t xml:space="preserve">Số ngày đã liên hệ mà chưa chốt thì cần đẩy mạnh tư vấn.</t>
  </si>
  <si>
    <t xml:space="preserve">Không để lead đã liên hệ trôi quá lâu.</t>
  </si>
  <si>
    <t xml:space="preserve">Đặt nhỏ hơn thì thúc chốt sớm hơn. Dùng ở DL02 (Khách tiềm năng), cột Việc cần làm.</t>
  </si>
  <si>
    <t xml:space="preserve">thresholdAtRisk_absences</t>
  </si>
  <si>
    <t xml:space="preserve">buổi</t>
  </si>
  <si>
    <t xml:space="preserve">Số buổi vắng không phép để đánh dấu HV có nguy cơ về chuyên cần.</t>
  </si>
  <si>
    <t xml:space="preserve">Phát hiện HV hay vắng để can thiệp sớm.</t>
  </si>
  <si>
    <t xml:space="preserve">2 buổi.</t>
  </si>
  <si>
    <t xml:space="preserve">HV vắng không phép 2 buổi thì DL09 báo nguy cơ chuyên cần, học vụ liên hệ.</t>
  </si>
  <si>
    <t xml:space="preserve">Đặt nhỏ hơn thì cảnh báo sớm hơn. Dùng ở DL09 (Học viên), cột Việc cần làm.</t>
  </si>
  <si>
    <t xml:space="preserve">thresholdAtRisk_hw_missing</t>
  </si>
  <si>
    <t xml:space="preserve">Số lần thiếu bài tập để đánh dấu HV có nguy cơ về học thuật.</t>
  </si>
  <si>
    <t xml:space="preserve">Phát hiện HV lười làm bài để kèm thêm.</t>
  </si>
  <si>
    <t xml:space="preserve">3 lần.</t>
  </si>
  <si>
    <t xml:space="preserve">HV thiếu bài tập 3 lần thì DL09 báo nguy cơ học thuật, cần can thiệp.</t>
  </si>
  <si>
    <t xml:space="preserve">thresholdDiscount_approval</t>
  </si>
  <si>
    <t xml:space="preserve">VND</t>
  </si>
  <si>
    <t xml:space="preserve">Mức giảm giá mà nếu vượt thì bắt buộc cấp trên duyệt.</t>
  </si>
  <si>
    <t xml:space="preserve">Kiểm soát giảm giá, tránh lạm dụng.</t>
  </si>
  <si>
    <t xml:space="preserve">1.000.000đ.</t>
  </si>
  <si>
    <t xml:space="preserve">Giảm 1.500.000đ mà chưa có người duyệt thì DL06 báo "cần cấp trên duyệt".</t>
  </si>
  <si>
    <t xml:space="preserve">Đặt thấp hơn thì kiểm soát chặt hơn. Dùng ở DL06 (Đăng ký), cột Việc cần làm.</t>
  </si>
  <si>
    <t xml:space="preserve">thresholdDeposit_minimum</t>
  </si>
  <si>
    <t xml:space="preserve">Mức cọc tối thiểu để đăng ký được chuyển sang "đã xác nhận".</t>
  </si>
  <si>
    <t xml:space="preserve">Đảm bảo HV cam kết bằng khoản cọc tối thiểu.</t>
  </si>
  <si>
    <t xml:space="preserve">5.000.000đ.</t>
  </si>
  <si>
    <t xml:space="preserve">HV cọc đủ 5.000.000đ thì đăng ký mới chuyển xác nhận.</t>
  </si>
  <si>
    <t xml:space="preserve">Đặt cao hơn thì khó chốt hơn nhưng cam kết chắc hơn. Dùng ở DL06 (Đăng ký).</t>
  </si>
  <si>
    <t xml:space="preserve">thresholdPlacementChange_count</t>
  </si>
  <si>
    <t xml:space="preserve">Số lần đổi lớp của một học viên mà từ đó quản lý cần chú ý.</t>
  </si>
  <si>
    <t xml:space="preserve">Đổi lớp nhiều lần là dấu hiệu xếp lớp chưa phù hợp - cần quản lý xem xét.</t>
  </si>
  <si>
    <t xml:space="preserve">2 lần.</t>
  </si>
  <si>
    <t xml:space="preserve">HV đổi lớp lần 2 sẽ xuất hiện ở BC9 (Bảng Quản lý).</t>
  </si>
  <si>
    <t xml:space="preserve">Tăng lên thì ít cảnh báo hơn. Dùng ở BC9.</t>
  </si>
  <si>
    <t xml:space="preserve">thresholdClassStart_days</t>
  </si>
  <si>
    <t xml:space="preserve">Cửa sổ "lớp sắp khai giảng" trên bảng việc.</t>
  </si>
  <si>
    <t xml:space="preserve">Chuẩn bị lớp mới đủ sớm.</t>
  </si>
  <si>
    <t xml:space="preserve">Lớp khai giảng trong 14 ngày sẽ hiện ở VH9.</t>
  </si>
  <si>
    <t xml:space="preserve">Dùng ở VH9, HD0.</t>
  </si>
  <si>
    <t xml:space="preserve">thresholdPreEnd_days</t>
  </si>
  <si>
    <t xml:space="preserve">Mốc bắt đầu quy trình kết thúc khóa trước ngày bế giảng.</t>
  </si>
  <si>
    <t xml:space="preserve">Chuẩn bị final test + tái ghi danh kịp lúc.</t>
  </si>
  <si>
    <t xml:space="preserve">30 ngày.</t>
  </si>
  <si>
    <t xml:space="preserve">Lớp còn 30 ngày thì học vụ khởi động P10.</t>
  </si>
  <si>
    <t xml:space="preserve">Hiển thị ở HD2 P10.</t>
  </si>
  <si>
    <t xml:space="preserve">thresholdReenrollLost_days</t>
  </si>
  <si>
    <t xml:space="preserve">Quá số ngày này sau kết thúc mà chưa tái ghi danh thì coi như rời hệ thống.</t>
  </si>
  <si>
    <t xml:space="preserve">Chốt số liệu giữ chân chính xác.</t>
  </si>
  <si>
    <t xml:space="preserve">90 ngày.</t>
  </si>
  <si>
    <t xml:space="preserve">Kết thúc 3 tháng chưa quay lại thì tính là churn.</t>
  </si>
  <si>
    <t xml:space="preserve">CHÍNH SÁCH HOÀN TIỀN (REFUND)</t>
  </si>
  <si>
    <t xml:space="preserve">refundFull_days</t>
  </si>
  <si>
    <t xml:space="preserve">Hủy trong vòng số ngày này (từ khi xác nhận) thì hoàn 100% học phí.</t>
  </si>
  <si>
    <t xml:space="preserve">Chính sách hoàn tiền công bằng giai đoạn đầu.</t>
  </si>
  <si>
    <t xml:space="preserve">HV hủy ở ngày thứ 5 thì DL06 hiện "hoàn 100%".</t>
  </si>
  <si>
    <t xml:space="preserve">Nới ra thì hoàn đủ trong thời gian dài hơn. Dùng ở DL06 (Đăng ký), cột Việc cần làm.</t>
  </si>
  <si>
    <t xml:space="preserve">refundPartial_days</t>
  </si>
  <si>
    <t xml:space="preserve">Hủy trong vòng số ngày này thì hoàn một phần.</t>
  </si>
  <si>
    <t xml:space="preserve">Mốc hoàn tiền trung gian.</t>
  </si>
  <si>
    <t xml:space="preserve">HV hủy ở ngày thứ 10 thì DL06 hiện "hoàn một phần".</t>
  </si>
  <si>
    <t xml:space="preserve">Đổi thì thay mốc hoàn một phần. Dùng ở DL06 (Đăng ký), cột Việc cần làm.</t>
  </si>
  <si>
    <t xml:space="preserve">refundReduced_days</t>
  </si>
  <si>
    <t xml:space="preserve">Hủy trong vòng số ngày này thì hoàn mức thấp; quá thì không hoàn.</t>
  </si>
  <si>
    <t xml:space="preserve">Mốc hoàn tiền cuối trước khi hết quyền hoàn.</t>
  </si>
  <si>
    <t xml:space="preserve">HV hủy ở ngày thứ 25 thì DL06 hiện "hoàn mức thấp"; ngày thứ 40 thì "quá hạn hoàn tiền".</t>
  </si>
  <si>
    <t xml:space="preserve">Đổi thì thay mốc hoàn cuối. Dùng ở DL06 (Đăng ký), cột Việc cần làm.</t>
  </si>
  <si>
    <t xml:space="preserve">WOW QUOTA</t>
  </si>
  <si>
    <t xml:space="preserve">wowQuota_default_sessions</t>
  </si>
  <si>
    <t xml:space="preserve">Số buổi WOW 1-1 mặc định mỗi HV được hưởng theo gói khóa.</t>
  </si>
  <si>
    <t xml:space="preserve">Định mức buổi kèm 1-1 chuẩn cho mỗi HV.</t>
  </si>
  <si>
    <t xml:space="preserve">4 buổi (nếu khóa không ghi riêng).</t>
  </si>
  <si>
    <t xml:space="preserve">Khóa không khai báo số buổi WOW riêng thì HV được mặc định 4 buổi.</t>
  </si>
  <si>
    <t xml:space="preserve">Tăng lên thì mỗi HV được nhiều buổi kèm hơn. Dùng ở DL09 (Học viên), cột Lượt WOW mặc định.</t>
  </si>
  <si>
    <t xml:space="preserve">KPI THRESHOLDS (SOP standards) - quản lý &amp; sửa tại CH6. Ngưỡng KPI</t>
  </si>
  <si>
    <t xml:space="preserve">kpiThreshold_VLR</t>
  </si>
  <si>
    <t xml:space="preserve">%</t>
  </si>
  <si>
    <t xml:space="preserve">Ngưỡng tỷ lệ lead đạt chuẩn (Valid Lead Rate).</t>
  </si>
  <si>
    <t xml:space="preserve">Đặt mục tiêu chất lượng lead đầu vào.</t>
  </si>
  <si>
    <t xml:space="preserve">0,6 (tức 60%).</t>
  </si>
  <si>
    <t xml:space="preserve">Đặt cao hơn thì khắt khe hơn. Dùng ở các sheet Báo cáo (BC), so với số thực tế để tô cảnh báo.</t>
  </si>
  <si>
    <t xml:space="preserve">kpiThreshold_TAR</t>
  </si>
  <si>
    <t xml:space="preserve">Ngưỡng tỷ lệ đi test đầy đủ (Test Attendance Rate).</t>
  </si>
  <si>
    <t xml:space="preserve">Mục tiêu khách đặt test thì đến làm test.</t>
  </si>
  <si>
    <t xml:space="preserve">0,85 (85%).</t>
  </si>
  <si>
    <t xml:space="preserve">kpiThreshold_CVR</t>
  </si>
  <si>
    <t xml:space="preserve">Ngưỡng tỷ lệ chuyển đổi lead thành HV (Conversion Rate).</t>
  </si>
  <si>
    <t xml:space="preserve">Mục tiêu chốt lead thành học viên.</t>
  </si>
  <si>
    <t xml:space="preserve">0,4 (40%).</t>
  </si>
  <si>
    <t xml:space="preserve">kpiThreshold_PCR</t>
  </si>
  <si>
    <t xml:space="preserve">Ngưỡng tỷ lệ thu đủ học phí (Payment Completion Rate).</t>
  </si>
  <si>
    <t xml:space="preserve">Mục tiêu thu đủ tiền các đăng ký.</t>
  </si>
  <si>
    <t xml:space="preserve">0,8 (80%).</t>
  </si>
  <si>
    <t xml:space="preserve">kpiThreshold_ATR</t>
  </si>
  <si>
    <t xml:space="preserve">Ngưỡng tỷ lệ chuyên cần (Attendance Rate).</t>
  </si>
  <si>
    <t xml:space="preserve">Mục tiêu HV đi học đều.</t>
  </si>
  <si>
    <t xml:space="preserve">kpiThreshold_UAR</t>
  </si>
  <si>
    <t xml:space="preserve">Ngưỡng tỷ lệ vắng không phép tối đa (Unexcused Absence Rate).</t>
  </si>
  <si>
    <t xml:space="preserve">Giới hạn mức vắng không phép cho phép.</t>
  </si>
  <si>
    <t xml:space="preserve">0,05 (5%, mức tối đa).</t>
  </si>
  <si>
    <t xml:space="preserve">kpiThreshold_ARR</t>
  </si>
  <si>
    <t xml:space="preserve">Ngưỡng tỷ lệ HV nguy cơ tối đa (At-Risk Rate).</t>
  </si>
  <si>
    <t xml:space="preserve">Giới hạn tỷ lệ HV có nguy cơ.</t>
  </si>
  <si>
    <t xml:space="preserve">0,1 (10%, mức tối đa).</t>
  </si>
  <si>
    <t xml:space="preserve">kpiThreshold_CIR</t>
  </si>
  <si>
    <t xml:space="preserve">Ngưỡng tỷ lệ phát sinh khiếu nại tối đa mỗi tháng (Complaint Incidence Rate).</t>
  </si>
  <si>
    <t xml:space="preserve">Giới hạn số khiếu nại cho phép.</t>
  </si>
  <si>
    <t xml:space="preserve">0,03 (3%, mức tối đa).</t>
  </si>
  <si>
    <t xml:space="preserve">kpiThreshold_RR</t>
  </si>
  <si>
    <t xml:space="preserve">Ngưỡng tỷ lệ giải quyết khiếu nại thành công (Resolution Rate).</t>
  </si>
  <si>
    <t xml:space="preserve">Mục tiêu xử lý khiếu nại được HV chấp nhận.</t>
  </si>
  <si>
    <t xml:space="preserve">0,9 (90%).</t>
  </si>
  <si>
    <t xml:space="preserve">kpiThreshold_RER</t>
  </si>
  <si>
    <t xml:space="preserve">Ngưỡng tỷ lệ tái ghi danh (Re-enrollment Rate).</t>
  </si>
  <si>
    <t xml:space="preserve">Mục tiêu giữ chân HV học khóa tiếp.</t>
  </si>
  <si>
    <t xml:space="preserve">BẢNG PHÂN QUYỀN VẬN HÀNH (Ai được làm gì)</t>
  </si>
  <si>
    <t xml:space="preserve">Bảng này quy định MỖI VAI TRÒ được làm những việc gì. Khi không chắc ai có quyền duyệt/xử lý một việc, tra ở đây. Việc nằm ngoài quyền của mình thì phải chuyển cho người có thẩm quyền (vd: duyệt chiết khấu lớn cần Trưởng phòng/CEO).</t>
  </si>
  <si>
    <t xml:space="preserve">NV Tư vấn
(sales_staff)</t>
  </si>
  <si>
    <t xml:space="preserve">NV WOW
(wow_coach)</t>
  </si>
  <si>
    <t xml:space="preserve">NV Học vụ
(academic_staff)</t>
  </si>
  <si>
    <t xml:space="preserve">Giảng viên
(teacher)</t>
  </si>
  <si>
    <t xml:space="preserve">Quản lý
(các *_manager)</t>
  </si>
  <si>
    <t xml:space="preserve">Điều kiện áp dụng</t>
  </si>
  <si>
    <t xml:space="preserve">QUẢN LÝ LEAD &amp; TƯ VẤN</t>
  </si>
  <si>
    <t xml:space="preserve">Nhập và tạo lead mới</t>
  </si>
  <si>
    <t xml:space="preserve">X</t>
  </si>
  <si>
    <t xml:space="preserve">NV Tư vấn và NV WOW được nhập lead mới</t>
  </si>
  <si>
    <t xml:space="preserve">Cập nhật thông tin lead</t>
  </si>
  <si>
    <t xml:space="preserve">NV Tư vấn chỉ sửa được lead mình phụ trách</t>
  </si>
  <si>
    <t xml:space="preserve">Bàn giao lead khi NV nghỉ đột xuất</t>
  </si>
  <si>
    <t xml:space="preserve">[duyệt]</t>
  </si>
  <si>
    <t xml:space="preserve">Quản lý phê duyệt khi bàn giao lead lúc nhân viên nghỉ</t>
  </si>
  <si>
    <t xml:space="preserve">QUẢN LÝ BUỔI TEST</t>
  </si>
  <si>
    <t xml:space="preserve">Điểm danh và giám sát buổi test</t>
  </si>
  <si>
    <t xml:space="preserve">Chấm bài test, viết academic_note</t>
  </si>
  <si>
    <t xml:space="preserve">Chỉ NV WOW được chấm bài test</t>
  </si>
  <si>
    <t xml:space="preserve">Nhắc lịch test cho học viên</t>
  </si>
  <si>
    <t xml:space="preserve">Đặt lại lịch test sau khi vắng</t>
  </si>
  <si>
    <t xml:space="preserve">THANH TOÁN &amp; ĐĂNG KÝ</t>
  </si>
  <si>
    <t xml:space="preserve">Ghi nhận thanh toán</t>
  </si>
  <si>
    <t xml:space="preserve">NV Tư vấn (hoặc Kế toán) ghi nhận thanh toán</t>
  </si>
  <si>
    <t xml:space="preserve">Áp dụng chiết khấu dưới 1 triệu</t>
  </si>
  <si>
    <t xml:space="preserve">Áp dụng khi chiết khấu dưới mức cần duyệt</t>
  </si>
  <si>
    <t xml:space="preserve">Áp dụng chiết khấu từ 1 triệu trở lên</t>
  </si>
  <si>
    <t xml:space="preserve">Khi chiết khấu từ mức cần duyệt trở lên, Quản lý phải phê duyệt</t>
  </si>
  <si>
    <t xml:space="preserve">Xác nhận hoàn tiền</t>
  </si>
  <si>
    <t xml:space="preserve">Quản lý phê duyệt việc hoàn tiền</t>
  </si>
  <si>
    <t xml:space="preserve">XẾP LỚP &amp; ONBOARDING</t>
  </si>
  <si>
    <t xml:space="preserve">Xếp lớp học viên</t>
  </si>
  <si>
    <t xml:space="preserve">NV Học vụ phụ trách xếp lớp</t>
  </si>
  <si>
    <t xml:space="preserve">Đổi lớp (lần 1 - miễn phí)</t>
  </si>
  <si>
    <t xml:space="preserve">Đổi lớp lần đầu được miễn phí</t>
  </si>
  <si>
    <t xml:space="preserve">Đổi lớp (lần 2 trở đi)</t>
  </si>
  <si>
    <t xml:space="preserve">Đổi lớp lần 2 trở đi cần Quản lý phê duyệt</t>
  </si>
  <si>
    <t xml:space="preserve">GIẢNG DẠY &amp; THEO DÕI HỌC</t>
  </si>
  <si>
    <t xml:space="preserve">Điểm danh buổi học</t>
  </si>
  <si>
    <t xml:space="preserve">Giảng viên phụ trách điểm danh lớp mình dạy</t>
  </si>
  <si>
    <t xml:space="preserve">Giao và chấm bài tập về nhà</t>
  </si>
  <si>
    <t xml:space="preserve">Viết teacher_note</t>
  </si>
  <si>
    <t xml:space="preserve">Bắt buộc viết nhận xét khi học viên có mặt</t>
  </si>
  <si>
    <t xml:space="preserve">Book buổi WOW 1-1 cho học viên</t>
  </si>
  <si>
    <t xml:space="preserve">NV Học vụ và Giảng viên đều được đặt buổi WOW</t>
  </si>
  <si>
    <t xml:space="preserve">Cập nhật at_risk/off_track</t>
  </si>
  <si>
    <t xml:space="preserve">NV Học vụ và Giảng viên cập nhật tình trạng học viên</t>
  </si>
  <si>
    <t xml:space="preserve">BUỔI WOW 1-1</t>
  </si>
  <si>
    <t xml:space="preserve">Tạo buổi WOW từ cảnh báo at_risk</t>
  </si>
  <si>
    <t xml:space="preserve">Hệ thống tự tạo buổi WOW khi có cảnh báo nguy cơ</t>
  </si>
  <si>
    <t xml:space="preserve">Học viên tự book WOW qua LMS</t>
  </si>
  <si>
    <t xml:space="preserve">hỗ trợ</t>
  </si>
  <si>
    <t xml:space="preserve">Học viên tự đặt qua hệ thống, tự trừ lượt</t>
  </si>
  <si>
    <t xml:space="preserve">Thực hiện buổi WOW 1-1</t>
  </si>
  <si>
    <t xml:space="preserve">NV WOW thực hiện buổi WOW</t>
  </si>
  <si>
    <t xml:space="preserve">Phê duyệt WOW bổ sung miễn phí</t>
  </si>
  <si>
    <t xml:space="preserve">Buổi WOW miễn phí thêm cần Quản lý duyệt</t>
  </si>
  <si>
    <t xml:space="preserve">Bán gói WOW bổ sung (có phí)</t>
  </si>
  <si>
    <t xml:space="preserve">NV Tư vấn bán thêm gói WOW</t>
  </si>
  <si>
    <t xml:space="preserve">FEEDBACK &amp; KHIẾU NẠI</t>
  </si>
  <si>
    <t xml:space="preserve">Ghi nhận và phân loại feedback</t>
  </si>
  <si>
    <t xml:space="preserve">NV Học vụ ghi nhận và phân loại phản hồi</t>
  </si>
  <si>
    <t xml:space="preserve">Xử lý feedback tiêu cực (điểm 1-2)</t>
  </si>
  <si>
    <t xml:space="preserve">Mở khiếu nại chính thức</t>
  </si>
  <si>
    <t xml:space="preserve">Phê duyệt giải pháp khiếu nại</t>
  </si>
  <si>
    <t xml:space="preserve">Quản lý phê duyệt giải pháp khiếu nại</t>
  </si>
  <si>
    <t xml:space="preserve">VẬN HÀNH CHUNG</t>
  </si>
  <si>
    <t xml:space="preserve">Phê duyệt bảo lưu khóa học</t>
  </si>
  <si>
    <t xml:space="preserve">Quản lý phê duyệt việc bảo lưu khóa</t>
  </si>
  <si>
    <t xml:space="preserve">Cập nhật bảng giá khóa học</t>
  </si>
  <si>
    <t xml:space="preserve">Quản lý phê duyệt khi đổi bảng giá</t>
  </si>
  <si>
    <t xml:space="preserve">Ghi chú: Giảng viên KHÔNG có quyền truy cập thông tin thanh toán hoặc lead. Học viên tự book WOW qua LMS - hệ thống tự trừ quota không cần qua nhân viên.</t>
  </si>
  <si>
    <t xml:space="preserve">THÔNG ĐIỆP NHẮC VIỆC (next_action)</t>
  </si>
  <si>
    <t xml:space="preserve">Đây là toàn bộ câu nhắc việc tự hiện ở cột "Việc cần làm" trong các sheet. Muốn đổi câu chữ: chỉ sửa ô VÀNG ở cột "Thông điệp nhắc", cả file tự đổi theo - không cần biết công thức. Cột "Khi nào câu này hiện ra" cho biết tình huống, cột "Người phụ trách" cho biết ai cần làm. VÍ DỤ dòng NA001: khi một khách đã có kết quả test nhưng quá 24 giờ chưa được tư vấn, nhân viên Tư vấn sẽ thấy câu "Quá hạn tư vấn sau test - tư vấn ngay" ở sheet DL03. Nếu trưởng phòng muốn câu khác, ví dụ "Gấp: khách chờ tư vấn đã lâu", thì sửa thẳng vào ô vàng dòng NA001.</t>
  </si>
  <si>
    <t xml:space="preserve">Ở sheet nào</t>
  </si>
  <si>
    <t xml:space="preserve">MẪU CÂU (SỬA Ở ĐÂY - sửa chữ thoải mái, GIỮ NGUYÊN chỗ trống {1})</t>
  </si>
  <si>
    <t xml:space="preserve">Khi nào câu này hiện ra</t>
  </si>
  <si>
    <t xml:space="preserve">Tham số (bấm mở CH2)</t>
  </si>
  <si>
    <t xml:space="preserve">Câu hoàn chỉnh (tự ghép - KHÔNG SỬA)</t>
  </si>
  <si>
    <t xml:space="preserve">DL02 - Khách tiềm năng</t>
  </si>
  <si>
    <t xml:space="preserve">Lead đã giao cho NV nhưng quá {1} giờ (cấu hình slaLeadReassign_hours) chưa gọi. Việc cần làm: gọi gấp hoặc giao lại cho NV khác.</t>
  </si>
  <si>
    <t xml:space="preserve">Lead đã giao, quá hạn gọi</t>
  </si>
  <si>
    <t xml:space="preserve">Đã liên hệ đủ {1} lần (cấu hình thresholdContacted_attempts) mà khách không phản hồi. Việc cần làm: cân nhắc chuyển lead sang trạng thái không liên lạc được.</t>
  </si>
  <si>
    <t xml:space="preserve">Đã gọi đủ số lần ngưỡng</t>
  </si>
  <si>
    <t xml:space="preserve">Đã liên hệ nhưng quá {1} ngày (cấu hình thresholdContacted_days) chưa chốt. Việc cần làm: đẩy mạnh tư vấn để chốt.</t>
  </si>
  <si>
    <t xml:space="preserve">Đã liên hệ, quá số ngày chưa chốt</t>
  </si>
  <si>
    <t xml:space="preserve">Lead mới đã quá {1} phút (cấu hình slaLRT_minutes) chưa được liên hệ. Việc cần làm: GỌI NGAY để không mất lead.</t>
  </si>
  <si>
    <t xml:space="preserve">Lead mới, còn trong hạn phản hồi {1} phút (cấu hình slaLRT_minutes). Việc cần làm: liên hệ khách càng sớm càng tốt.</t>
  </si>
  <si>
    <t xml:space="preserve">Lead mới còn trong hạn phản hồi</t>
  </si>
  <si>
    <t xml:space="preserve">Đã tới hoặc quá hẹn theo dõi lead. Việc cần làm: liên hệ lại ngay.</t>
  </si>
  <si>
    <t xml:space="preserve">Sắp tới hẹn theo dõi lead (trong vòng 24 giờ). Việc cần làm: chuẩn bị liên hệ khách.</t>
  </si>
  <si>
    <t xml:space="preserve">Lead đã đóng (từ chối hoặc không liên lạc được). Không cần làm gì thêm.</t>
  </si>
  <si>
    <t xml:space="preserve">DL03 - Đặt lịch test</t>
  </si>
  <si>
    <t xml:space="preserve">Khách đã có kết quả test nhưng quá {1} giờ (cấu hình slaCVT_hours) chưa được tư vấn. Việc cần làm: tư vấn ngay để chốt khi khách còn quan tâm.</t>
  </si>
  <si>
    <t xml:space="preserve">Đã tư vấn xong cho khách. Không cần làm gì thêm ở bước này.</t>
  </si>
  <si>
    <t xml:space="preserve">Đã tư vấn lộ trình cho khách - không cần làm gì thêm ở bước này.</t>
  </si>
  <si>
    <t xml:space="preserve">Khách đã làm test nhưng quá {1} giờ (cấu hình slaGLA_hours) chưa chấm bài. Việc cần làm: chấm bài test ngay.</t>
  </si>
  <si>
    <t xml:space="preserve">Người chấm test</t>
  </si>
  <si>
    <t xml:space="preserve">Bài test chờ chấm, còn trong hạn {1} giờ (cấu hình slaGLA_hours). Việc cần làm: chấm bài sớm để kịp tư vấn.</t>
  </si>
  <si>
    <t xml:space="preserve">Đã chấm xong bài test. Việc cần làm: chuyển trạng thái sau test sang chờ tư vấn (awaiting).</t>
  </si>
  <si>
    <t xml:space="preserve">Đã chấm xong test</t>
  </si>
  <si>
    <t xml:space="preserve">Cập nhật post_test_status = awaiting_consultation (chờ tư vấn)</t>
  </si>
  <si>
    <t xml:space="preserve">Đã chấm xong, chưa chuyển trạng thái sau test</t>
  </si>
  <si>
    <t xml:space="preserve">Học vụ / hệ thống</t>
  </si>
  <si>
    <t xml:space="preserve">Tạo Tư vấn mới (CS-...) cho lead này ở sheet DL04</t>
  </si>
  <si>
    <t xml:space="preserve">Đã chuyển chờ tư vấn, cần tạo bản ghi tư vấn</t>
  </si>
  <si>
    <t xml:space="preserve">DL04 - Tư vấn</t>
  </si>
  <si>
    <t xml:space="preserve">Khách quan tâm nhưng đã quá {1} ngày (cấu hình slaFollowup_grace_days) chưa chốt. Việc cần làm: liên hệ chốt ngay khi khách còn quan tâm.</t>
  </si>
  <si>
    <t xml:space="preserve">Khách chưa quyết định, vẫn trong thời gian theo dõi cho phép. Việc cần làm: tiếp tục theo dõi và chăm sóc.</t>
  </si>
  <si>
    <t xml:space="preserve">Khách đang trong thời gian theo dõi cho phép, chưa cần thúc.</t>
  </si>
  <si>
    <t xml:space="preserve">Khách đã đồng ý và đặt cọc. Việc cần làm: tạo đăng ký và thu cọc (chuyển sang sheet DL06 Đăng ký).</t>
  </si>
  <si>
    <t xml:space="preserve">Khách đồng ý + đặt cọc</t>
  </si>
  <si>
    <t xml:space="preserve">Khách đã bỏ, không tiếp tục. Không cần làm gì thêm.</t>
  </si>
  <si>
    <t xml:space="preserve">DL06 - Đăng ký</t>
  </si>
  <si>
    <t xml:space="preserve">Đăng ký ở trạng thái chờ đã quá {1} giờ (cấu hình slaENR_pending_hours). Việc cần làm: xác nhận hoặc hủy đăng ký ngay.</t>
  </si>
  <si>
    <t xml:space="preserve">NV Tư vấn / Học vụ</t>
  </si>
  <si>
    <t xml:space="preserve">Đăng ký đã xác nhận nhưng chưa thu được tiền. Việc cần làm: thu học phí ngay.</t>
  </si>
  <si>
    <t xml:space="preserve">Đăng ký đã xác nhận nhưng chưa nhận được khoản tiền nào.</t>
  </si>
  <si>
    <t xml:space="preserve">Còn khoản học phí chưa đóng và đã quá hạn {1} ngày (cấu hình slaPayment_grace_days). Việc cần làm: nhắc HV đóng phần còn lại ngay.</t>
  </si>
  <si>
    <t xml:space="preserve">Còn một khoản học phí chưa đóng và đã tới hạn. Câu đầy đủ hiện ra: "Còn [số tiền]đ chưa đóng...".</t>
  </si>
  <si>
    <t xml:space="preserve">NA008</t>
  </si>
  <si>
    <t xml:space="preserve">Đăng ký đã hủy. Việc cần làm: kiểm tra và xử lý hoàn tiền nếu có.</t>
  </si>
  <si>
    <t xml:space="preserve">Đăng ký đã hủy, cần kiểm tra việc hoàn tiền nếu có.</t>
  </si>
  <si>
    <t xml:space="preserve">Kế toán / Học vụ</t>
  </si>
  <si>
    <t xml:space="preserve">Đăng ký đã xác nhận và HV đã đóng đủ tiền. Không cần làm gì thêm.</t>
  </si>
  <si>
    <t xml:space="preserve">Đăng ký đã xác nhận và học viên đã đóng đủ - xong.</t>
  </si>
  <si>
    <t xml:space="preserve">Đăng ký đã hủy. Chính sách hoàn tiền (cấu hình): hoàn 100% nếu hủy trong {1} ngày, hoàn một phần nếu trong {2} ngày, hoàn mức thấp nếu trong {3} ngày, quá thì không hoàn. Việc cần làm: kiểm tra ngày hủy và xử lý hoàn tiền.</t>
  </si>
  <si>
    <t xml:space="preserve">Đăng ký để ở trạng thái chờ quá {1} giờ (cấu hình slaENR_cancel_hours). Việc cần làm: cân nhắc hủy đăng ký ngay để dọn dữ liệu ảo.</t>
  </si>
  <si>
    <t xml:space="preserve">Đăng ký chờ quá hạn hủy</t>
  </si>
  <si>
    <t xml:space="preserve">Khoản giảm giá vượt mức cho phép {1}đ (cấu hình thresholdDiscount_approval). Việc cần làm: trình cấp trên duyệt trước khi áp dụng.</t>
  </si>
  <si>
    <t xml:space="preserve">Đã đủ cọc tối thiểu {1}đ - chuyển enrollment_status = confirmed và tạo Onboarding (DL08)</t>
  </si>
  <si>
    <t xml:space="preserve">Đã đủ cọc tối thiểu, đăng ký còn ở trạng thái chờ</t>
  </si>
  <si>
    <t xml:space="preserve">Đã thanh toán đủ - chuyển sang Onboarding (DL08) nếu chưa</t>
  </si>
  <si>
    <t xml:space="preserve">Đã thanh toán đủ học phí</t>
  </si>
  <si>
    <t xml:space="preserve">DL08 - Xếp lớp &amp; Nhập học</t>
  </si>
  <si>
    <t xml:space="preserve">Đã xếp lớp nhưng quá {1} giờ (cấu hình slaOBT_hours) chưa hoàn tất nhập học. Việc cần làm: kiểm tra và đẩy nhanh nhập học ngay.</t>
  </si>
  <si>
    <t xml:space="preserve">Nhập học đang dở và đã quá {1} giờ (cấu hình slaOBT_hours). Việc cần làm: gửi tài liệu và hoàn tất thủ tục ngay.</t>
  </si>
  <si>
    <t xml:space="preserve">Thủ tục nhập học chưa hoàn tất, cần gửi tài liệu cho học viên.</t>
  </si>
  <si>
    <t xml:space="preserve">HV đã hoàn tất nhập học. Không cần làm gì thêm.</t>
  </si>
  <si>
    <t xml:space="preserve">Học viên đã hoàn tất nhập học.</t>
  </si>
  <si>
    <t xml:space="preserve">Đang trong thời hạn xử lý cho phép, chưa cần thúc.</t>
  </si>
  <si>
    <t xml:space="preserve">Còn trong thời hạn cho phép, chưa cần thúc.</t>
  </si>
  <si>
    <t xml:space="preserve">Đã xếp lớp nhưng quá {1} giờ (cấu hình slaClassInfoZalo_hours) chưa gửi thông tin lớp. Việc cần làm: gửi thông tin lớp qua Zalo cho HV ngay.</t>
  </si>
  <si>
    <t xml:space="preserve">Đã xếp lớp, quá hạn gửi Zalo</t>
  </si>
  <si>
    <t xml:space="preserve">Đăng ký đã xác nhận nhưng quá {1} giờ (cấu hình slaPLR48_hours) chưa xếp lớp. Việc cần làm: xếp lớp ngay.</t>
  </si>
  <si>
    <t xml:space="preserve">Hoàn tất - set student.status = active (DL09)</t>
  </si>
  <si>
    <t xml:space="preserve">Đã xác nhận lớp và hoàn tất onboarding</t>
  </si>
  <si>
    <t xml:space="preserve">Gửi: lịch học + giáo trình + nội quy + LMS guide, rồi set onboarding_status = completed</t>
  </si>
  <si>
    <t xml:space="preserve">Đã xác nhận lớp, chưa hoàn tất onboarding</t>
  </si>
  <si>
    <t xml:space="preserve">DL09 - Học viên</t>
  </si>
  <si>
    <t xml:space="preserve">HV vừa yếu chuyên cần vừa yếu học thuật (mức nguy hiểm). Việc cần làm: họp 4 bên gấp và đặt buổi WOW kèm học thuật.</t>
  </si>
  <si>
    <t xml:space="preserve">Học viên vừa yếu chuyên cần vừa yếu học thuật ở mức nghiêm trọng - cần can thiệp khẩn.</t>
  </si>
  <si>
    <t xml:space="preserve">Học vụ + Quản lý</t>
  </si>
  <si>
    <t xml:space="preserve">Tiến độ học thuật của HV rớt khỏi lộ trình. Việc cần làm: họp 3 bên gấp (trong 24 giờ) và đặt buổi WOW.</t>
  </si>
  <si>
    <t xml:space="preserve">Tiến độ học thuật của học viên rớt khỏi lộ trình.</t>
  </si>
  <si>
    <t xml:space="preserve">Chuyên cần của HV sa sút nặng. Việc cần làm: họp 3 bên gấp (trong 24 giờ).</t>
  </si>
  <si>
    <t xml:space="preserve">Học viên nghỉ học nhiều, chuyên cần rớt khỏi mức cho phép.</t>
  </si>
  <si>
    <t xml:space="preserve">Chuyên cần có dấu hiệu rủi ro. Việc cần làm: can thiệp, liên hệ HV trong 24-48 giờ.</t>
  </si>
  <si>
    <t xml:space="preserve">Học viên bắt đầu nghỉ nhiều, có nguy cơ - cần nhắc sớm.</t>
  </si>
  <si>
    <t xml:space="preserve">HV đang học đều và ổn định. Không cần làm gì thêm.</t>
  </si>
  <si>
    <t xml:space="preserve">Học viên đi học và làm bài đều - không cần can thiệp.</t>
  </si>
  <si>
    <t xml:space="preserve">HV vắng không phép từ {1} buổi trở lên (cấu hình thresholdAtRisk_absences). Việc cần làm: đánh dấu nguy cơ chuyên cần, học vụ liên hệ HV ngay.</t>
  </si>
  <si>
    <t xml:space="preserve">HV thiếu bài tập từ {1} lần trở lên (cấu hình thresholdAtRisk_hw_missing). Việc cần làm: đánh dấu nguy cơ học thuật, can thiệp ngay.</t>
  </si>
  <si>
    <t xml:space="preserve">Học thuật của HV có dấu hiệu rủi ro (at-risk). Việc cần làm: học vụ đặt buổi WOW kèm học thuật (academic_support, theo SOP P7).</t>
  </si>
  <si>
    <t xml:space="preserve">Học thuật at-risk</t>
  </si>
  <si>
    <t xml:space="preserve">HV không có hoạt động học quá {1} ngày (cấu hình slaActivity_inactive_days). Việc cần làm: liên hệ kiểm tra tình hình HV ngay.</t>
  </si>
  <si>
    <t xml:space="preserve">Không hoạt động quá hạn</t>
  </si>
  <si>
    <t xml:space="preserve">DL11 - Buổi học</t>
  </si>
  <si>
    <t xml:space="preserve">Buổi học sắp tới. Việc cần làm: chuẩn bị giáo án trước buổi.</t>
  </si>
  <si>
    <t xml:space="preserve">Sắp tới một buổi dạy, giáo viên cần chuẩn bị giáo án.</t>
  </si>
  <si>
    <t xml:space="preserve">Giáo viên</t>
  </si>
  <si>
    <t xml:space="preserve">Buổi đang diễn ra. Sau buổi nhớ điểm danh và ghi nhận xét (teacher_note).</t>
  </si>
  <si>
    <t xml:space="preserve">Buổi học đang diễn ra hôm nay.</t>
  </si>
  <si>
    <t xml:space="preserve">Buổi đã xong nhưng quá {1} giờ (cấu hình slaTeacherNote_hours) chưa ghi nhận xét. Việc cần làm: ghi teacher_note ngay.</t>
  </si>
  <si>
    <t xml:space="preserve">Đã hoàn tất. Không cần làm gì thêm ở bước này.</t>
  </si>
  <si>
    <t xml:space="preserve">Buổi học đã hoàn tất và đã ghi nhận xét.</t>
  </si>
  <si>
    <t xml:space="preserve">Buổi học bị hủy. Việc cần làm: lên lịch học bù.</t>
  </si>
  <si>
    <t xml:space="preserve">Buổi học bị hủy, cần sắp lịch dạy bù.</t>
  </si>
  <si>
    <t xml:space="preserve">Buổi học đã dời. Việc cần làm: cập nhật lại lịch.</t>
  </si>
  <si>
    <t xml:space="preserve">Buổi học đã dời sang thời gian khác, cần cập nhật lịch.</t>
  </si>
  <si>
    <t xml:space="preserve">Đã quá {1} phút sau giờ vào lớp (cấu hình slaTeacherAttendance_minutes) mà buổi chưa bắt đầu. Việc cần làm: kiểm tra giáo viên và điểm danh ngay.</t>
  </si>
  <si>
    <t xml:space="preserve">Học vụ / GV</t>
  </si>
  <si>
    <t xml:space="preserve">Buổi đã xong, cần ghi nhận xét (teacher_note) trong hạn {1} giờ (cấu hình slaTeacherNote_hours). Việc cần làm: ghi nhận xét buổi.</t>
  </si>
  <si>
    <t xml:space="preserve">Buổi xong, trong hạn ghi nhận xét</t>
  </si>
  <si>
    <t xml:space="preserve">DL12 - Điểm danh</t>
  </si>
  <si>
    <t xml:space="preserve">HV vắng không phép. Việc cần làm: kiểm tra chuỗi buổi vắng và nhắc HV.</t>
  </si>
  <si>
    <t xml:space="preserve">Học viên vắng mà không xin phép (nhiều buổi liên tiếp có thể thành rủi ro).</t>
  </si>
  <si>
    <t xml:space="preserve">Giáo viên / Học vụ</t>
  </si>
  <si>
    <t xml:space="preserve">HV vắng có phép. Việc cần làm: đề xuất buổi WOW để học bù.</t>
  </si>
  <si>
    <t xml:space="preserve">Học viên vắng có xin phép.</t>
  </si>
  <si>
    <t xml:space="preserve">HV đi học trễ. Việc cần làm: nhắc nhở HV đi đúng giờ.</t>
  </si>
  <si>
    <t xml:space="preserve">Học viên đi học trễ.</t>
  </si>
  <si>
    <t xml:space="preserve">HV đã điểm danh, đi học đúng giờ. Không cần làm gì thêm.</t>
  </si>
  <si>
    <t xml:space="preserve">Học viên có mặt đúng giờ.</t>
  </si>
  <si>
    <t xml:space="preserve">HV vắng không phép đã quá {1} giờ (cấu hình slaAbsenceCall_hours). Việc cần làm: GỌI HV/phụ huynh ngay.</t>
  </si>
  <si>
    <t xml:space="preserve">DL13 - Bài tập</t>
  </si>
  <si>
    <t xml:space="preserve">HV chưa nộp bài tập. Việc cần làm: kiểm tra chuỗi bài thiếu (có thể thành nguy cơ học thuật) và nhắc HV nộp.</t>
  </si>
  <si>
    <t xml:space="preserve">Học viên không nộp bài tập đúng hạn.</t>
  </si>
  <si>
    <t xml:space="preserve">Đã chấm bài xong cho HV. Không cần làm gì thêm.</t>
  </si>
  <si>
    <t xml:space="preserve">Bài tập đã được chấm.</t>
  </si>
  <si>
    <t xml:space="preserve">HV đã nộp bài nhưng quá {1} giờ (cấu hình slaHomeworkGrading_hours) chưa chấm. Việc cần làm: chấm bài ngay.</t>
  </si>
  <si>
    <t xml:space="preserve">HV đã nộp bài, còn trong hạn chấm {1} giờ (cấu hình slaHomeworkGrading_hours). Việc cần làm: chấm bài sớm.</t>
  </si>
  <si>
    <t xml:space="preserve">Đã nộp, còn trong hạn chấm</t>
  </si>
  <si>
    <t xml:space="preserve">Đã giao bài, HV chưa tới hạn nộp. Chờ HV nộp bài.</t>
  </si>
  <si>
    <t xml:space="preserve">DL14 - Buổi WOW 1-1</t>
  </si>
  <si>
    <t xml:space="preserve">Buổi WOW vừa được đặt. Việc cần làm: học vụ xác nhận lịch với HV sớm.</t>
  </si>
  <si>
    <t xml:space="preserve">Buổi WOW 1-1 mới đặt, cần xác nhận lịch với học viên.</t>
  </si>
  <si>
    <t xml:space="preserve">Đã qua giờ hẹn buổi WOW. Việc cần làm: cập nhật trạng thái buổi (đã diễn ra hoặc HV vắng).</t>
  </si>
  <si>
    <t xml:space="preserve">Buổi WOW đã qua giờ hẹn mà chưa cập nhật kết quả.</t>
  </si>
  <si>
    <t xml:space="preserve">Buổi WOW sắp tới. Việc cần làm: chuẩn bị nội dung buổi.</t>
  </si>
  <si>
    <t xml:space="preserve">Sắp tới một buổi WOW 1-1.</t>
  </si>
  <si>
    <t xml:space="preserve">Buổi WOW đã xong. Việc cần làm: đánh giá kết quả buổi (tiến bộ / không đổi / cần thêm).</t>
  </si>
  <si>
    <t xml:space="preserve">Buổi WOW đã dạy xong, cần đánh giá kết quả.</t>
  </si>
  <si>
    <t xml:space="preserve">HV vắng buổi WOW. Việc cần làm: trừ lượt WOW và ghi lý do.</t>
  </si>
  <si>
    <t xml:space="preserve">Học viên không đến buổi WOW đã đặt.</t>
  </si>
  <si>
    <t xml:space="preserve">Buổi WOW đã xong nhưng quá {1} giờ (cấu hình slaWowQuotaCheck_hours) chưa trừ lượt. Việc cần làm: kiểm tra và trừ quota (quota_deducted) ngay.</t>
  </si>
  <si>
    <t xml:space="preserve">Buổi xong, quá hạn trừ quota</t>
  </si>
  <si>
    <t xml:space="preserve">NV WOW / Học vụ</t>
  </si>
  <si>
    <t xml:space="preserve">Buổi WOW đã xong nhưng quá {1} giờ (cấu hình slaWowOutcomeRead_hours) chưa ghi kết quả. Việc cần làm: viết content_note ngay.</t>
  </si>
  <si>
    <t xml:space="preserve">Buổi xong, quá hạn ghi kết quả</t>
  </si>
  <si>
    <t xml:space="preserve">Buổi WOW đã xong, cần ghi kết quả (content_note) trong hạn {1} giờ (cấu hình slaWowOutcomeRead_hours). Việc cần làm: viết content_note.</t>
  </si>
  <si>
    <t xml:space="preserve">Buổi xong, trong hạn ghi kết quả</t>
  </si>
  <si>
    <t xml:space="preserve">Buổi WOW đã hủy. Không cần làm gì thêm.</t>
  </si>
  <si>
    <t xml:space="preserve">DL15 - Khảo sát</t>
  </si>
  <si>
    <t xml:space="preserve">Đã gửi khảo sát nhưng HV chưa làm. Việc cần làm: nhắc HV làm khảo sát.</t>
  </si>
  <si>
    <t xml:space="preserve">Đã gửi khảo sát nhưng học viên chưa làm.</t>
  </si>
  <si>
    <t xml:space="preserve">HV đã làm khảo sát. Không cần làm gì thêm.</t>
  </si>
  <si>
    <t xml:space="preserve">Đã nhận được phản hồi khảo sát.</t>
  </si>
  <si>
    <t xml:space="preserve">HV đã nộp khảo sát nhưng quá {1} giờ (cấu hình slaSurveyReport_hours) chưa xử lý. Việc cần làm: phân công đọc và báo cáo khảo sát ngay.</t>
  </si>
  <si>
    <t xml:space="preserve">Đã nộp khảo sát, quá hạn xử lý</t>
  </si>
  <si>
    <t xml:space="preserve">Khảo sát cho thấy cần theo dõi thêm HV. Việc cần làm: học vụ liên hệ HV.</t>
  </si>
  <si>
    <t xml:space="preserve">Khảo sát cần theo dõi</t>
  </si>
  <si>
    <t xml:space="preserve">DL16 - Phản hồi</t>
  </si>
  <si>
    <t xml:space="preserve">Phản hồi mới đã quá {1} giờ (cấu hình slaFB_classify_hours) chưa phân loại. Việc cần làm: phân loại ngay.</t>
  </si>
  <si>
    <t xml:space="preserve">Phản hồi mới, còn trong hạn phân loại {1} giờ (cấu hình slaFB_classify_hours). Việc cần làm: phân loại sớm.</t>
  </si>
  <si>
    <t xml:space="preserve">Phản hồi tiêu cực chưa xử lý xong. Việc cần làm: xử lý ngay và cân nhắc tạo khiếu nại (sheet DL17).</t>
  </si>
  <si>
    <t xml:space="preserve">Phản hồi tiêu cực chưa xử lý xong</t>
  </si>
  <si>
    <t xml:space="preserve">Đã xử lý xong phản hồi. Không cần làm gì thêm.</t>
  </si>
  <si>
    <t xml:space="preserve">DL17 - Khiếu nại</t>
  </si>
  <si>
    <t xml:space="preserve">Khiếu nại mức cao đã quá {1} giờ (cấu hình slaKN_high_hours) chưa xử lý xong. Việc cần làm: quản lý tham gia xử lý gấp.</t>
  </si>
  <si>
    <t xml:space="preserve">Khiếu nại ưu tiên cao quá hạn xử lý mà chưa xong.</t>
  </si>
  <si>
    <t xml:space="preserve">Khiếu nại mức trung bình đã quá {1} giờ (cấu hình slaKN_medium_hours) chưa xử lý. Việc cần làm: xử lý ngay.</t>
  </si>
  <si>
    <t xml:space="preserve">Khiếu nại ưu tiên vừa quá hạn xử lý.</t>
  </si>
  <si>
    <t xml:space="preserve">Khiếu nại đã đẩy lên cấp cao. Việc cần làm: chờ CEO/quản lý cấp cao xử lý.</t>
  </si>
  <si>
    <t xml:space="preserve">Khiếu nại được đẩy lên mức cao nhất.</t>
  </si>
  <si>
    <t xml:space="preserve">CEO</t>
  </si>
  <si>
    <t xml:space="preserve">Đã giải quyết khiếu nại và HV chấp nhận. Không cần làm gì thêm.</t>
  </si>
  <si>
    <t xml:space="preserve">Khiếu nại đã xử lý xong.</t>
  </si>
  <si>
    <t xml:space="preserve">Khiếu nại ưu tiên thấp đã quá {1} ngày (cấu hình slaKN_low_hours) chưa xử lý. Việc cần làm: phản hồi và xử lý cho HV ngay.</t>
  </si>
  <si>
    <t xml:space="preserve">Khiếu nại thấp quá hạn</t>
  </si>
  <si>
    <t xml:space="preserve">Khiếu nại mới đã quá {1} giờ (cấu hình slaKN_assignment_hours) chưa phân công người xử lý. Việc cần làm: phân công gấp.</t>
  </si>
  <si>
    <t xml:space="preserve">Khiếu nại mới quá hạn phân công</t>
  </si>
  <si>
    <t xml:space="preserve">DL18 - Kết thúc khóa</t>
  </si>
  <si>
    <t xml:space="preserve">HV đã hoàn thành khóa nhưng quá {1} ngày (cấu hình slaReenroll_contact_days) chưa liên hệ mời học tiếp. Việc cần làm: liên hệ mời tái ghi danh gấp.</t>
  </si>
  <si>
    <t xml:space="preserve">Học viên sắp/đã kết thúc khóa, quá hạn mời học tiếp mà chưa liên hệ.</t>
  </si>
  <si>
    <t xml:space="preserve">HV đã nghỉ giữa khóa. Việc cần làm: phân tích lý do HV nghỉ để rút kinh nghiệm.</t>
  </si>
  <si>
    <t xml:space="preserve">Học viên đã nghỉ hẳn, chỉ ghi nhận lý do để rút kinh nghiệm.</t>
  </si>
  <si>
    <t xml:space="preserve">HV đã đăng ký học khóa tiếp theo. Không cần làm gì thêm.</t>
  </si>
  <si>
    <t xml:space="preserve">Học viên đã đăng ký khóa mới.</t>
  </si>
  <si>
    <t xml:space="preserve">HV quan tâm học tiếp. Việc cần làm: liên hệ chốt đăng ký khóa mới.</t>
  </si>
  <si>
    <t xml:space="preserve">Học viên quan tâm học tiếp, cần liên hệ chốt.</t>
  </si>
  <si>
    <t xml:space="preserve">HV hoàn thành khóa nhưng quá {1} ngày (cấu hình slaFinalTest_days) chưa có điểm test cuối. Việc cần làm: nhập điểm test cuối ngay.</t>
  </si>
  <si>
    <t xml:space="preserve">Hoàn thành, chưa có điểm cuối</t>
  </si>
  <si>
    <t xml:space="preserve">HV quan tâm tái ghi danh nhưng quá {1} ngày (cấu hình slaReenrollSchedule_days) chưa xếp khóa mới. Việc cần làm: chốt lịch khóa mới cho HV gấp.</t>
  </si>
  <si>
    <t xml:space="preserve">Quan tâm tái ghi danh, chưa xếp khóa</t>
  </si>
  <si>
    <t xml:space="preserve">Học vụ / Tư vấn</t>
  </si>
  <si>
    <t xml:space="preserve">HV từ chối học tiếp. Không cần làm gì thêm.</t>
  </si>
  <si>
    <t xml:space="preserve">HV từ chối học tiếp</t>
  </si>
  <si>
    <t xml:space="preserve">THUẬT NGỮ VIẾT TẮT - TRA NGHĨA NHANH</t>
  </si>
  <si>
    <t xml:space="preserve">Bảng tra các chữ viết tắt dùng trong toàn bộ file. Người mới đọc sheet nào gặp từ lạ thì tra ở đây. Không cần thuộc, chỉ cần biết tra.</t>
  </si>
  <si>
    <t xml:space="preserve">Viết tắt</t>
  </si>
  <si>
    <t xml:space="preserve">Tên đầy đủ (gốc)</t>
  </si>
  <si>
    <t xml:space="preserve">Nghĩa tiếng Việt</t>
  </si>
  <si>
    <t xml:space="preserve">Ghi chú / Dùng ở đâu</t>
  </si>
  <si>
    <t xml:space="preserve">VAI TRÒ &amp; ĐỐI TƯỢNG</t>
  </si>
  <si>
    <t xml:space="preserve">HV</t>
  </si>
  <si>
    <t xml:space="preserve">Học viên</t>
  </si>
  <si>
    <t xml:space="preserve">Người đang/đã học tại trung tâm.</t>
  </si>
  <si>
    <t xml:space="preserve">NV</t>
  </si>
  <si>
    <t xml:space="preserve">Nhân sự nội bộ (tư vấn, học vụ, GV...).</t>
  </si>
  <si>
    <t xml:space="preserve">Người dạy lớp.</t>
  </si>
  <si>
    <t xml:space="preserve">TV</t>
  </si>
  <si>
    <t xml:space="preserve">Tư vấn viên</t>
  </si>
  <si>
    <t xml:space="preserve">NV tư vấn, chăm sóc khách trước khi đăng ký.</t>
  </si>
  <si>
    <t xml:space="preserve">KHÁI NIỆM VẬN HÀNH</t>
  </si>
  <si>
    <t xml:space="preserve">Lead</t>
  </si>
  <si>
    <t xml:space="preserve">Khách tiềm năng</t>
  </si>
  <si>
    <t xml:space="preserve">Người mới quan tâm, chưa đăng ký. Sheet DL02.</t>
  </si>
  <si>
    <t xml:space="preserve">ENR</t>
  </si>
  <si>
    <t xml:space="preserve">Enrollment</t>
  </si>
  <si>
    <t xml:space="preserve">Đăng ký khóa học</t>
  </si>
  <si>
    <t xml:space="preserve">Một lượt HV đăng ký 1 khóa. Sheet DL06.</t>
  </si>
  <si>
    <t xml:space="preserve">OB / OBT</t>
  </si>
  <si>
    <t xml:space="preserve">Onboarding</t>
  </si>
  <si>
    <t xml:space="preserve">Nhập học / làm quen</t>
  </si>
  <si>
    <t xml:space="preserve">Thủ tục đưa HV vào lớp sau khi đăng ký. Sheet DL08.</t>
  </si>
  <si>
    <t xml:space="preserve">WOW</t>
  </si>
  <si>
    <t xml:space="preserve">Buổi học kèm 1-1 đặc biệt</t>
  </si>
  <si>
    <t xml:space="preserve">Buổi kèm riêng cho HV (tên gọi nội bộ ITTs). Sheet DL14.</t>
  </si>
  <si>
    <t xml:space="preserve">KN</t>
  </si>
  <si>
    <t xml:space="preserve">Phàn nàn/khiếu nại của HV. Sheet DL17.</t>
  </si>
  <si>
    <t xml:space="preserve">FB</t>
  </si>
  <si>
    <t xml:space="preserve">Feedback</t>
  </si>
  <si>
    <t xml:space="preserve">Phản hồi</t>
  </si>
  <si>
    <t xml:space="preserve">Góp ý/đánh giá của HV. Sheet DL16.</t>
  </si>
  <si>
    <t xml:space="preserve">Service Level Agreement</t>
  </si>
  <si>
    <t xml:space="preserve">Cam kết thời gian xử lý tối đa</t>
  </si>
  <si>
    <t xml:space="preserve">Mốc thời gian tối đa cho 1 việc. Cấu hình ở CH2.</t>
  </si>
  <si>
    <t xml:space="preserve">KPI</t>
  </si>
  <si>
    <t xml:space="preserve">Key Performance Indicator</t>
  </si>
  <si>
    <t xml:space="preserve">Chỉ số đo hiệu quả</t>
  </si>
  <si>
    <t xml:space="preserve">Các tỷ lệ đánh giá hoạt động. Báo cáo ở nhóm BC.</t>
  </si>
  <si>
    <t xml:space="preserve">MÃ SLA (CAM KẾT THỜI GIAN) - cấu hình tại CH2</t>
  </si>
  <si>
    <t xml:space="preserve">LRT</t>
  </si>
  <si>
    <t xml:space="preserve">Lead Response Time</t>
  </si>
  <si>
    <t xml:space="preserve">Thời gian phản hồi lead mới</t>
  </si>
  <si>
    <t xml:space="preserve">Tối đa bao lâu phải gọi lead mới. Tham số slaLRT_minutes.</t>
  </si>
  <si>
    <t xml:space="preserve">GLA</t>
  </si>
  <si>
    <t xml:space="preserve">Thời hạn chấm bài test đầu vào</t>
  </si>
  <si>
    <t xml:space="preserve">Tối đa bao lâu phải chấm xong test khách. Tham số slaGLA_hours.</t>
  </si>
  <si>
    <t xml:space="preserve">CVT</t>
  </si>
  <si>
    <t xml:space="preserve">Consultation Time</t>
  </si>
  <si>
    <t xml:space="preserve">Thời hạn tư vấn sau khi có kết quả test</t>
  </si>
  <si>
    <t xml:space="preserve">Tham số slaCVT_hours.</t>
  </si>
  <si>
    <t xml:space="preserve">PLR48</t>
  </si>
  <si>
    <t xml:space="preserve">Placement 48h</t>
  </si>
  <si>
    <t xml:space="preserve">Thời hạn xếp lớp</t>
  </si>
  <si>
    <t xml:space="preserve">OBT</t>
  </si>
  <si>
    <t xml:space="preserve">Onboarding Time</t>
  </si>
  <si>
    <t xml:space="preserve">Thời hạn hoàn tất nhập học</t>
  </si>
  <si>
    <t xml:space="preserve">Tham số slaOBT_hours.</t>
  </si>
  <si>
    <t xml:space="preserve">MÃ KPI (CHỈ SỐ) - ngưỡng tại CH2, kết quả tại nhóm BC</t>
  </si>
  <si>
    <t xml:space="preserve">VLR</t>
  </si>
  <si>
    <t xml:space="preserve">Valid Lead Rate</t>
  </si>
  <si>
    <t xml:space="preserve">Tỷ lệ lead đạt chuẩn</t>
  </si>
  <si>
    <t xml:space="preserve">Ngưỡng kpiThreshold_VLR.</t>
  </si>
  <si>
    <t xml:space="preserve">TAR</t>
  </si>
  <si>
    <t xml:space="preserve">Test Attendance Rate</t>
  </si>
  <si>
    <t xml:space="preserve">Tỷ lệ khách đặt test có đến làm</t>
  </si>
  <si>
    <t xml:space="preserve">Ngưỡng kpiThreshold_TAR.</t>
  </si>
  <si>
    <t xml:space="preserve">CVR</t>
  </si>
  <si>
    <t xml:space="preserve">Conversion Rate</t>
  </si>
  <si>
    <t xml:space="preserve">Tỷ lệ chuyển lead thành HV</t>
  </si>
  <si>
    <t xml:space="preserve">Ngưỡng kpiThreshold_CVR.</t>
  </si>
  <si>
    <t xml:space="preserve">PCR</t>
  </si>
  <si>
    <t xml:space="preserve">Payment Completion Rate</t>
  </si>
  <si>
    <t xml:space="preserve">Tỷ lệ thu đủ học phí</t>
  </si>
  <si>
    <t xml:space="preserve">Ngưỡng kpiThreshold_PCR.</t>
  </si>
  <si>
    <t xml:space="preserve">ATR</t>
  </si>
  <si>
    <t xml:space="preserve">Attendance Rate</t>
  </si>
  <si>
    <t xml:space="preserve">Tỷ lệ chuyên cần</t>
  </si>
  <si>
    <t xml:space="preserve">Ngưỡng kpiThreshold_ATR.</t>
  </si>
  <si>
    <t xml:space="preserve">UAR</t>
  </si>
  <si>
    <t xml:space="preserve">Unexcused Absence Rate</t>
  </si>
  <si>
    <t xml:space="preserve">Tỷ lệ vắng không phép</t>
  </si>
  <si>
    <t xml:space="preserve">Ngưỡng kpiThreshold_UAR (mức tối đa).</t>
  </si>
  <si>
    <t xml:space="preserve">ARR</t>
  </si>
  <si>
    <t xml:space="preserve">At-Risk Rate</t>
  </si>
  <si>
    <t xml:space="preserve">Tỷ lệ HV có nguy cơ</t>
  </si>
  <si>
    <t xml:space="preserve">Ngưỡng kpiThreshold_ARR (mức tối đa).</t>
  </si>
  <si>
    <t xml:space="preserve">CIR</t>
  </si>
  <si>
    <t xml:space="preserve">Complaint Incidence Rate</t>
  </si>
  <si>
    <t xml:space="preserve">Tỷ lệ phát sinh khiếu nại/tháng</t>
  </si>
  <si>
    <t xml:space="preserve">Ngưỡng kpiThreshold_CIR (mức tối đa).</t>
  </si>
  <si>
    <t xml:space="preserve">RR</t>
  </si>
  <si>
    <t xml:space="preserve">Resolution Rate</t>
  </si>
  <si>
    <t xml:space="preserve">Tỷ lệ giải quyết khiếu nại thành công</t>
  </si>
  <si>
    <t xml:space="preserve">Ngưỡng kpiThreshold_RR.</t>
  </si>
  <si>
    <t xml:space="preserve">RER</t>
  </si>
  <si>
    <t xml:space="preserve">Re-enrollment Rate</t>
  </si>
  <si>
    <t xml:space="preserve">Tỷ lệ tái ghi danh</t>
  </si>
  <si>
    <t xml:space="preserve">Ngưỡng kpiThreshold_RER.</t>
  </si>
  <si>
    <t xml:space="preserve">CH6 - NGƯỠNG KPI (quản lý tập trung toàn bộ 48 chỉ số)</t>
  </si>
  <si>
    <t xml:space="preserve">Mỗi KPI một dòng. Sửa ngưỡng ở cột C (ô vàng) - mọi bảng BC tự cập nhật theo. Ba chỉ số LRT/CVT/OBT dùng chung ngưỡng SLA ở CH2 (ô cột C là công thức trỏ về CH2, sửa tại CH2).</t>
  </si>
  <si>
    <t xml:space="preserve">Tên KPI</t>
  </si>
  <si>
    <t xml:space="preserve">Ngưỡng (SỬA Ở ĐÂY)</t>
  </si>
  <si>
    <t xml:space="preserve">Hướng đạt</t>
  </si>
  <si>
    <t xml:space="preserve">Phase</t>
  </si>
  <si>
    <t xml:space="preserve">Cách đọc / áp dụng</t>
  </si>
  <si>
    <t xml:space="preserve">Dùng ở đâu</t>
  </si>
  <si>
    <t xml:space="preserve">Lead Response Time - TB phút từ lead vào gọi LH đầu</t>
  </si>
  <si>
    <t xml:space="preserve">≤</t>
  </si>
  <si>
    <t xml:space="preserve">P1</t>
  </si>
  <si>
    <t xml:space="preserve">Đọc theo từng nhân viên hoặc theo tổng thể. LRT cao ở nhiều nhân viên cùng lúc -&gt; vấn đề về cách hệ thống phân bổ hoặc số lượng task đang quá tải. LRT cao ở một vài người -&gt; xem lại kỷ luật cá nhân</t>
  </si>
  <si>
    <t xml:space="preserve">Valid Lead Rate - Tỷ lệ lead qualified</t>
  </si>
  <si>
    <t xml:space="preserve">≥</t>
  </si>
  <si>
    <t xml:space="preserve">VLR thấp ở tất cả nguồn -&gt; nhân viên chưa khai thác nhu cầu đúng cách. VLR thấp chỉ ở một vài nguồn -&gt; nguồn đó ra lead kém chất lượng, cần điều chỉnh ngân sách marketing</t>
  </si>
  <si>
    <t xml:space="preserve">TBR</t>
  </si>
  <si>
    <t xml:space="preserve">Test Booking Rate - Tỷ lệ lead có book test</t>
  </si>
  <si>
    <t xml:space="preserve">P2</t>
  </si>
  <si>
    <t xml:space="preserve">Đọc theo từng nhân viên tư vấn. Thấp đồng loạt -&gt; vấn đề cách đề xuất test. Thấp ở một vài người -&gt; kỹ năng chốt lịch cá nhân chưa tốt</t>
  </si>
  <si>
    <t xml:space="preserve">Test Attendance Rate - Tỷ lệ test đã đặt có đi</t>
  </si>
  <si>
    <t xml:space="preserve">Kết hợp với lý do vắng (test_no_show_reason) để tìm điểm chung. TAR thấp ở một khung giờ cụ thể -&gt; xem xét điều chỉnh hoặc bỏ khung giờ đó</t>
  </si>
  <si>
    <t xml:space="preserve">NSR</t>
  </si>
  <si>
    <t xml:space="preserve">No-Show Rate - Tỷ lệ vắng test</t>
  </si>
  <si>
    <t xml:space="preserve">Phân tích kết hợp lý do vắng, khung giờ test, và khoảng cách từ ngày đặt đến ngày test</t>
  </si>
  <si>
    <t xml:space="preserve">PTD</t>
  </si>
  <si>
    <t xml:space="preserve">Post-Test Decline - Tỷ lệ vào tư vấn sau test</t>
  </si>
  <si>
    <t xml:space="preserve">Nguyên nhân thường là cách giải thích lợi ích bài test chưa thuyết phục trong cuộc gọi đầu tiên</t>
  </si>
  <si>
    <t xml:space="preserve">Grading SLA - Tỷ lệ chấm bài test trong 24h</t>
  </si>
  <si>
    <t xml:space="preserve">Đọc kèm với CVT (tốc độ tư vấn sau kết quả test) giai đoạn 3: NV WOW chấm trễ -&gt; NV tư vấn không có dữ liệu để gọi đúng hạn, dẫn đến trễ toàn bộ</t>
  </si>
  <si>
    <t xml:space="preserve">ANR</t>
  </si>
  <si>
    <t xml:space="preserve">Academic Note Rate - Tỷ lệ có academic_note đầy đủ</t>
  </si>
  <si>
    <t xml:space="preserve">Đọc cùng Tỷ lệ chuyển đổi đăng ký (CVR, giai đoạn 3): khi ANR thấp đồng thời CVR thấp -&gt; nhiều khả năng nhân viên tư vấn đang thiếu dữ liệu học thuật từ academic_note để phân tích điểm mạnh yếu và thuyết phục học viên đăng ký đúng khóa đăng ký</t>
  </si>
  <si>
    <t xml:space="preserve">CR3</t>
  </si>
  <si>
    <t xml:space="preserve">Consultation Rate - Lead tư vấn</t>
  </si>
  <si>
    <t xml:space="preserve">P3</t>
  </si>
  <si>
    <t xml:space="preserve">Thấp = lead có kết quả nhưng bị bỏ sót. Đọc kèm GLA (SLA chấm bài và trả kết quả): nếu WOW chấm trễ thì CR3 cũng sẽ trễ theo, lỗi không hoàn toàn từ NV tư vấn</t>
  </si>
  <si>
    <t xml:space="preserve">Conversion Rate - Lead đăng ký + cọc</t>
  </si>
  <si>
    <t xml:space="preserve">Thấp đồng loạt nhiều người -&gt; vấn đề kịch bản, giá, hoặc sản phẩm. Thấp ở một vài người -&gt; kỹ năng xử lý rào cản / xử lý từ chối. Thấp ở một khóa cụ thể -&gt; vấn đề giá hoặc sự phù hợp của khóa đó với nhu cầu học viên</t>
  </si>
  <si>
    <t xml:space="preserve">DR3</t>
  </si>
  <si>
    <t xml:space="preserve">Drop Rate Phase 3 - Tỷ lệ dropped sau tư vấn</t>
  </si>
  <si>
    <t xml:space="preserve">DR3 cao đồng loạt nhiều nhân viên -&gt; vấn đề kịch bản, giá, sản phẩm; cao ở một vài nhân viên -&gt; vấn đề kỹ năng xử lý từ chối; cao ở một khóa cụ thể -&gt; vấn đề giá hoặc mức độ phù hợp của khóa với nhu cầu học viên; cao theo một nhóm lý do (conversion_note) -&gt; xử lý trực tiếp theo nguyên nhân đó</t>
  </si>
  <si>
    <t xml:space="preserve">Consultation Velocity - TB giờ từ result consulted</t>
  </si>
  <si>
    <t xml:space="preserve">Mỗi giờ trễ sau khi có kết quả = giảm khả năng chốt đăng ký, vì học viên nguội dần. Đọc cùng GLA (SLA chấm bài và trả kết quả): nếu WOW chậm chấm thì CVT dù cao vẫn có thể mang lại kết quả chuyển đổi kém</t>
  </si>
  <si>
    <t xml:space="preserve">Payment Completion Rate - Tỷ lệ đăng ký đã paid full</t>
  </si>
  <si>
    <t xml:space="preserve">P4</t>
  </si>
  <si>
    <t xml:space="preserve">Thấp = còn nhiều công nợ chưa thu, ảnh hưởng trực tiếp đến dòng tiền. Đọc kèm với remaining_amount tổng hợp để biết quy mô công nợ thực tế</t>
  </si>
  <si>
    <t xml:space="preserve">CAR</t>
  </si>
  <si>
    <t xml:space="preserve">Cancellation Rate - Tỷ lệ ĐK bị hủy</t>
  </si>
  <si>
    <t xml:space="preserve">Cao liên tục -&gt; cần xem lại chất lượng tư vấn giai đoạn 3: học viên hủy sớm thường do kỳ vọng không khớp thực tế. Đọc cùng DR3 để xem bức tranh toàn diện từ tư vấn đến sau đăng ký</t>
  </si>
  <si>
    <t xml:space="preserve">Placement Rate 48h - Tỷ lệ xếp lớp trong 48h sau confirm</t>
  </si>
  <si>
    <t xml:space="preserve">P5</t>
  </si>
  <si>
    <t xml:space="preserve">Thấp = học viên chờ đợi và mất trải nghiệm tốt ngay từ đầu. Đọc cùng Trạng thái Onboarding (onboarding_status) để biết toàn bộ thời gian từ đăng ký đến vào lớp</t>
  </si>
  <si>
    <t xml:space="preserve">CLR</t>
  </si>
  <si>
    <t xml:space="preserve">Class Confirmation Rate - Tỷ lệ HV confirm lớp</t>
  </si>
  <si>
    <t xml:space="preserve">Cao -&gt; xếp lớp ban đầu không chính xác. Nguyên nhân thường là đọc sai Lịch rảnh (availability_schedule) hoặc Hình thức học (learning_mode) từ giai đoạn 1. Xem thêm Ghi chú xếp lớp (placement_note) để tìm hiểu lý do</t>
  </si>
  <si>
    <t xml:space="preserve">CUR</t>
  </si>
  <si>
    <t xml:space="preserve">Class Utilization Rate - Tỷ lệ sĩ số / capacity TB</t>
  </si>
  <si>
    <t xml:space="preserve">Dưới 60% = lãng phí nguồn lực giảng viên và cơ sở vật chất. Trên 95% = quá chật, ảnh hưởng chất lượng giảng dạy. Đọc cùng PLR48: nếu xếp lớp nhanh nhưng CUR thấp -&gt; cần gộp lớp hoặc điều chỉnh lịch mở lớp</t>
  </si>
  <si>
    <t xml:space="preserve">Onboarding Time - TB giờ từ confirm onboarding done</t>
  </si>
  <si>
    <t xml:space="preserve">Học viên chưa hoàn thành onboarding khi bắt đầu học = không biết cách dùng LMS, không biết lịch, không biết nội quy - tạo ra rào cản ngay từ buổi đầu</t>
  </si>
  <si>
    <t xml:space="preserve">Attendance Rate - Tỷ lệ chuyên cần (đúng giờ + trễ)</t>
  </si>
  <si>
    <t xml:space="preserve">P6</t>
  </si>
  <si>
    <t xml:space="preserve">Kết hợp với loại vắng (absence_type) để phân biệt vắng có phép và không phép. Tỷ lệ tham gia học (ATR) thấp nhưng chủ yếu là vắng có phép ("excused") -&gt; vấn đề lịch học không phù hợp, xem xét điều chỉnh giờ học. ATR thấp với nhiều vắng không phép ("unexcused") -&gt; học viên thiếu cam kết, nguy cơ bỏ học cao</t>
  </si>
  <si>
    <t xml:space="preserve">Unexcused Absence Rate - Tỷ lệ vắng không phép</t>
  </si>
  <si>
    <t xml:space="preserve">Quan trọng hơn tỷ lệ tham gia học (ATR) vì đo cam kết thực sự của học viên - vắng có phép vẫn là ổn, vắng không phép mới là cảnh báo thực sự. Tỷ lệ vắng không phép (UAR) cao = nguy cơ bỏ học cao trong 2-3 tuần tới</t>
  </si>
  <si>
    <t xml:space="preserve">At-Risk Rate (chuyên cần) - Tỷ lệ HV at_risk</t>
  </si>
  <si>
    <t xml:space="preserve">Cao liên tục qua nhiều tuần -&gt; vấn đề hệ thống của lớp, không chỉ cá nhân học viên. Phân tích theo: lý do có nguy cơ về chuyên cần (attendance_risk_reason) để tìm điểm chung và tìm nguyên nhân gốc</t>
  </si>
  <si>
    <t xml:space="preserve">AIR</t>
  </si>
  <si>
    <t xml:space="preserve">At-Risk Academic Rate - Tỷ lệ HV at_risk học thuật</t>
  </si>
  <si>
    <t xml:space="preserve">Chỉ số này đo kỷ luật vận hành của học vụ, không đo kết quả can thiệp. Liên hệ kịp thời chưa đủ - cần đọc cùng tỷ lệ phục hồi sau can thiệp (RCR) để biết can thiệp có hiệu quả không</t>
  </si>
  <si>
    <t xml:space="preserve">RCR</t>
  </si>
  <si>
    <t xml:space="preserve">Recovery Rate - Tỷ lệ HV at_risk quay lại on_track</t>
  </si>
  <si>
    <t xml:space="preserve">Thấp -&gt; can thiệp chưa đúng cách (chỉ nhắn tin thay vì gọi điện) hoặc nguyên nhân at_risk sâu hơn (tài chính, cá nhân) mà học vụ không giải quyết được một mình</t>
  </si>
  <si>
    <t xml:space="preserve">GCR7</t>
  </si>
  <si>
    <t xml:space="preserve">Grading Completion Rate 7d - BT chấm trong 5 ngày</t>
  </si>
  <si>
    <t xml:space="preserve">P7</t>
  </si>
  <si>
    <t xml:space="preserve">Giảng viên chậm chấm -&gt; học viên không biết mình sai ở đâu -&gt; lỗi cũ tiếp tục lặp lại trong bài sau. Đọc cùng tỷ lệ teacher_note đầy đủ (TNR): giảng viên chậm cả chấm bài lẫn ghi nhận xét là dấu hiệu quá tải hoặc thiếu nghiêm túc trong nghiệp vụ</t>
  </si>
  <si>
    <t xml:space="preserve">WOR</t>
  </si>
  <si>
    <t xml:space="preserve">WOW Outcome Rate - Tỷ lệ buổi WOW improved</t>
  </si>
  <si>
    <t xml:space="preserve">Thấp -&gt; NV WOW chưa chuẩn bị đúng điểm yếu cần can thiệp, hoặc học viên cần nhiều buổi hơn, hoặc vấn đề học thuật nghiêm trọng hơn mức WOW có thể xử lý một mình</t>
  </si>
  <si>
    <t xml:space="preserve">NER</t>
  </si>
  <si>
    <t xml:space="preserve">Negative Feedback Rate - Tỷ lệ FB tiêu cực</t>
  </si>
  <si>
    <t xml:space="preserve">P8</t>
  </si>
  <si>
    <t xml:space="preserve">NER tăng qua các đợt khảo sát liên tiếp -&gt; vấn đề chưa được giải quyết tận gốc, chỉ đang đối phó bề mặt</t>
  </si>
  <si>
    <t xml:space="preserve">Complaint Incidence Rate - Tỷ lệ HV có KN / tháng</t>
  </si>
  <si>
    <t xml:space="preserve">P9</t>
  </si>
  <si>
    <t xml:space="preserve">Đọc cùng NER giai đoạn 8: nếu NER cao nhưng CIR thấp -&gt; phần lớn tiêu cực đang được xử lý ổn ở giai đoạn 8. Nếu cả hai cao -&gt; có vấn đề nghiêm trọng chưa được giải quyết</t>
  </si>
  <si>
    <t xml:space="preserve">Resolution Rate - Tỷ lệ KN được resolved + accepted</t>
  </si>
  <si>
    <t xml:space="preserve">Thấp -&gt; giải pháp đưa ra chưa thuyết phục hoặc quy trình xử lý chưa phù hợp. Phân tích theo complaint_type để biết nhóm nào khó xử lý nhất và thiếu thẩm quyền gì</t>
  </si>
  <si>
    <t xml:space="preserve">CR10</t>
  </si>
  <si>
    <t xml:space="preserve">Course Completion Rate - Tỷ lệ HV hoàn thành khóa</t>
  </si>
  <si>
    <t xml:space="preserve">P10</t>
  </si>
  <si>
    <t xml:space="preserve">Kết hợp với dropout_reason để tìm nhóm nguyên nhân phổ biến nhất. Tỷ lệ thấp kéo dài liên tục -&gt; cần xem lại toàn bộ quy trình can thiệp sớm ở giai đoạn 6 và 7</t>
  </si>
  <si>
    <t xml:space="preserve">Re-Enrollment Rate - Tỷ lệ tái ĐK</t>
  </si>
  <si>
    <t xml:space="preserve">Chỉ số phản ánh mức độ hài lòng và giá trị cảm nhận của học viên sau khi trải nghiệm toàn bộ khóa học. Thấp không nhất thiết là do dịch vụ kém - có thể học viên đã đạt mục tiêu và không cần học tiếp (đọc cùng AR)</t>
  </si>
  <si>
    <t xml:space="preserve">FUR</t>
  </si>
  <si>
    <t xml:space="preserve">Follow-up Rate - Tuân thủ lịch follow-up</t>
  </si>
  <si>
    <t xml:space="preserve">Thấp -&gt; lead đang bị bỏ lơ dù đã có lịch hẹn. Đây là chỉ số kỷ luật cá nhân của NV tư vấn - quản lý nên xem hàng ngày</t>
  </si>
  <si>
    <t xml:space="preserve">HCR</t>
  </si>
  <si>
    <t xml:space="preserve">Homework Completion Rate - Tỷ lệ hoàn thành bài tập</t>
  </si>
  <si>
    <t xml:space="preserve">Thấp = học viên không thực hành đủ, một trong những lý cho chính có liên quan chặt chẽ với không đạt mục tiêu và nguy cơ bỏ học. Phân tích kết hợp với Tỷ lệ vắng không phép (UAR) giai đoạn 6: vắng học nhiều + không nộp bài = nguy cơ bỏ học rất cao</t>
  </si>
  <si>
    <t xml:space="preserve">OTR7</t>
  </si>
  <si>
    <t xml:space="preserve">On-Time Rate - Tỷ lệ nộp bài đúng hạn</t>
  </si>
  <si>
    <t xml:space="preserve">Tỷ lệ nộp đúng hạn (OTR7) thấp nhưng tỷ lệ hoàn thành bài tập (HCR) cao -&gt; học viên vẫn nộp bài nhưng hay trễ, cần thêm nhắc nhở trước deadline. Cả OTR7 lẫn HCR đều thấp -&gt; học viên không làm bài, xem lại khối lượng, độ khó, không loại trừ thái độ học tập của học viên</t>
  </si>
  <si>
    <t xml:space="preserve">TNR</t>
  </si>
  <si>
    <t xml:space="preserve">Teacher Note Rate - Tỷ lệ teacher_note đầy đủ</t>
  </si>
  <si>
    <t xml:space="preserve">Tỷ lệ teacher_note đầy đủ (TNR) thấp -&gt; học vụ không có đủ dữ liệu học thuật để phát hiện học viên yếu và can thiệp đúng lúc. Đây là chỉ số trực tiếp đo chất lượng ghi chép của giảng viên</t>
  </si>
  <si>
    <t xml:space="preserve">ADC</t>
  </si>
  <si>
    <t xml:space="preserve">Attendance Discipline - Tuân thủ điểm danh của GV</t>
  </si>
  <si>
    <t xml:space="preserve">Thấp -&gt; học vụ không có dữ liệu để phát hiện at_risk kịp thời. Giảng viên quên điểm danh là vi phạm SLA và phải được đưa vào đánh giá hiệu suất hàng tháng</t>
  </si>
  <si>
    <t xml:space="preserve">SPR</t>
  </si>
  <si>
    <t xml:space="preserve">Skill Progress Rate - Tiến bộ điểm kỹ năng (mốc 8 tuần)</t>
  </si>
  <si>
    <t xml:space="preserve">Chỉ số quan trọng nhất đo chất lượng giảng dạy thực tế. Đọc theo từng kỹ năng: nếu Listening tăng nhưng Writing không tăng -&gt; giảng viên đang tập trung không đều. Đọc cùng Tỷ lệ đạt mục tiêu (AR) giai đoạn 10</t>
  </si>
  <si>
    <t xml:space="preserve">SS</t>
  </si>
  <si>
    <t xml:space="preserve">Satisfaction Score - Điểm hài lòng trung bình</t>
  </si>
  <si>
    <t xml:space="preserve">Khi dưới ngưỡng: đừng xem SS tổng - hãy phân tích theo danh mục để biết vấn đề ở đâu (giảng viên? lịch học? dịch vụ?). Một danh mục thấp cần giải pháp khác với nhiều danh mục cùng thấp</t>
  </si>
  <si>
    <t xml:space="preserve">SRR</t>
  </si>
  <si>
    <t xml:space="preserve">Survey Response Rate - Tỷ lệ phản hồi khảo sát</t>
  </si>
  <si>
    <t xml:space="preserve">Thấp = không có đủ dữ liệu để đánh giá trải nghiệm - đang bỏ sót vấn đề tiềm ẩn. Cải thiện bằng cách đơn giản hoá form, gửi đúng thời điểm (ngay sau buổi học), và học vụ nhắc nhở trực tiếp</t>
  </si>
  <si>
    <t xml:space="preserve">FTR</t>
  </si>
  <si>
    <t xml:space="preserve">Feedback Time Rate - Xử lý feedback đúng SLA 24h</t>
  </si>
  <si>
    <t xml:space="preserve">Đây là chỉ số kỷ luật vận hành của học vụ. Quản lý nên xem FTR mỗi ngày đầu tuần để đảm bảo không có feedback nào bị bỏ quên</t>
  </si>
  <si>
    <t xml:space="preserve">NPS</t>
  </si>
  <si>
    <t xml:space="preserve">Net Promoter Score - Chỉ số giới thiệu</t>
  </si>
  <si>
    <t xml:space="preserve">Chỉ số dài hạn phản ánh giá trị thực mà học viên cảm nhận. NPS cao = nguồn referral tự nhiên. Đọc cùng RER giai đoạn 10: NPS cao + RER thấp -&gt; học viên hài lòng nhưng không có nhu cầu tiếp tục (đã đạt mục tiêu)</t>
  </si>
  <si>
    <t xml:space="preserve">SLA_R</t>
  </si>
  <si>
    <t xml:space="preserve">SLA Response - Tuân thủ SLA phản hồi khiếu nại đầu</t>
  </si>
  <si>
    <t xml:space="preserve">SLA phản hồi đầu tiên quan trọng hơn SLA giải quyết về mặt cảm nhận của học viên - học viên cần biết họ được lắng nghe ngay, dù chưa có giải pháp</t>
  </si>
  <si>
    <t xml:space="preserve">CTR</t>
  </si>
  <si>
    <t xml:space="preserve">Complaint Time Resolution - TG giải quyết khiếu nại TB</t>
  </si>
  <si>
    <t xml:space="preserve">Đọc theo mức độ: high severity &gt; 24 giờ là vi phạm nghiêm trọng cần báo ban lãnh đạo ngay. medium/low &gt; 72 giờ cũng là vi phạm SLA</t>
  </si>
  <si>
    <t xml:space="preserve">AR</t>
  </si>
  <si>
    <t xml:space="preserve">Achievement Rate - Tỷ lệ đạt mục tiêu</t>
  </si>
  <si>
    <t xml:space="preserve">Chỉ số quan trọng nhất phản ánh chất lượng đào tạo thực sự. Thấp ở một giảng viên cụ thể -&gt; vấn đề giảng dạy cá nhân. Thấp ở một khóa học -&gt; vấn đề chương trình. Thấp đồng loạt toàn trung tâm -&gt; vấn đề hệ thống</t>
  </si>
  <si>
    <t xml:space="preserve">DOR</t>
  </si>
  <si>
    <t xml:space="preserve">Dropout Rate - Tỷ lệ bỏ học</t>
  </si>
  <si>
    <t xml:space="preserve">Bỏ vì học thuật -&gt; xếp lớp sai trình độ hoặc can thiệp chậm ở giai đoạn 6-7. Bỏ vì tài chính -&gt; vấn đề chính sách học phí hoặc tình huống cá nhân. Bỏ vì dịch vụ -&gt; cần xem lại toàn bộ trải nghiệm vận hành</t>
  </si>
  <si>
    <t xml:space="preserve">RTR</t>
  </si>
  <si>
    <t xml:space="preserve">Re-enroll Timely - Tư vấn tái ĐK kịp thời (3 ngày)</t>
  </si>
  <si>
    <t xml:space="preserve">Mỗi ngày trễ sau khi kết thúc khóa = học viên nguội dần và bắt đầu tìm kiếm lựa chọn khác. Đọc cùng RER: RTR cao + RER thấp -&gt; có thể vấn đề ở nội dung tư vấn, không phải tốc độ</t>
  </si>
  <si>
    <t xml:space="preserve">TCR</t>
  </si>
  <si>
    <t xml:space="preserve">Transfer Comeback Rate - Bảo lưu quay lại học</t>
  </si>
  <si>
    <t xml:space="preserve">Thấp -&gt; học vụ không nhắc học viên trước khi hết hạn (SLA: nhắc trước 2 tuần) hoặc nguyên nhân bảo lưu chưa được giải quyết. Đây là cơ hội khôi phục doanh thu đã có sẵn</t>
  </si>
  <si>
    <t xml:space="preserve">WSR</t>
  </si>
  <si>
    <t xml:space="preserve">WOW Session Rate - Tỷ lệ buổi WOW hoàn thành</t>
  </si>
  <si>
    <t xml:space="preserve">Tỷ lệ buổi WOW hoàn thành (WSR) thấp thường do học viên hủy hoặc không đến - cần xem tỷ lệ vắng mặt ("no_show") và hủy bởi học viên ("cancelled_by_student") để tìm nguyên nhân để phân biệt</t>
  </si>
  <si>
    <t xml:space="preserve">WRR</t>
  </si>
  <si>
    <t xml:space="preserve">WOW Recommend Rate - Đề xuất WOW phù hợp</t>
  </si>
  <si>
    <t xml:space="preserve">Giảng viên đề xuất WOW đúng học viên, đúng kỹ năng, đúng thời điểm -&gt; WOR cao. Đề xuất tràn lan hoặc không có căn cứ -&gt; WOR thấp và lãng phí quota</t>
  </si>
  <si>
    <t xml:space="preserve">full_name</t>
  </si>
  <si>
    <t xml:space="preserve">role</t>
  </si>
  <si>
    <t xml:space="preserve">department</t>
  </si>
  <si>
    <t xml:space="preserve">reports_to</t>
  </si>
  <si>
    <t xml:space="preserve">branch</t>
  </si>
  <si>
    <t xml:space="preserve">start_date</t>
  </si>
  <si>
    <t xml:space="preserve">status</t>
  </si>
  <si>
    <t xml:space="preserve">notes</t>
  </si>
  <si>
    <t xml:space="preserve">reports_to_name</t>
  </si>
  <si>
    <t xml:space="preserve">Mã NV</t>
  </si>
  <si>
    <t xml:space="preserve">Họ tên đầy đủ</t>
  </si>
  <si>
    <t xml:space="preserve">Vai trò (enum)</t>
  </si>
  <si>
    <t xml:space="preserve">Phòng ban</t>
  </si>
  <si>
    <t xml:space="preserve">Quản lý trực tiếp (link)</t>
  </si>
  <si>
    <t xml:space="preserve">Cơ sở</t>
  </si>
  <si>
    <t xml:space="preserve">SĐT</t>
  </si>
  <si>
    <t xml:space="preserve">Email</t>
  </si>
  <si>
    <t xml:space="preserve">Ngày vào làm</t>
  </si>
  <si>
    <t xml:space="preserve">Ghi chú</t>
  </si>
  <si>
    <t xml:space="preserve">Tên quản lý (tự hiện)</t>
  </si>
  <si>
    <t xml:space="preserve">NV001, NV002... (tự đặt theo thứ tự)</t>
  </si>
  <si>
    <t xml:space="preserve">Họ tên đầy đủ, có dấu</t>
  </si>
  <si>
    <t xml:space="preserve">Chọn dropdown từ enum_staff_role</t>
  </si>
  <si>
    <t xml:space="preserve">Tên phòng ban tiếng Việt</t>
  </si>
  <si>
    <t xml:space="preserve">Bấm chọn từ DS NV trên</t>
  </si>
  <si>
    <t xml:space="preserve">Chọn dropdown nếu thuộc cơ sở</t>
  </si>
  <si>
    <t xml:space="preserve">10 chữ số, không khoảng trắng</t>
  </si>
  <si>
    <t xml:space="preserve">tên.viết_tắt@ieltsthetutors.edu.vn</t>
  </si>
  <si>
    <t xml:space="preserve">dd/mm/yyyy</t>
  </si>
  <si>
    <t xml:space="preserve">Mặc định = active</t>
  </si>
  <si>
    <t xml:space="preserve">Ghi chú thêm</t>
  </si>
  <si>
    <t xml:space="preserve">Tự lấy từ DL01</t>
  </si>
  <si>
    <t xml:space="preserve">NV001</t>
  </si>
  <si>
    <t xml:space="preserve">Nguyễn Hoàng Anh Kiệt</t>
  </si>
  <si>
    <t xml:space="preserve">Tư vấn</t>
  </si>
  <si>
    <t xml:space="preserve">0908000001</t>
  </si>
  <si>
    <t xml:space="preserve">kiet.tv@ieltsthetutors.edu.vn</t>
  </si>
  <si>
    <t xml:space="preserve">Mã HR: SALE.4</t>
  </si>
  <si>
    <t xml:space="preserve">NV002</t>
  </si>
  <si>
    <t xml:space="preserve">Nguyễn Văn Thanh Thuyên</t>
  </si>
  <si>
    <t xml:space="preserve">0908000002</t>
  </si>
  <si>
    <t xml:space="preserve">thuyen.tv@ieltsthetutors.edu.vn</t>
  </si>
  <si>
    <t xml:space="preserve">Mã HR: SALE.6</t>
  </si>
  <si>
    <t xml:space="preserve">NV003</t>
  </si>
  <si>
    <t xml:space="preserve">Nguyễn Thanh Kiu</t>
  </si>
  <si>
    <t xml:space="preserve">ACA</t>
  </si>
  <si>
    <t xml:space="preserve">0908000003</t>
  </si>
  <si>
    <t xml:space="preserve">kiu.wow@ieltsthetutors.edu.vn</t>
  </si>
  <si>
    <t xml:space="preserve">Mã HR: WOW.2</t>
  </si>
  <si>
    <t xml:space="preserve">NV004</t>
  </si>
  <si>
    <t xml:space="preserve">Nguyễn Tuấn Phong</t>
  </si>
  <si>
    <t xml:space="preserve">0908000004</t>
  </si>
  <si>
    <t xml:space="preserve">phong.wow@ieltsthetutors.edu.vn</t>
  </si>
  <si>
    <t xml:space="preserve">Mã HR: WOW.3</t>
  </si>
  <si>
    <t xml:space="preserve">NV005</t>
  </si>
  <si>
    <t xml:space="preserve">Phan Trung Chính</t>
  </si>
  <si>
    <t xml:space="preserve">0908000005</t>
  </si>
  <si>
    <t xml:space="preserve">chinh.gv@ieltsthetutors.edu.vn</t>
  </si>
  <si>
    <t xml:space="preserve">Mã HR: ACA.06</t>
  </si>
  <si>
    <t xml:space="preserve">NV006</t>
  </si>
  <si>
    <t xml:space="preserve">Phạm Tấn Phát</t>
  </si>
  <si>
    <t xml:space="preserve">0908000006</t>
  </si>
  <si>
    <t xml:space="preserve">phat.gv@ieltsthetutors.edu.vn</t>
  </si>
  <si>
    <t xml:space="preserve">Mã HR: ACA.07</t>
  </si>
  <si>
    <t xml:space="preserve">NV007</t>
  </si>
  <si>
    <t xml:space="preserve">Lê Thị Đức</t>
  </si>
  <si>
    <t xml:space="preserve">0908000007</t>
  </si>
  <si>
    <t xml:space="preserve">duc.hv@ieltsthetutors.edu.vn</t>
  </si>
  <si>
    <t xml:space="preserve">Mã HR: HV.2</t>
  </si>
  <si>
    <t xml:space="preserve">NV008</t>
  </si>
  <si>
    <t xml:space="preserve">Nguyễn Thị Hồng Thu</t>
  </si>
  <si>
    <t xml:space="preserve">0908000008</t>
  </si>
  <si>
    <t xml:space="preserve">thu.hv@ieltsthetutors.edu.vn</t>
  </si>
  <si>
    <t xml:space="preserve">Mã HR: HV.3</t>
  </si>
  <si>
    <t xml:space="preserve">NV009</t>
  </si>
  <si>
    <t xml:space="preserve">Nguyễn Lê Minh Chí</t>
  </si>
  <si>
    <t xml:space="preserve">Ban Giám đốc</t>
  </si>
  <si>
    <t xml:space="preserve">0901000009</t>
  </si>
  <si>
    <t xml:space="preserve">chi.ceo@ieltsthetutors.edu.vn</t>
  </si>
  <si>
    <t xml:space="preserve">Mã HR: CEO.1</t>
  </si>
  <si>
    <t xml:space="preserve">NV010</t>
  </si>
  <si>
    <t xml:space="preserve">Phan Thị Hồng Đào</t>
  </si>
  <si>
    <t xml:space="preserve">0908000010</t>
  </si>
  <si>
    <t xml:space="preserve">dao.kt@ieltsthetutors.edu.vn</t>
  </si>
  <si>
    <t xml:space="preserve">Mã HR: ACC.1</t>
  </si>
  <si>
    <t xml:space="preserve">NV011</t>
  </si>
  <si>
    <t xml:space="preserve">Nguyễn Huỳnh Phương Lộc</t>
  </si>
  <si>
    <t xml:space="preserve">IT</t>
  </si>
  <si>
    <t xml:space="preserve">0908000011</t>
  </si>
  <si>
    <t xml:space="preserve">loc.it@ieltsthetutors.edu.vn</t>
  </si>
  <si>
    <t xml:space="preserve">Mã HR: IT.1</t>
  </si>
  <si>
    <t xml:space="preserve">NV012</t>
  </si>
  <si>
    <t xml:space="preserve">Phạm Thị Kim Ngân</t>
  </si>
  <si>
    <t xml:space="preserve">0901000012</t>
  </si>
  <si>
    <t xml:space="preserve">ngan.tv@ieltsthetutors.edu.vn</t>
  </si>
  <si>
    <t xml:space="preserve">Mã HR: SALE.1</t>
  </si>
  <si>
    <t xml:space="preserve">NV013</t>
  </si>
  <si>
    <t xml:space="preserve">Phạm Thị Mỹ Tiên</t>
  </si>
  <si>
    <t xml:space="preserve">0901000013</t>
  </si>
  <si>
    <t xml:space="preserve">tien.hv@ieltsthetutors.edu.vn</t>
  </si>
  <si>
    <t xml:space="preserve">Mã HR: HV.1</t>
  </si>
  <si>
    <t xml:space="preserve">NV014</t>
  </si>
  <si>
    <t xml:space="preserve">Lê Trọng Tín</t>
  </si>
  <si>
    <t xml:space="preserve">0901000014</t>
  </si>
  <si>
    <t xml:space="preserve">tin.aca@ieltsthetutors.edu.vn</t>
  </si>
  <si>
    <t xml:space="preserve">Mã HR: ACA.01</t>
  </si>
  <si>
    <t xml:space="preserve">NV015</t>
  </si>
  <si>
    <t xml:space="preserve">Đỗ Thành Luân</t>
  </si>
  <si>
    <t xml:space="preserve">Marketing</t>
  </si>
  <si>
    <t xml:space="preserve">0901000015</t>
  </si>
  <si>
    <t xml:space="preserve">luan.mkt@ieltsthetutors.edu.vn</t>
  </si>
  <si>
    <t xml:space="preserve">Mã HR: MKT.1</t>
  </si>
  <si>
    <t xml:space="preserve">NV016</t>
  </si>
  <si>
    <t xml:space="preserve">Trần Nhật Hào</t>
  </si>
  <si>
    <t xml:space="preserve">Nhân sự</t>
  </si>
  <si>
    <t xml:space="preserve">0901000016</t>
  </si>
  <si>
    <t xml:space="preserve">hao.hr@ieltsthetutors.edu.vn</t>
  </si>
  <si>
    <t xml:space="preserve">Mã HR: HR.1</t>
  </si>
  <si>
    <t xml:space="preserve">NV017</t>
  </si>
  <si>
    <t xml:space="preserve">0901000017</t>
  </si>
  <si>
    <t xml:space="preserve">dao2.kt@ieltsthetutors.edu.vn</t>
  </si>
  <si>
    <t xml:space="preserve">Mã HR: ACC.1 - kiêm nhiệm</t>
  </si>
  <si>
    <t xml:space="preserve">NV018</t>
  </si>
  <si>
    <t xml:space="preserve">0901000018</t>
  </si>
  <si>
    <t xml:space="preserve">loc2.it@ieltsthetutors.edu.vn</t>
  </si>
  <si>
    <t xml:space="preserve">Mã HR: IT.1 - kiêm nhiệm</t>
  </si>
  <si>
    <t xml:space="preserve">NV020</t>
  </si>
  <si>
    <t xml:space="preserve">Huỳnh Quang Khải</t>
  </si>
  <si>
    <t xml:space="preserve">0901000020</t>
  </si>
  <si>
    <t xml:space="preserve">khai.tv@ieltsthetutors.edu.vn</t>
  </si>
  <si>
    <t xml:space="preserve">Mã HR: SALE.2</t>
  </si>
  <si>
    <t xml:space="preserve">NV021</t>
  </si>
  <si>
    <t xml:space="preserve">Trần Thị Thanh Hà</t>
  </si>
  <si>
    <t xml:space="preserve">0901000021</t>
  </si>
  <si>
    <t xml:space="preserve">ha.tv@ieltsthetutors.edu.vn</t>
  </si>
  <si>
    <t xml:space="preserve">Mã HR: SALE.5</t>
  </si>
  <si>
    <t xml:space="preserve">NV022</t>
  </si>
  <si>
    <t xml:space="preserve">Nguyễn Huỳnh Thanh Phương</t>
  </si>
  <si>
    <t xml:space="preserve">0901000022</t>
  </si>
  <si>
    <t xml:space="preserve">phuong.tv@ieltsthetutors.edu.vn</t>
  </si>
  <si>
    <t xml:space="preserve">Mã HR: SALE.7</t>
  </si>
  <si>
    <t xml:space="preserve">NV023</t>
  </si>
  <si>
    <t xml:space="preserve">Nguyễn Thị Phương Duyên</t>
  </si>
  <si>
    <t xml:space="preserve">0908000023</t>
  </si>
  <si>
    <t xml:space="preserve">duyen.tv@ieltsthetutors.edu.vn</t>
  </si>
  <si>
    <t xml:space="preserve">Mã HR: SALE.9</t>
  </si>
  <si>
    <t xml:space="preserve">NV024</t>
  </si>
  <si>
    <t xml:space="preserve">Huỳnh Quốc Khánh</t>
  </si>
  <si>
    <t xml:space="preserve">0908000024</t>
  </si>
  <si>
    <t xml:space="preserve">khanh.tv@ieltsthetutors.edu.vn</t>
  </si>
  <si>
    <t xml:space="preserve">Mã HR: SALE.10</t>
  </si>
  <si>
    <t xml:space="preserve">NV025</t>
  </si>
  <si>
    <t xml:space="preserve">Thái Phạm Tố Trinh</t>
  </si>
  <si>
    <t xml:space="preserve">0908000025</t>
  </si>
  <si>
    <t xml:space="preserve">trinh.tv@ieltsthetutors.edu.vn</t>
  </si>
  <si>
    <t xml:space="preserve">Mã HR: SALE.3 - đã nghỉ</t>
  </si>
  <si>
    <t xml:space="preserve">NV026</t>
  </si>
  <si>
    <t xml:space="preserve">Nguyễn Hoàng Phú</t>
  </si>
  <si>
    <t xml:space="preserve">0908000026</t>
  </si>
  <si>
    <t xml:space="preserve">phu.tv@ieltsthetutors.edu.vn</t>
  </si>
  <si>
    <t xml:space="preserve">Mã HR: SALE.8 - đã nghỉ</t>
  </si>
  <si>
    <t xml:space="preserve">NV027</t>
  </si>
  <si>
    <t xml:space="preserve">(Chưa tuyển)</t>
  </si>
  <si>
    <t xml:space="preserve">0908000027</t>
  </si>
  <si>
    <t xml:space="preserve">vị trí trống</t>
  </si>
  <si>
    <t xml:space="preserve">NV030</t>
  </si>
  <si>
    <t xml:space="preserve">Phạm Công Danh</t>
  </si>
  <si>
    <t xml:space="preserve">0901000030</t>
  </si>
  <si>
    <t xml:space="preserve">danh.wow@ieltsthetutors.edu.vn</t>
  </si>
  <si>
    <t xml:space="preserve">Mã HR: WOW.1</t>
  </si>
  <si>
    <t xml:space="preserve">NV031</t>
  </si>
  <si>
    <t xml:space="preserve">Trần Thanh Minh</t>
  </si>
  <si>
    <t xml:space="preserve">0908000031</t>
  </si>
  <si>
    <t xml:space="preserve">minh.gv@ieltsthetutors.edu.vn</t>
  </si>
  <si>
    <t xml:space="preserve">Mã HR: ACA.08</t>
  </si>
  <si>
    <t xml:space="preserve">NV032</t>
  </si>
  <si>
    <t xml:space="preserve">Thạch Đan Tiệp</t>
  </si>
  <si>
    <t xml:space="preserve">0908000032</t>
  </si>
  <si>
    <t xml:space="preserve">tiep.gv@ieltsthetutors.edu.vn</t>
  </si>
  <si>
    <t xml:space="preserve">Mã HR: ACA.09</t>
  </si>
  <si>
    <t xml:space="preserve">NV040</t>
  </si>
  <si>
    <t xml:space="preserve">Nguyễn Thị Thu Hiền</t>
  </si>
  <si>
    <t xml:space="preserve">0901000040</t>
  </si>
  <si>
    <t xml:space="preserve">hien.mkt@ieltsthetutors.edu.vn</t>
  </si>
  <si>
    <t xml:space="preserve">Mã HR: MKT.2</t>
  </si>
  <si>
    <t xml:space="preserve">NV041</t>
  </si>
  <si>
    <t xml:space="preserve">Đỗ Thị Kiều Vy</t>
  </si>
  <si>
    <t xml:space="preserve">0908000041</t>
  </si>
  <si>
    <t xml:space="preserve">vy.mkt@ieltsthetutors.edu.vn</t>
  </si>
  <si>
    <t xml:space="preserve">Mã HR: MKT.3</t>
  </si>
  <si>
    <t xml:space="preserve">NV050</t>
  </si>
  <si>
    <t xml:space="preserve">Nguyễn Ngọc Yến Vy</t>
  </si>
  <si>
    <t xml:space="preserve">0901000050</t>
  </si>
  <si>
    <t xml:space="preserve">vy.hr@ieltsthetutors.edu.vn</t>
  </si>
  <si>
    <t xml:space="preserve">Mã HR: HR.2</t>
  </si>
  <si>
    <t xml:space="preserve">NV051</t>
  </si>
  <si>
    <t xml:space="preserve">0908000051</t>
  </si>
  <si>
    <t xml:space="preserve">NV080</t>
  </si>
  <si>
    <t xml:space="preserve">Trần Thị Hồng Vân</t>
  </si>
  <si>
    <t xml:space="preserve">Cơ sở vật chất</t>
  </si>
  <si>
    <t xml:space="preserve">0908000080</t>
  </si>
  <si>
    <t xml:space="preserve">van.cs@ieltsthetutors.edu.vn</t>
  </si>
  <si>
    <t xml:space="preserve">Mã HR: HK.1</t>
  </si>
  <si>
    <t xml:space="preserve">NV081</t>
  </si>
  <si>
    <t xml:space="preserve">Chu Hoàng Long</t>
  </si>
  <si>
    <t xml:space="preserve">0908000081</t>
  </si>
  <si>
    <t xml:space="preserve">long.cs@ieltsthetutors.edu.vn</t>
  </si>
  <si>
    <t xml:space="preserve">Mã HR: HK.2</t>
  </si>
  <si>
    <t xml:space="preserve">lead_created_time</t>
  </si>
  <si>
    <t xml:space="preserve">phone_number</t>
  </si>
  <si>
    <t xml:space="preserve">zalo_id</t>
  </si>
  <si>
    <t xml:space="preserve">student_type</t>
  </si>
  <si>
    <t xml:space="preserve">learning_goal</t>
  </si>
  <si>
    <t xml:space="preserve">target_band</t>
  </si>
  <si>
    <t xml:space="preserve">expected_start_time</t>
  </si>
  <si>
    <t xml:space="preserve">availability_schedule</t>
  </si>
  <si>
    <t xml:space="preserve">learning_mode</t>
  </si>
  <si>
    <t xml:space="preserve">lead_source</t>
  </si>
  <si>
    <t xml:space="preserve">lead_qualification_status</t>
  </si>
  <si>
    <t xml:space="preserve">lead_status</t>
  </si>
  <si>
    <t xml:space="preserve">next_followup_time</t>
  </si>
  <si>
    <t xml:space="preserve">lead_note</t>
  </si>
  <si>
    <t xml:space="preserve">view_history</t>
  </si>
  <si>
    <t xml:space="preserve">Mã lead</t>
  </si>
  <si>
    <t xml:space="preserve">Thời gian tạo lead</t>
  </si>
  <si>
    <t xml:space="preserve">NV phụ trách (link)</t>
  </si>
  <si>
    <t xml:space="preserve">Thời gian liên hệ đầu</t>
  </si>
  <si>
    <t xml:space="preserve">Họ tên</t>
  </si>
  <si>
    <t xml:space="preserve">Zalo ID</t>
  </si>
  <si>
    <t xml:space="preserve">Đối tượng</t>
  </si>
  <si>
    <t xml:space="preserve">Mục tiêu</t>
  </si>
  <si>
    <t xml:space="preserve">Điểm mục tiêu</t>
  </si>
  <si>
    <t xml:space="preserve">Thời gian muốn bắt đầu</t>
  </si>
  <si>
    <t xml:space="preserve">Lịch rảnh</t>
  </si>
  <si>
    <t xml:space="preserve">Hình thức</t>
  </si>
  <si>
    <t xml:space="preserve">Nguồn</t>
  </si>
  <si>
    <t xml:space="preserve">Mức đủ điều kiện</t>
  </si>
  <si>
    <t xml:space="preserve">Trạng thái lead</t>
  </si>
  <si>
    <t xml:space="preserve">Lịch liên hệ tiếp</t>
  </si>
  <si>
    <t xml:space="preserve">Ghi chú trao đổi</t>
  </si>
  <si>
    <t xml:space="preserve">Việc cần làm</t>
  </si>
  <si>
    <t xml:space="preserve">Số lần liên hệ</t>
  </si>
  <si>
    <t xml:space="preserve">Liên hệ gần nhất</t>
  </si>
  <si>
    <t xml:space="preserve">Lịch sử liên hệ</t>
  </si>
  <si>
    <t xml:space="preserve">Tên NV phụ trách (tự hiện)</t>
  </si>
  <si>
    <t xml:space="preserve">L-2026-NNNNN (auto)</t>
  </si>
  <si>
    <t xml:space="preserve">Auto = NOW()</t>
  </si>
  <si>
    <t xml:space="preserve">Chọn NV TV</t>
  </si>
  <si>
    <t xml:space="preserve">Tự lấy từ lịch sử liên hệ (DL02b)</t>
  </si>
  <si>
    <t xml:space="preserve">10 chữ số</t>
  </si>
  <si>
    <t xml:space="preserve">Số Zalo nếu khác SĐT</t>
  </si>
  <si>
    <t xml:space="preserve">Chọn dropdown SOP</t>
  </si>
  <si>
    <t xml:space="preserve">Mục tiêu cụ thể có deadline</t>
  </si>
  <si>
    <t xml:space="preserve">Band số (vd 6.5)</t>
  </si>
  <si>
    <t xml:space="preserve">within_1m...</t>
  </si>
  <si>
    <t xml:space="preserve">VD: T2,4,6 sau 18h</t>
  </si>
  <si>
    <t xml:space="preserve">Chọn dropdown</t>
  </si>
  <si>
    <t xml:space="preserve">qualified/unknown/unqualified</t>
  </si>
  <si>
    <t xml:space="preserve">dd/mm/yyyy hh:mm</t>
  </si>
  <si>
    <t xml:space="preserve">Đủ 4 phần: nhu cầu / tình trạng / quan tâm / việc tiếp theo</t>
  </si>
  <si>
    <t xml:space="preserve">Auto-compute từ data</t>
  </si>
  <si>
    <t xml:space="preserve">Tự đếm từ DL02b</t>
  </si>
  <si>
    <t xml:space="preserve">Tự lấy từ DL02b</t>
  </si>
  <si>
    <t xml:space="preserve">Bấm để xem chi tiết</t>
  </si>
  <si>
    <t xml:space="preserve">L-2026-00001</t>
  </si>
  <si>
    <t xml:space="preserve">Ngô Thanh Tú</t>
  </si>
  <si>
    <t xml:space="preserve">0901000001</t>
  </si>
  <si>
    <t xml:space="preserve">Tối T2-4-6</t>
  </si>
  <si>
    <t xml:space="preserve">Lead mới từ form web</t>
  </si>
  <si>
    <t xml:space="preserve">L-2026-00002</t>
  </si>
  <si>
    <t xml:space="preserve">Đỗ Quang Huy</t>
  </si>
  <si>
    <t xml:space="preserve">0901000002</t>
  </si>
  <si>
    <t xml:space="preserve">Vừa để lại SĐT</t>
  </si>
  <si>
    <t xml:space="preserve">L-2026-00003</t>
  </si>
  <si>
    <t xml:space="preserve">Lý Mỹ Linh</t>
  </si>
  <si>
    <t xml:space="preserve">0901000003</t>
  </si>
  <si>
    <t xml:space="preserve">Đã gọi, hẹn gọi lại hôm nay</t>
  </si>
  <si>
    <t xml:space="preserve">L-2026-00004</t>
  </si>
  <si>
    <t xml:space="preserve">Trịnh Văn Nam</t>
  </si>
  <si>
    <t xml:space="preserve">0901000004</t>
  </si>
  <si>
    <t xml:space="preserve">Đã đặt test, chờ kết quả</t>
  </si>
  <si>
    <t xml:space="preserve">L-2026-00005</t>
  </si>
  <si>
    <t xml:space="preserve">Cao Thị Oanh</t>
  </si>
  <si>
    <t xml:space="preserve">0901000005</t>
  </si>
  <si>
    <t xml:space="preserve">Đã tư vấn, đang cân nhắc giá</t>
  </si>
  <si>
    <t xml:space="preserve">Trần Minh Anh</t>
  </si>
  <si>
    <t xml:space="preserve">0902000001</t>
  </si>
  <si>
    <t xml:space="preserve">Đã chốt Foundation</t>
  </si>
  <si>
    <t xml:space="preserve">L-2026-00007</t>
  </si>
  <si>
    <t xml:space="preserve">Lê Thị Bích Ngọc</t>
  </si>
  <si>
    <t xml:space="preserve">0902000002</t>
  </si>
  <si>
    <t xml:space="preserve">Đã chốt IELTS 6.5</t>
  </si>
  <si>
    <t xml:space="preserve">L-2026-00008</t>
  </si>
  <si>
    <t xml:space="preserve">Phạm Quốc Cường</t>
  </si>
  <si>
    <t xml:space="preserve">0902000003</t>
  </si>
  <si>
    <t xml:space="preserve">Đã chốt IELTS 6.0</t>
  </si>
  <si>
    <t xml:space="preserve">L-2026-00009</t>
  </si>
  <si>
    <t xml:space="preserve">Nguyễn Thị Dung</t>
  </si>
  <si>
    <t xml:space="preserve">0902000004</t>
  </si>
  <si>
    <t xml:space="preserve">L-2026-00010</t>
  </si>
  <si>
    <t xml:space="preserve">Võ Hoàng Em</t>
  </si>
  <si>
    <t xml:space="preserve">0902000005</t>
  </si>
  <si>
    <t xml:space="preserve">Đã chốt IELTS 7.0</t>
  </si>
  <si>
    <t xml:space="preserve">L-2026-00011</t>
  </si>
  <si>
    <t xml:space="preserve">Đặng Thu Hà</t>
  </si>
  <si>
    <t xml:space="preserve">0902000006</t>
  </si>
  <si>
    <t xml:space="preserve">Vừa chốt, đang xếp lớp</t>
  </si>
  <si>
    <t xml:space="preserve">L-2026-00012</t>
  </si>
  <si>
    <t xml:space="preserve">Lý Gia Khang</t>
  </si>
  <si>
    <t xml:space="preserve">0903000012</t>
  </si>
  <si>
    <t xml:space="preserve">Đã thành học viên</t>
  </si>
  <si>
    <t xml:space="preserve">L-2026-00013</t>
  </si>
  <si>
    <t xml:space="preserve">Trương Mỹ Lan</t>
  </si>
  <si>
    <t xml:space="preserve">0903000013</t>
  </si>
  <si>
    <t xml:space="preserve">L-2026-00014</t>
  </si>
  <si>
    <t xml:space="preserve">Phan Đức Minh</t>
  </si>
  <si>
    <t xml:space="preserve">0903000014</t>
  </si>
  <si>
    <t xml:space="preserve">L-2026-00015</t>
  </si>
  <si>
    <t xml:space="preserve">Vũ Thảo Nhi</t>
  </si>
  <si>
    <t xml:space="preserve">0903000015</t>
  </si>
  <si>
    <t xml:space="preserve">L-2026-00016</t>
  </si>
  <si>
    <t xml:space="preserve">Đinh Công Phú</t>
  </si>
  <si>
    <t xml:space="preserve">0903000016</t>
  </si>
  <si>
    <t xml:space="preserve">L-2026-00017</t>
  </si>
  <si>
    <t xml:space="preserve">Mai Xuân Quỳnh</t>
  </si>
  <si>
    <t xml:space="preserve">0903000017</t>
  </si>
  <si>
    <t xml:space="preserve">L-2026-00018</t>
  </si>
  <si>
    <t xml:space="preserve">Hà Bảo Trâm</t>
  </si>
  <si>
    <t xml:space="preserve">0904000018</t>
  </si>
  <si>
    <t xml:space="preserve">Đã tư vấn, chọn trung tâm gần nhà hơn</t>
  </si>
  <si>
    <t xml:space="preserve">L-2026-00019</t>
  </si>
  <si>
    <t xml:space="preserve">Kiều Anh Tuấn</t>
  </si>
  <si>
    <t xml:space="preserve">0904000019</t>
  </si>
  <si>
    <t xml:space="preserve">Gọi 5 lần không bắt máy</t>
  </si>
  <si>
    <t xml:space="preserve">L-2026-00020</t>
  </si>
  <si>
    <t xml:space="preserve">Ngân Hải Yến</t>
  </si>
  <si>
    <t xml:space="preserve">0904000020</t>
  </si>
  <si>
    <t xml:space="preserve">Đang so sánh lịch học</t>
  </si>
  <si>
    <t xml:space="preserve">touchpoint_id</t>
  </si>
  <si>
    <t xml:space="preserve">contact_time</t>
  </si>
  <si>
    <t xml:space="preserve">channel</t>
  </si>
  <si>
    <t xml:space="preserve">direction</t>
  </si>
  <si>
    <t xml:space="preserve">content</t>
  </si>
  <si>
    <t xml:space="preserve">result_note</t>
  </si>
  <si>
    <t xml:space="preserve">Mã lượt liên hệ</t>
  </si>
  <si>
    <t xml:space="preserve">Mã lead (link)</t>
  </si>
  <si>
    <t xml:space="preserve">Tên khách (tự hiện)</t>
  </si>
  <si>
    <t xml:space="preserve">Thời gian liên hệ</t>
  </si>
  <si>
    <t xml:space="preserve">Kênh liên hệ</t>
  </si>
  <si>
    <t xml:space="preserve">Chiều liên hệ</t>
  </si>
  <si>
    <t xml:space="preserve">Nội dung trao đổi</t>
  </si>
  <si>
    <t xml:space="preserve">NV liên hệ (link)</t>
  </si>
  <si>
    <t xml:space="preserve">Kết quả / hẹn tiếp</t>
  </si>
  <si>
    <t xml:space="preserve">Tên NV (tự hiện)</t>
  </si>
  <si>
    <t xml:space="preserve">TP-NNNNN (tự sinh)</t>
  </si>
  <si>
    <t xml:space="preserve">Chọn lead - hiện tên</t>
  </si>
  <si>
    <t xml:space="preserve">Tự lấy từ DL02</t>
  </si>
  <si>
    <t xml:space="preserve">Chọn ngày giờ</t>
  </si>
  <si>
    <t xml:space="preserve">Chọn: FB/Zalo/ĐT...</t>
  </si>
  <si>
    <t xml:space="preserve">Khách đến / NV đi</t>
  </si>
  <si>
    <t xml:space="preserve">Tóm tắt nội dung</t>
  </si>
  <si>
    <t xml:space="preserve">Chọn NV - hiện tên</t>
  </si>
  <si>
    <t xml:space="preserve">Ghi chú kết quả</t>
  </si>
  <si>
    <t xml:space="preserve">TP-001</t>
  </si>
  <si>
    <t xml:space="preserve">Gọi tư vấn lần 1</t>
  </si>
  <si>
    <t xml:space="preserve">Khách quan tâm</t>
  </si>
  <si>
    <t xml:space="preserve">TP-002</t>
  </si>
  <si>
    <t xml:space="preserve">Gọi mời test</t>
  </si>
  <si>
    <t xml:space="preserve">Đồng ý test</t>
  </si>
  <si>
    <t xml:space="preserve">TP-003</t>
  </si>
  <si>
    <t xml:space="preserve">Tư vấn khóa</t>
  </si>
  <si>
    <t xml:space="preserve">Đang cân nhắc</t>
  </si>
  <si>
    <t xml:space="preserve">TP-004</t>
  </si>
  <si>
    <t xml:space="preserve">Chốt Foundation</t>
  </si>
  <si>
    <t xml:space="preserve">Đã cọc</t>
  </si>
  <si>
    <t xml:space="preserve">TP-005</t>
  </si>
  <si>
    <t xml:space="preserve">Chốt 6.5</t>
  </si>
  <si>
    <t xml:space="preserve">TP-006</t>
  </si>
  <si>
    <t xml:space="preserve">Chốt 6.0</t>
  </si>
  <si>
    <t xml:space="preserve">TP-007</t>
  </si>
  <si>
    <t xml:space="preserve">TP-008</t>
  </si>
  <si>
    <t xml:space="preserve">Chốt 7.0</t>
  </si>
  <si>
    <t xml:space="preserve">TP-009</t>
  </si>
  <si>
    <t xml:space="preserve">Đang xếp lớp</t>
  </si>
  <si>
    <t xml:space="preserve">TP-010</t>
  </si>
  <si>
    <t xml:space="preserve">Chăm sóc HV, hỏi thăm việc học</t>
  </si>
  <si>
    <t xml:space="preserve">HV ổn</t>
  </si>
  <si>
    <t xml:space="preserve">TP-011</t>
  </si>
  <si>
    <t xml:space="preserve">Chăm sóc HV</t>
  </si>
  <si>
    <t xml:space="preserve">TP-012</t>
  </si>
  <si>
    <t xml:space="preserve">TP-013</t>
  </si>
  <si>
    <t xml:space="preserve">TP-014</t>
  </si>
  <si>
    <t xml:space="preserve">TP-015</t>
  </si>
  <si>
    <t xml:space="preserve">Chăm sóc HV mới</t>
  </si>
  <si>
    <t xml:space="preserve">TP-016</t>
  </si>
  <si>
    <t xml:space="preserve">TP-017</t>
  </si>
  <si>
    <t xml:space="preserve">TP-018</t>
  </si>
  <si>
    <t xml:space="preserve">TP-019</t>
  </si>
  <si>
    <t xml:space="preserve">TP-020</t>
  </si>
  <si>
    <t xml:space="preserve">TP-021</t>
  </si>
  <si>
    <t xml:space="preserve">TP-022</t>
  </si>
  <si>
    <t xml:space="preserve">Tư vấn lộ trình</t>
  </si>
  <si>
    <t xml:space="preserve">Khách từ chối</t>
  </si>
  <si>
    <t xml:space="preserve">TP-023</t>
  </si>
  <si>
    <t xml:space="preserve">Gửi lịch học + báo giá</t>
  </si>
  <si>
    <t xml:space="preserve">Hẹn phản hồi</t>
  </si>
  <si>
    <t xml:space="preserve">test_date</t>
  </si>
  <si>
    <t xml:space="preserve">test_format</t>
  </si>
  <si>
    <t xml:space="preserve">booking_status</t>
  </si>
  <si>
    <t xml:space="preserve">booking_note</t>
  </si>
  <si>
    <t xml:space="preserve">test_attendance_status</t>
  </si>
  <si>
    <t xml:space="preserve">test_attendance_time</t>
  </si>
  <si>
    <t xml:space="preserve">test_no_show_reason</t>
  </si>
  <si>
    <t xml:space="preserve">test_status</t>
  </si>
  <si>
    <t xml:space="preserve">skill_listening</t>
  </si>
  <si>
    <t xml:space="preserve">skill_reading</t>
  </si>
  <si>
    <t xml:space="preserve">skill_writing</t>
  </si>
  <si>
    <t xml:space="preserve">skill_speaking</t>
  </si>
  <si>
    <t xml:space="preserve">academic_note</t>
  </si>
  <si>
    <t xml:space="preserve">result_time</t>
  </si>
  <si>
    <t xml:space="preserve">post_test_status</t>
  </si>
  <si>
    <t xml:space="preserve">graded_by</t>
  </si>
  <si>
    <t xml:space="preserve">Mã booking test</t>
  </si>
  <si>
    <t xml:space="preserve">Ngày giờ test</t>
  </si>
  <si>
    <t xml:space="preserve">Hình thức test</t>
  </si>
  <si>
    <t xml:space="preserve">Trạng thái đặt lịch</t>
  </si>
  <si>
    <t xml:space="preserve">Ghi chú đặt lịch</t>
  </si>
  <si>
    <t xml:space="preserve">Kết quả điểm danh</t>
  </si>
  <si>
    <t xml:space="preserve">Giờ vào test thực tế</t>
  </si>
  <si>
    <t xml:space="preserve">Lý do vắng</t>
  </si>
  <si>
    <t xml:space="preserve">Trạng thái chấm bài</t>
  </si>
  <si>
    <t xml:space="preserve">Điểm tổng</t>
  </si>
  <si>
    <t xml:space="preserve">Điểm Listening</t>
  </si>
  <si>
    <t xml:space="preserve">Điểm Reading</t>
  </si>
  <si>
    <t xml:space="preserve">Điểm Writing</t>
  </si>
  <si>
    <t xml:space="preserve">Điểm Speaking</t>
  </si>
  <si>
    <t xml:space="preserve">Nhận xét học thuật</t>
  </si>
  <si>
    <t xml:space="preserve">Thời gian trả kết quả</t>
  </si>
  <si>
    <t xml:space="preserve">Trạng thái sau test</t>
  </si>
  <si>
    <t xml:space="preserve">NV WOW chấm (link)</t>
  </si>
  <si>
    <t xml:space="preserve">Gợi ý chuyển trạng thái</t>
  </si>
  <si>
    <t xml:space="preserve">TB-2026-NNN (auto)</t>
  </si>
  <si>
    <t xml:space="preserve">Chọn lead</t>
  </si>
  <si>
    <t xml:space="preserve">Yêu cầu đặc biệt, lý do hủy</t>
  </si>
  <si>
    <t xml:space="preserve">Auto khi điểm danh</t>
  </si>
  <si>
    <t xml:space="preserve">Bắt buộc khi no_show</t>
  </si>
  <si>
    <t xml:space="preserve">Band 0-9, bước 0.5</t>
  </si>
  <si>
    <t xml:space="preserve">Band L</t>
  </si>
  <si>
    <t xml:space="preserve">Band R</t>
  </si>
  <si>
    <t xml:space="preserve">Band W</t>
  </si>
  <si>
    <t xml:space="preserve">Band S</t>
  </si>
  <si>
    <t xml:space="preserve">Đủ 4 phần (xem SOP P2)</t>
  </si>
  <si>
    <t xml:space="preserve">Auto khi chấm xong</t>
  </si>
  <si>
    <t xml:space="preserve">Chọn NV WOW</t>
  </si>
  <si>
    <t xml:space="preserve">Auto suggest based on test_status</t>
  </si>
  <si>
    <t xml:space="preserve">TB-2026-001</t>
  </si>
  <si>
    <t xml:space="preserve">TB-2026-002</t>
  </si>
  <si>
    <t xml:space="preserve">TB-2026-004</t>
  </si>
  <si>
    <t xml:space="preserve">TB-2026-005</t>
  </si>
  <si>
    <t xml:space="preserve">TB-2026-006</t>
  </si>
  <si>
    <t xml:space="preserve">consultation_status</t>
  </si>
  <si>
    <t xml:space="preserve">consultation_time</t>
  </si>
  <si>
    <t xml:space="preserve">recommended_course</t>
  </si>
  <si>
    <t xml:space="preserve">recommended_duration</t>
  </si>
  <si>
    <t xml:space="preserve">recommended_schedule</t>
  </si>
  <si>
    <t xml:space="preserve">consultation_note</t>
  </si>
  <si>
    <t xml:space="preserve">conversion_status</t>
  </si>
  <si>
    <t xml:space="preserve">conversion_time</t>
  </si>
  <si>
    <t xml:space="preserve">conversion_note</t>
  </si>
  <si>
    <t xml:space="preserve">Mã tư vấn</t>
  </si>
  <si>
    <t xml:space="preserve">Mã booking test (link)</t>
  </si>
  <si>
    <t xml:space="preserve">NV TV (link)</t>
  </si>
  <si>
    <t xml:space="preserve">Trạng thái tư vấn</t>
  </si>
  <si>
    <t xml:space="preserve">Thời gian tư vấn</t>
  </si>
  <si>
    <t xml:space="preserve">Khóa đề xuất</t>
  </si>
  <si>
    <t xml:space="preserve">Thời lượng đề xuất</t>
  </si>
  <si>
    <t xml:space="preserve">Lịch học đề xuất</t>
  </si>
  <si>
    <t xml:space="preserve">Ghi chú nội dung tư vấn</t>
  </si>
  <si>
    <t xml:space="preserve">Kết quả tư vấn</t>
  </si>
  <si>
    <t xml:space="preserve">Thời gian cập nhật kết quả</t>
  </si>
  <si>
    <t xml:space="preserve">Tên khách hàng (tự hiện)</t>
  </si>
  <si>
    <t xml:space="preserve">CS-2026-NNN (auto)</t>
  </si>
  <si>
    <t xml:space="preserve">Chọn test booking</t>
  </si>
  <si>
    <t xml:space="preserve">Mã khóa (xem sheet Khóa học)</t>
  </si>
  <si>
    <t xml:space="preserve">VD: 6 tháng / 60 buổi</t>
  </si>
  <si>
    <t xml:space="preserve">VD: T2,4,6 19h-20h30</t>
  </si>
  <si>
    <t xml:space="preserve">Đủ 4 phần (xem SOP P3)</t>
  </si>
  <si>
    <t xml:space="preserve">Lý do nếu chưa đăng ký</t>
  </si>
  <si>
    <t xml:space="preserve">Tự lấy từ DL02 theo Mã lead</t>
  </si>
  <si>
    <t xml:space="preserve">CS-2026-001</t>
  </si>
  <si>
    <t xml:space="preserve">IELTS 6.0</t>
  </si>
  <si>
    <t xml:space="preserve">6 tháng</t>
  </si>
  <si>
    <t xml:space="preserve">Đủ 4 phần</t>
  </si>
  <si>
    <t xml:space="preserve">Đang so giá</t>
  </si>
  <si>
    <t xml:space="preserve">4 tháng</t>
  </si>
  <si>
    <t xml:space="preserve">Chốt</t>
  </si>
  <si>
    <t xml:space="preserve">CS-2026-003</t>
  </si>
  <si>
    <t xml:space="preserve">IELTS 6.5</t>
  </si>
  <si>
    <t xml:space="preserve">CS-2026-004</t>
  </si>
  <si>
    <t xml:space="preserve">CS-2026-005</t>
  </si>
  <si>
    <t xml:space="preserve">CS-2026-006</t>
  </si>
  <si>
    <t xml:space="preserve">IELTS 7.0</t>
  </si>
  <si>
    <t xml:space="preserve">8 tháng</t>
  </si>
  <si>
    <t xml:space="preserve">CS-2026-007</t>
  </si>
  <si>
    <t xml:space="preserve">CS-2026-008</t>
  </si>
  <si>
    <t xml:space="preserve">CS-2026-009</t>
  </si>
  <si>
    <t xml:space="preserve">CS-2026-010</t>
  </si>
  <si>
    <t xml:space="preserve">CS-2026-011</t>
  </si>
  <si>
    <t xml:space="preserve">CS-2026-012</t>
  </si>
  <si>
    <t xml:space="preserve">CS-2026-013</t>
  </si>
  <si>
    <t xml:space="preserve">course_name</t>
  </si>
  <si>
    <t xml:space="preserve">course_level</t>
  </si>
  <si>
    <t xml:space="preserve">duration_sessions</t>
  </si>
  <si>
    <t xml:space="preserve">duration_months</t>
  </si>
  <si>
    <t xml:space="preserve">list_price</t>
  </si>
  <si>
    <t xml:space="preserve">learning_mode_supported</t>
  </si>
  <si>
    <t xml:space="preserve">description</t>
  </si>
  <si>
    <t xml:space="preserve">Mã khóa</t>
  </si>
  <si>
    <t xml:space="preserve">Tên khóa học</t>
  </si>
  <si>
    <t xml:space="preserve">Trình độ</t>
  </si>
  <si>
    <t xml:space="preserve">Số buổi</t>
  </si>
  <si>
    <t xml:space="preserve">Số tháng</t>
  </si>
  <si>
    <t xml:space="preserve">Giá niêm yết</t>
  </si>
  <si>
    <t xml:space="preserve">Quota WOW mặc định</t>
  </si>
  <si>
    <t xml:space="preserve">Hình thức hỗ trợ</t>
  </si>
  <si>
    <t xml:space="preserve">Mô tả nội dung</t>
  </si>
  <si>
    <t xml:space="preserve">Trạng thái khóa</t>
  </si>
  <si>
    <t xml:space="preserve">CRS-NNN (tự đặt)</t>
  </si>
  <si>
    <t xml:space="preserve">Tên đầy đủ khóa</t>
  </si>
  <si>
    <t xml:space="preserve">Tổng số buổi học</t>
  </si>
  <si>
    <t xml:space="preserve">Số tháng dự kiến</t>
  </si>
  <si>
    <t xml:space="preserve">Số buổi WOW 1-1</t>
  </si>
  <si>
    <t xml:space="preserve">online/offline/hybrid</t>
  </si>
  <si>
    <t xml:space="preserve">Mục tiêu + nội dung</t>
  </si>
  <si>
    <t xml:space="preserve">active/inactive</t>
  </si>
  <si>
    <t xml:space="preserve">CRS-FOUND-01</t>
  </si>
  <si>
    <t xml:space="preserve">Foundation 6 tháng</t>
  </si>
  <si>
    <t xml:space="preserve">Cho HV mất gốc. Học từ đầu Listening/Reading/Grammar cơ bản. Đầu ra: tiền IELTS</t>
  </si>
  <si>
    <t xml:space="preserve">active (Active)</t>
  </si>
  <si>
    <t xml:space="preserve">CRS-PRE-01</t>
  </si>
  <si>
    <t xml:space="preserve">Pre-IELTS 4 tháng</t>
  </si>
  <si>
    <t xml:space="preserve">Đã có nền cơ bản. Làm quen định dạng IELTS, kỹ năng nền. Đầu ra: ~4.5-5.0</t>
  </si>
  <si>
    <t xml:space="preserve">CRS-IELTS-5.5</t>
  </si>
  <si>
    <t xml:space="preserve">IELTS 5.5 4 tháng</t>
  </si>
  <si>
    <t xml:space="preserve">Mục tiêu band 5.5. Phù hợp HV input 4.0-4.5</t>
  </si>
  <si>
    <t xml:space="preserve">CRS-IELTS-6.0</t>
  </si>
  <si>
    <t xml:space="preserve">IELTS 6.0 4 tháng</t>
  </si>
  <si>
    <t xml:space="preserve">Mục tiêu band 6.0. Phù hợp HV input 5.0-5.5</t>
  </si>
  <si>
    <t xml:space="preserve">CRS-IELTS-6.5</t>
  </si>
  <si>
    <t xml:space="preserve">IELTS 6.5 4 tháng</t>
  </si>
  <si>
    <t xml:space="preserve">Mục tiêu band 6.5. Phù hợp HV input 5.5-6.0</t>
  </si>
  <si>
    <t xml:space="preserve">CRS-IELTS-7.0</t>
  </si>
  <si>
    <t xml:space="preserve">IELTS 7.0+ 4 tháng</t>
  </si>
  <si>
    <t xml:space="preserve">Mục tiêu band 7.0 trở lên. Phù hợp HV input 6.0+</t>
  </si>
  <si>
    <t xml:space="preserve">CRS-FOUND-PLA</t>
  </si>
  <si>
    <t xml:space="preserve">Foundation PLA T7-CN</t>
  </si>
  <si>
    <t xml:space="preserve">Lớp Foundation học T7-CN sáng cho HS đi học sáng tuần. Premier Learning Academy.</t>
  </si>
  <si>
    <t xml:space="preserve">CRS-COMBO-A</t>
  </si>
  <si>
    <t xml:space="preserve">PRIVATE 1-1 (theo giờ - linh hoạt)</t>
  </si>
  <si>
    <t xml:space="preserve">Combo 2 khóa liền mạch. Tiết kiệm 2tr so với mua lẻ.</t>
  </si>
  <si>
    <t xml:space="preserve">CRS-PRIME</t>
  </si>
  <si>
    <t xml:space="preserve">Khóa PRIME</t>
  </si>
  <si>
    <t xml:space="preserve">Khóa luyện theo tầng PRIME. HV thường mua trọn lộ trình.</t>
  </si>
  <si>
    <t xml:space="preserve">CRS-GOLD</t>
  </si>
  <si>
    <t xml:space="preserve">Khóa GOLD</t>
  </si>
  <si>
    <t xml:space="preserve">Khóa luyện theo tầng GOLD. HV thường mua trọn lộ trình.</t>
  </si>
  <si>
    <t xml:space="preserve">CRS-PLAT</t>
  </si>
  <si>
    <t xml:space="preserve">Khóa PLATINUM</t>
  </si>
  <si>
    <t xml:space="preserve">Khóa luyện theo tầng PLATINUM. HV thường mua trọn lộ trình.</t>
  </si>
  <si>
    <t xml:space="preserve">CRS-DIA</t>
  </si>
  <si>
    <t xml:space="preserve">Khóa DIAMOND</t>
  </si>
  <si>
    <t xml:space="preserve">Khóa luyện theo tầng DIAMOND. HV thường mua trọn lộ trình.</t>
  </si>
  <si>
    <t xml:space="preserve">CRS-MASTER</t>
  </si>
  <si>
    <t xml:space="preserve">Khóa MASTER</t>
  </si>
  <si>
    <t xml:space="preserve">Khóa luyện theo tầng MASTER. HV thường mua trọn lộ trình.</t>
  </si>
  <si>
    <t xml:space="preserve">CRS-ELITE</t>
  </si>
  <si>
    <t xml:space="preserve">Khóa ELITE</t>
  </si>
  <si>
    <t xml:space="preserve">Khóa luyện theo tầng ELITE. HV thường mua trọn lộ trình.</t>
  </si>
  <si>
    <t xml:space="preserve">CRS-EVO1</t>
  </si>
  <si>
    <t xml:space="preserve">Khóa EVO 1</t>
  </si>
  <si>
    <t xml:space="preserve">Khóa luyện theo tầng EVO 1. HV thường mua trọn lộ trình.</t>
  </si>
  <si>
    <t xml:space="preserve">CRS-EVO2</t>
  </si>
  <si>
    <t xml:space="preserve">Khóa EVO 2</t>
  </si>
  <si>
    <t xml:space="preserve">Khóa luyện theo tầng EVO 2. HV thường mua trọn lộ trình.</t>
  </si>
  <si>
    <t xml:space="preserve">enrollment_status</t>
  </si>
  <si>
    <t xml:space="preserve">enrollment_time</t>
  </si>
  <si>
    <t xml:space="preserve">total_fee</t>
  </si>
  <si>
    <t xml:space="preserve">discount_amount</t>
  </si>
  <si>
    <t xml:space="preserve">discount_type</t>
  </si>
  <si>
    <t xml:space="preserve">discount_reason</t>
  </si>
  <si>
    <t xml:space="preserve">discount_approved_by</t>
  </si>
  <si>
    <t xml:space="preserve">cancellation_reason</t>
  </si>
  <si>
    <t xml:space="preserve">discount_approved_at</t>
  </si>
  <si>
    <t xml:space="preserve">Mã đăng ký</t>
  </si>
  <si>
    <t xml:space="preserve">Mã HV (link)</t>
  </si>
  <si>
    <t xml:space="preserve">Mã tư vấn (link)</t>
  </si>
  <si>
    <t xml:space="preserve">Mã khóa (link)</t>
  </si>
  <si>
    <t xml:space="preserve">Trạng thái đăng ký</t>
  </si>
  <si>
    <t xml:space="preserve">Thời gian xác nhận</t>
  </si>
  <si>
    <t xml:space="preserve">Học phí gốc</t>
  </si>
  <si>
    <t xml:space="preserve">Tiền chiết khấu</t>
  </si>
  <si>
    <t xml:space="preserve">Loại chiết khấu</t>
  </si>
  <si>
    <t xml:space="preserve">Lý do chiết khấu</t>
  </si>
  <si>
    <t xml:space="preserve">Người duyệt chiết khấu</t>
  </si>
  <si>
    <t xml:space="preserve">Học phí thực tế</t>
  </si>
  <si>
    <t xml:space="preserve">Đã thanh toán</t>
  </si>
  <si>
    <t xml:space="preserve">Còn lại</t>
  </si>
  <si>
    <t xml:space="preserve">Trạng thái thanh toán</t>
  </si>
  <si>
    <t xml:space="preserve">Lý do hủy (nếu có)</t>
  </si>
  <si>
    <t xml:space="preserve">Thời điểm duyệt CK</t>
  </si>
  <si>
    <t xml:space="preserve">Tên HV (tự hiện)</t>
  </si>
  <si>
    <t xml:space="preserve">Tên khóa (tự hiện)</t>
  </si>
  <si>
    <t xml:space="preserve">ENR-2026-NNN (auto)</t>
  </si>
  <si>
    <t xml:space="preserve">Chọn HV (mới hoặc cũ)</t>
  </si>
  <si>
    <t xml:space="preserve">Chọn tư vấn</t>
  </si>
  <si>
    <t xml:space="preserve">Chọn khóa</t>
  </si>
  <si>
    <t xml:space="preserve">Tự lookup từ Khóa</t>
  </si>
  <si>
    <t xml:space="preserve">Bắt buộc khi có CK</t>
  </si>
  <si>
    <t xml:space="preserve">NV duyệt nếu ≥1tr</t>
  </si>
  <si>
    <t xml:space="preserve">Tự tính = total-discount</t>
  </si>
  <si>
    <t xml:space="preserve">Tự sum từ Thanh toán</t>
  </si>
  <si>
    <t xml:space="preserve">Tự tính = final-paid</t>
  </si>
  <si>
    <t xml:space="preserve">Tự cập nhật</t>
  </si>
  <si>
    <t xml:space="preserve">Bắt buộc khi cancelled</t>
  </si>
  <si>
    <t xml:space="preserve">Auto suggest based on payment</t>
  </si>
  <si>
    <t xml:space="preserve">Tự lấy từ DL09</t>
  </si>
  <si>
    <t xml:space="preserve">Tự lấy từ DL05</t>
  </si>
  <si>
    <t xml:space="preserve">ENR-2026-002</t>
  </si>
  <si>
    <t xml:space="preserve">ENR-2026-003</t>
  </si>
  <si>
    <t xml:space="preserve">ENR-2026-004</t>
  </si>
  <si>
    <t xml:space="preserve">ENR-2026-005</t>
  </si>
  <si>
    <t xml:space="preserve">ENR-2026-006</t>
  </si>
  <si>
    <t xml:space="preserve">Học viên cũ giới thiệu</t>
  </si>
  <si>
    <t xml:space="preserve">Chờ duyệt giảm giá</t>
  </si>
  <si>
    <t xml:space="preserve">ENR-2026-007</t>
  </si>
  <si>
    <t xml:space="preserve">Chuyển chỗ ở, không theo được</t>
  </si>
  <si>
    <t xml:space="preserve">HV nghỉ</t>
  </si>
  <si>
    <t xml:space="preserve">ENR-2025-050</t>
  </si>
  <si>
    <t xml:space="preserve">Khóa trước đã hoàn thành</t>
  </si>
  <si>
    <t xml:space="preserve">ENR-2026-008</t>
  </si>
  <si>
    <t xml:space="preserve">Tái ghi danh khóa mới</t>
  </si>
  <si>
    <t xml:space="preserve">ENR-2026-009</t>
  </si>
  <si>
    <t xml:space="preserve">ENR-2026-010</t>
  </si>
  <si>
    <t xml:space="preserve">ENR-2026-011</t>
  </si>
  <si>
    <t xml:space="preserve">ENR-2026-012</t>
  </si>
  <si>
    <t xml:space="preserve">ENR-2026-013</t>
  </si>
  <si>
    <t xml:space="preserve">ENR-2026-014</t>
  </si>
  <si>
    <t xml:space="preserve">payment_id</t>
  </si>
  <si>
    <t xml:space="preserve">payment_time</t>
  </si>
  <si>
    <t xml:space="preserve">payment_method</t>
  </si>
  <si>
    <t xml:space="preserve">amount</t>
  </si>
  <si>
    <t xml:space="preserve">transaction_fee</t>
  </si>
  <si>
    <t xml:space="preserve">bank_name</t>
  </si>
  <si>
    <t xml:space="preserve">sender_name</t>
  </si>
  <si>
    <t xml:space="preserve">transaction_ref</t>
  </si>
  <si>
    <t xml:space="preserve">received_by</t>
  </si>
  <si>
    <t xml:space="preserve">payment_note</t>
  </si>
  <si>
    <t xml:space="preserve">verified_by</t>
  </si>
  <si>
    <t xml:space="preserve">Mã giao dịch</t>
  </si>
  <si>
    <t xml:space="preserve">Mã đăng ký (link)</t>
  </si>
  <si>
    <t xml:space="preserve">Thời gian giao dịch</t>
  </si>
  <si>
    <t xml:space="preserve">Phương thức thanh toán</t>
  </si>
  <si>
    <t xml:space="preserve">Số tiền</t>
  </si>
  <si>
    <t xml:space="preserve">Phí giao dịch</t>
  </si>
  <si>
    <t xml:space="preserve">Số tiền thực nhận</t>
  </si>
  <si>
    <t xml:space="preserve">Tên ngân hàng</t>
  </si>
  <si>
    <t xml:space="preserve">Tên người chuyển</t>
  </si>
  <si>
    <t xml:space="preserve">Mã giao dịch ngân hàng</t>
  </si>
  <si>
    <t xml:space="preserve">NV thu (link)</t>
  </si>
  <si>
    <t xml:space="preserve">Ghi chú thanh toán</t>
  </si>
  <si>
    <t xml:space="preserve">NV xác nhận (link)</t>
  </si>
  <si>
    <t xml:space="preserve">Tên NV thu (tự hiện)</t>
  </si>
  <si>
    <t xml:space="preserve">Tên NV xác nhận (tự hiện)</t>
  </si>
  <si>
    <t xml:space="preserve">PAY-2026-NNN (auto)</t>
  </si>
  <si>
    <t xml:space="preserve">Chọn enrollment</t>
  </si>
  <si>
    <t xml:space="preserve">Tự điền từ ENR</t>
  </si>
  <si>
    <t xml:space="preserve">Phí cà thẻ/cổng (nếu có)</t>
  </si>
  <si>
    <t xml:space="preserve">Tự tính = amount-fee</t>
  </si>
  <si>
    <t xml:space="preserve">Tên NH nếu CK</t>
  </si>
  <si>
    <t xml:space="preserve">Khác tên HV thì BẮT BUỘC</t>
  </si>
  <si>
    <t xml:space="preserve">Mã CK / Mã ví</t>
  </si>
  <si>
    <t xml:space="preserve">NV TV thu tiền</t>
  </si>
  <si>
    <t xml:space="preserve">Nội dung CK + ghi chú</t>
  </si>
  <si>
    <t xml:space="preserve">Kế toán xác nhận</t>
  </si>
  <si>
    <t xml:space="preserve">Vietcombank</t>
  </si>
  <si>
    <t xml:space="preserve">2026-001</t>
  </si>
  <si>
    <t xml:space="preserve">Full</t>
  </si>
  <si>
    <t xml:space="preserve">PAY-2026-002</t>
  </si>
  <si>
    <t xml:space="preserve">2026-002</t>
  </si>
  <si>
    <t xml:space="preserve">PAY-2026-003</t>
  </si>
  <si>
    <t xml:space="preserve">2026-003</t>
  </si>
  <si>
    <t xml:space="preserve">PAY-2026-004</t>
  </si>
  <si>
    <t xml:space="preserve">2026-004</t>
  </si>
  <si>
    <t xml:space="preserve">PAY-2026-005</t>
  </si>
  <si>
    <t xml:space="preserve">2026-005</t>
  </si>
  <si>
    <t xml:space="preserve">PAY-2026-006</t>
  </si>
  <si>
    <t xml:space="preserve">2026-006</t>
  </si>
  <si>
    <t xml:space="preserve">Cọc (còn nợ)</t>
  </si>
  <si>
    <t xml:space="preserve">PAY-2026-007</t>
  </si>
  <si>
    <t xml:space="preserve">Bùi Văn Giang</t>
  </si>
  <si>
    <t xml:space="preserve">2026-007</t>
  </si>
  <si>
    <t xml:space="preserve">Cọc (đã hủy, chờ hoàn)</t>
  </si>
  <si>
    <t xml:space="preserve">PAY-2025-050</t>
  </si>
  <si>
    <t xml:space="preserve">Hồ Thị Hoa</t>
  </si>
  <si>
    <t xml:space="preserve">2025-050</t>
  </si>
  <si>
    <t xml:space="preserve">Full khóa cũ</t>
  </si>
  <si>
    <t xml:space="preserve">PAY-2026-008</t>
  </si>
  <si>
    <t xml:space="preserve">2026-008</t>
  </si>
  <si>
    <t xml:space="preserve">Cọc tái ghi danh</t>
  </si>
  <si>
    <t xml:space="preserve">PAY-2026-009</t>
  </si>
  <si>
    <t xml:space="preserve">2026-009</t>
  </si>
  <si>
    <t xml:space="preserve">PAY-2026-010</t>
  </si>
  <si>
    <t xml:space="preserve">2026-010</t>
  </si>
  <si>
    <t xml:space="preserve">PAY-2026-011</t>
  </si>
  <si>
    <t xml:space="preserve">2026-011</t>
  </si>
  <si>
    <t xml:space="preserve">Cọc, còn nợ</t>
  </si>
  <si>
    <t xml:space="preserve">PAY-2026-012</t>
  </si>
  <si>
    <t xml:space="preserve">2026-012</t>
  </si>
  <si>
    <t xml:space="preserve">PAY-2026-013</t>
  </si>
  <si>
    <t xml:space="preserve">2026-013</t>
  </si>
  <si>
    <t xml:space="preserve">PAY-2026-014</t>
  </si>
  <si>
    <t xml:space="preserve">2026-014</t>
  </si>
  <si>
    <t xml:space="preserve">onboarding_id</t>
  </si>
  <si>
    <t xml:space="preserve">placement_status</t>
  </si>
  <si>
    <t xml:space="preserve">placement_note</t>
  </si>
  <si>
    <t xml:space="preserve">assigned_by</t>
  </si>
  <si>
    <t xml:space="preserve">assigned_at</t>
  </si>
  <si>
    <t xml:space="preserve">class_confirmation_status</t>
  </si>
  <si>
    <t xml:space="preserve">confirmation_time</t>
  </si>
  <si>
    <t xml:space="preserve">onboarding_status</t>
  </si>
  <si>
    <t xml:space="preserve">onboarding_note</t>
  </si>
  <si>
    <t xml:space="preserve">onboarding_completed_at</t>
  </si>
  <si>
    <t xml:space="preserve">placement_change_count</t>
  </si>
  <si>
    <t xml:space="preserve">Mã onboarding</t>
  </si>
  <si>
    <t xml:space="preserve">Mã ĐK (link)</t>
  </si>
  <si>
    <t xml:space="preserve">Trạng thái xếp lớp</t>
  </si>
  <si>
    <t xml:space="preserve">Ghi chú xếp lớp</t>
  </si>
  <si>
    <t xml:space="preserve">NV xếp lớp (link)</t>
  </si>
  <si>
    <t xml:space="preserve">Thời gian xếp lớp</t>
  </si>
  <si>
    <t xml:space="preserve">Mã lớp (link)</t>
  </si>
  <si>
    <t xml:space="preserve">Xác nhận lớp của HV</t>
  </si>
  <si>
    <t xml:space="preserve">Thời gian HV xác nhận</t>
  </si>
  <si>
    <t xml:space="preserve">Trạng thái onboarding</t>
  </si>
  <si>
    <t xml:space="preserve">Ghi chú onboarding</t>
  </si>
  <si>
    <t xml:space="preserve">Thời gian hoàn tất</t>
  </si>
  <si>
    <t xml:space="preserve">Số lần đổi lớp</t>
  </si>
  <si>
    <t xml:space="preserve">SLA status</t>
  </si>
  <si>
    <t xml:space="preserve">Tên lớp (tự hiện)</t>
  </si>
  <si>
    <t xml:space="preserve">OB-NNN (auto)</t>
  </si>
  <si>
    <t xml:space="preserve">Chọn ĐK</t>
  </si>
  <si>
    <t xml:space="preserve">Auto từ ĐK</t>
  </si>
  <si>
    <t xml:space="preserve">Lý do chọn lớp + đặc biệt</t>
  </si>
  <si>
    <t xml:space="preserve">Chọn lớp</t>
  </si>
  <si>
    <t xml:space="preserve">Auto khi HV xác nhận</t>
  </si>
  <si>
    <t xml:space="preserve">Tài liệu đã gửi + ?</t>
  </si>
  <si>
    <t xml:space="preserve">Auto khi completed</t>
  </si>
  <si>
    <t xml:space="preserve">Auto count</t>
  </si>
  <si>
    <t xml:space="preserve">Auto: SLA 72h sau ENR confirmed</t>
  </si>
  <si>
    <t xml:space="preserve">Auto suggest onboarding</t>
  </si>
  <si>
    <t xml:space="preserve">Tự lấy từ DL10</t>
  </si>
  <si>
    <t xml:space="preserve">Xếp Foundation</t>
  </si>
  <si>
    <t xml:space="preserve">Đã gửi đủ</t>
  </si>
  <si>
    <t xml:space="preserve">OB-002</t>
  </si>
  <si>
    <t xml:space="preserve">Xếp 6.5</t>
  </si>
  <si>
    <t xml:space="preserve">OB-003</t>
  </si>
  <si>
    <t xml:space="preserve">Xếp 6.0</t>
  </si>
  <si>
    <t xml:space="preserve">OB-004</t>
  </si>
  <si>
    <t xml:space="preserve">OB-005</t>
  </si>
  <si>
    <t xml:space="preserve">Xếp 7.0</t>
  </si>
  <si>
    <t xml:space="preserve">OB-006</t>
  </si>
  <si>
    <t xml:space="preserve">Vừa xếp Foundation</t>
  </si>
  <si>
    <t xml:space="preserve">Chưa gửi thông tin lớp</t>
  </si>
  <si>
    <t xml:space="preserve">OB-007</t>
  </si>
  <si>
    <t xml:space="preserve">Xếp lớp 6.5 mới</t>
  </si>
  <si>
    <t xml:space="preserve">Đang chuẩn bị</t>
  </si>
  <si>
    <t xml:space="preserve">OB-008</t>
  </si>
  <si>
    <t xml:space="preserve">Xếp lớp</t>
  </si>
  <si>
    <t xml:space="preserve">OB-009</t>
  </si>
  <si>
    <t xml:space="preserve">OB-010</t>
  </si>
  <si>
    <t xml:space="preserve">OB-011</t>
  </si>
  <si>
    <t xml:space="preserve">OB-012</t>
  </si>
  <si>
    <t xml:space="preserve">OB-013</t>
  </si>
  <si>
    <t xml:space="preserve">dob</t>
  </si>
  <si>
    <t xml:space="preserve">gender</t>
  </si>
  <si>
    <t xml:space="preserve">address</t>
  </si>
  <si>
    <t xml:space="preserve">emergency_contact_name</t>
  </si>
  <si>
    <t xml:space="preserve">emergency_contact_phone</t>
  </si>
  <si>
    <t xml:space="preserve">emergency_contact_relation</t>
  </si>
  <si>
    <t xml:space="preserve">student_status</t>
  </si>
  <si>
    <t xml:space="preserve">joined_at</t>
  </si>
  <si>
    <t xml:space="preserve">attendance_progress_status</t>
  </si>
  <si>
    <t xml:space="preserve">academic_progress_status</t>
  </si>
  <si>
    <t xml:space="preserve">attendance_risk_reason</t>
  </si>
  <si>
    <t xml:space="preserve">academic_risk_reason</t>
  </si>
  <si>
    <t xml:space="preserve">learning_followup_note</t>
  </si>
  <si>
    <t xml:space="preserve">wow_extra_approved</t>
  </si>
  <si>
    <t xml:space="preserve">wow_extra_purchased</t>
  </si>
  <si>
    <t xml:space="preserve">Mã HV</t>
  </si>
  <si>
    <t xml:space="preserve">Ngày sinh</t>
  </si>
  <si>
    <t xml:space="preserve">Giới tính</t>
  </si>
  <si>
    <t xml:space="preserve">Địa chỉ</t>
  </si>
  <si>
    <t xml:space="preserve">Tên người liên hệ khẩn cấp</t>
  </si>
  <si>
    <t xml:space="preserve">SĐT liên hệ khẩn cấp</t>
  </si>
  <si>
    <t xml:space="preserve">Quan hệ</t>
  </si>
  <si>
    <t xml:space="preserve">Mã ĐK đầu (link)</t>
  </si>
  <si>
    <t xml:space="preserve">Ngày ĐK đầu</t>
  </si>
  <si>
    <t xml:space="preserve">Tổng số ĐK</t>
  </si>
  <si>
    <t xml:space="preserve">Trạng thái học viên</t>
  </si>
  <si>
    <t xml:space="preserve">Ngày gia nhập</t>
  </si>
  <si>
    <t xml:space="preserve">Tiến độ chuyên cần</t>
  </si>
  <si>
    <t xml:space="preserve">Tiến độ học thuật</t>
  </si>
  <si>
    <t xml:space="preserve">Lý do nguy cơ chuyên cần</t>
  </si>
  <si>
    <t xml:space="preserve">Lý do nguy cơ học thuật</t>
  </si>
  <si>
    <t xml:space="preserve">Lần hoạt động cuối</t>
  </si>
  <si>
    <t xml:space="preserve">Ghi chú theo dõi</t>
  </si>
  <si>
    <t xml:space="preserve">Quota WOW gói</t>
  </si>
  <si>
    <t xml:space="preserve">WOW duyệt thêm</t>
  </si>
  <si>
    <t xml:space="preserve">WOW mua thêm</t>
  </si>
  <si>
    <t xml:space="preserve">WOW đã dùng</t>
  </si>
  <si>
    <t xml:space="preserve">WOW còn lại</t>
  </si>
  <si>
    <t xml:space="preserve">HV001+ (auto)</t>
  </si>
  <si>
    <t xml:space="preserve">Có dấu</t>
  </si>
  <si>
    <t xml:space="preserve">male/female/other</t>
  </si>
  <si>
    <t xml:space="preserve">Địa chỉ chi tiết</t>
  </si>
  <si>
    <t xml:space="preserve">Bố/mẹ/...</t>
  </si>
  <si>
    <t xml:space="preserve">father/mother/spouse...</t>
  </si>
  <si>
    <t xml:space="preserve">Auto từ ENR đầu</t>
  </si>
  <si>
    <t xml:space="preserve">Auto</t>
  </si>
  <si>
    <t xml:space="preserve">Auto từ Điểm danh/BT</t>
  </si>
  <si>
    <t xml:space="preserve">4 phần (SOP P6-7)</t>
  </si>
  <si>
    <t xml:space="preserve">Từ gói ĐK (nhập)</t>
  </si>
  <si>
    <t xml:space="preserve">QL duyệt (nhập)</t>
  </si>
  <si>
    <t xml:space="preserve">HV mua (nhập)</t>
  </si>
  <si>
    <t xml:space="preserve">Auto từ WOW Sessions</t>
  </si>
  <si>
    <t xml:space="preserve">Auto tính</t>
  </si>
  <si>
    <t xml:space="preserve">hv001@gmail.com</t>
  </si>
  <si>
    <t xml:space="preserve">Nam</t>
  </si>
  <si>
    <t xml:space="preserve">TP.HCM</t>
  </si>
  <si>
    <t xml:space="preserve">PH Anh</t>
  </si>
  <si>
    <t xml:space="preserve">0901110001</t>
  </si>
  <si>
    <t xml:space="preserve">Phụ huynh</t>
  </si>
  <si>
    <t xml:space="preserve">HV002</t>
  </si>
  <si>
    <t xml:space="preserve">hv002@gmail.com</t>
  </si>
  <si>
    <t xml:space="preserve">Nữ</t>
  </si>
  <si>
    <t xml:space="preserve">PH Ngọc</t>
  </si>
  <si>
    <t xml:space="preserve">0901110002</t>
  </si>
  <si>
    <t xml:space="preserve">HV003</t>
  </si>
  <si>
    <t xml:space="preserve">hv003@gmail.com</t>
  </si>
  <si>
    <t xml:space="preserve">PH Cường</t>
  </si>
  <si>
    <t xml:space="preserve">0901110003</t>
  </si>
  <si>
    <t xml:space="preserve">HV004</t>
  </si>
  <si>
    <t xml:space="preserve">hv004@gmail.com</t>
  </si>
  <si>
    <t xml:space="preserve">PH Dung</t>
  </si>
  <si>
    <t xml:space="preserve">0901110004</t>
  </si>
  <si>
    <t xml:space="preserve">HV005</t>
  </si>
  <si>
    <t xml:space="preserve">hv005@gmail.com</t>
  </si>
  <si>
    <t xml:space="preserve">PH Em</t>
  </si>
  <si>
    <t xml:space="preserve">0901110005</t>
  </si>
  <si>
    <t xml:space="preserve">HV006</t>
  </si>
  <si>
    <t xml:space="preserve">hv006@gmail.com</t>
  </si>
  <si>
    <t xml:space="preserve">PH Hà</t>
  </si>
  <si>
    <t xml:space="preserve">0901110006</t>
  </si>
  <si>
    <t xml:space="preserve">HV007</t>
  </si>
  <si>
    <t xml:space="preserve">0902000007</t>
  </si>
  <si>
    <t xml:space="preserve">hv007@gmail.com</t>
  </si>
  <si>
    <t xml:space="preserve">PH Giang</t>
  </si>
  <si>
    <t xml:space="preserve">0901110007</t>
  </si>
  <si>
    <t xml:space="preserve">HV008</t>
  </si>
  <si>
    <t xml:space="preserve">0902000008</t>
  </si>
  <si>
    <t xml:space="preserve">hv008@gmail.com</t>
  </si>
  <si>
    <t xml:space="preserve">PH Hoa</t>
  </si>
  <si>
    <t xml:space="preserve">0901110008</t>
  </si>
  <si>
    <t xml:space="preserve">HV009</t>
  </si>
  <si>
    <t xml:space="preserve">hv009@gmail.com</t>
  </si>
  <si>
    <t xml:space="preserve">PH Khang</t>
  </si>
  <si>
    <t xml:space="preserve">0901110012</t>
  </si>
  <si>
    <t xml:space="preserve">HV010</t>
  </si>
  <si>
    <t xml:space="preserve">hv010@gmail.com</t>
  </si>
  <si>
    <t xml:space="preserve">PH Lan</t>
  </si>
  <si>
    <t xml:space="preserve">0901110013</t>
  </si>
  <si>
    <t xml:space="preserve">HV011</t>
  </si>
  <si>
    <t xml:space="preserve">hv011@gmail.com</t>
  </si>
  <si>
    <t xml:space="preserve">PH Minh</t>
  </si>
  <si>
    <t xml:space="preserve">0901110014</t>
  </si>
  <si>
    <t xml:space="preserve">HV012</t>
  </si>
  <si>
    <t xml:space="preserve">hv012@gmail.com</t>
  </si>
  <si>
    <t xml:space="preserve">PH Nhi</t>
  </si>
  <si>
    <t xml:space="preserve">0901110015</t>
  </si>
  <si>
    <t xml:space="preserve">HV013</t>
  </si>
  <si>
    <t xml:space="preserve">hv013@gmail.com</t>
  </si>
  <si>
    <t xml:space="preserve">PH Phú</t>
  </si>
  <si>
    <t xml:space="preserve">0901110016</t>
  </si>
  <si>
    <t xml:space="preserve">HV014</t>
  </si>
  <si>
    <t xml:space="preserve">hv014@gmail.com</t>
  </si>
  <si>
    <t xml:space="preserve">PH Quỳnh</t>
  </si>
  <si>
    <t xml:space="preserve">0901110017</t>
  </si>
  <si>
    <t xml:space="preserve">class_name</t>
  </si>
  <si>
    <t xml:space="preserve">class_level</t>
  </si>
  <si>
    <t xml:space="preserve">class_schedule</t>
  </si>
  <si>
    <t xml:space="preserve">class_start_date</t>
  </si>
  <si>
    <t xml:space="preserve">class_end_date</t>
  </si>
  <si>
    <t xml:space="preserve">class_capacity</t>
  </si>
  <si>
    <t xml:space="preserve">class_status</t>
  </si>
  <si>
    <t xml:space="preserve">venue_or_zoom_link</t>
  </si>
  <si>
    <t xml:space="preserve">Mã lớp</t>
  </si>
  <si>
    <t xml:space="preserve">Tên lớp</t>
  </si>
  <si>
    <t xml:space="preserve">Trình độ lớp</t>
  </si>
  <si>
    <t xml:space="preserve">Lịch học</t>
  </si>
  <si>
    <t xml:space="preserve">Khai giảng</t>
  </si>
  <si>
    <t xml:space="preserve">Kết thúc</t>
  </si>
  <si>
    <t xml:space="preserve">GV chính (link)</t>
  </si>
  <si>
    <t xml:space="preserve">Sĩ số max</t>
  </si>
  <si>
    <t xml:space="preserve">Sĩ số (auto)</t>
  </si>
  <si>
    <t xml:space="preserve">Trạng thái lớp</t>
  </si>
  <si>
    <t xml:space="preserve">Địa điểm / Link Zoom</t>
  </si>
  <si>
    <t xml:space="preserve">LOP-CRS-NN</t>
  </si>
  <si>
    <t xml:space="preserve">Tên hiển thị</t>
  </si>
  <si>
    <t xml:space="preserve">Khóa từ sheet 7</t>
  </si>
  <si>
    <t xml:space="preserve">Auto từ khóa</t>
  </si>
  <si>
    <t xml:space="preserve">VD: T7-CN 9h-12h</t>
  </si>
  <si>
    <t xml:space="preserve">Chọn GV</t>
  </si>
  <si>
    <t xml:space="preserve">HV tối đa</t>
  </si>
  <si>
    <t xml:space="preserve">Auto từ Onboarding</t>
  </si>
  <si>
    <t xml:space="preserve">Phòng hoặc URL Zoom</t>
  </si>
  <si>
    <t xml:space="preserve">Foundation PLA T7-CN sáng (06/2026)</t>
  </si>
  <si>
    <t xml:space="preserve">T7 + CN, 9h-12h</t>
  </si>
  <si>
    <t xml:space="preserve">Phòng 401 - Cơ sở 4</t>
  </si>
  <si>
    <t xml:space="preserve">HV001 đang chờ KG 1/7/2026</t>
  </si>
  <si>
    <t xml:space="preserve">LOP-IELTS-6.5-04</t>
  </si>
  <si>
    <t xml:space="preserve">IELTS 6.5 Tối T2-T4-T6 (10/2025)</t>
  </si>
  <si>
    <t xml:space="preserve">T2-T4-T6, 19h-20h30</t>
  </si>
  <si>
    <t xml:space="preserve">Phòng 202 - Cơ sở 1</t>
  </si>
  <si>
    <t xml:space="preserve">HV002 đang học buổi 35/48</t>
  </si>
  <si>
    <t xml:space="preserve">LOP-IELTS-6.0-12</t>
  </si>
  <si>
    <t xml:space="preserve">IELTS 6.0 Cuối tuần (01/2026)</t>
  </si>
  <si>
    <t xml:space="preserve">T7 + CN, 14h-16h30</t>
  </si>
  <si>
    <t xml:space="preserve">Phòng 103 - Cơ sở 2</t>
  </si>
  <si>
    <t xml:space="preserve">HV003 đang học buổi 32/64</t>
  </si>
  <si>
    <t xml:space="preserve">LOP-IELTS-7.0-02</t>
  </si>
  <si>
    <t xml:space="preserve">IELTS 7.0+ Tối T3-T5 (02/2026)</t>
  </si>
  <si>
    <t xml:space="preserve">T3-T5, 19h-20h30</t>
  </si>
  <si>
    <t xml:space="preserve">HV004 at_risk: vắng 3 buổi tuần qua</t>
  </si>
  <si>
    <t xml:space="preserve">LOP-PRE-06</t>
  </si>
  <si>
    <t xml:space="preserve">Pre-IELTS Buổi tối (06/2026)</t>
  </si>
  <si>
    <t xml:space="preserve">T2-T4-T6, 18h-19h30</t>
  </si>
  <si>
    <t xml:space="preserve">Phòng 305 - Cơ sở 3</t>
  </si>
  <si>
    <t xml:space="preserve">HV005 mới vào, buổi 4/64</t>
  </si>
  <si>
    <t xml:space="preserve">LOP-IELTS-6.0-15</t>
  </si>
  <si>
    <t xml:space="preserve">PRIVATE Nguyễn Loan - 36H OFF CN4 (07/2026)</t>
  </si>
  <si>
    <t xml:space="preserve">https://zoom.us/j/ielts60-15 (gửi trước buổi đầu)</t>
  </si>
  <si>
    <t xml:space="preserve">Đã enroll 8/20, chốt 20/6 nếu chưa đủ</t>
  </si>
  <si>
    <t xml:space="preserve">LOP-FOUND-02</t>
  </si>
  <si>
    <t xml:space="preserve">Foundation Tối T2-T4-T6 (07/2026)</t>
  </si>
  <si>
    <t xml:space="preserve">Phòng 105 - Cơ sở 2</t>
  </si>
  <si>
    <t xml:space="preserve">Mới mở enroll. Đã có 3 HV đăng ký.</t>
  </si>
  <si>
    <t xml:space="preserve">LOP-IELTS-5.5-01</t>
  </si>
  <si>
    <t xml:space="preserve">PRIVATE Ngô Thúy Quỳnh - 48H Online (08/2026)</t>
  </si>
  <si>
    <t xml:space="preserve">T7+CN, 9h-12h</t>
  </si>
  <si>
    <t xml:space="preserve">Phòng 305 - Cơ sở 3 (dự kiến)</t>
  </si>
  <si>
    <t xml:space="preserve">Lớp mới - đang phân GV + check phòng</t>
  </si>
  <si>
    <t xml:space="preserve">LOP-COMBO-A-01</t>
  </si>
  <si>
    <t xml:space="preserve">Combo Pre+IELTS 6.0 (09/2026)</t>
  </si>
  <si>
    <t xml:space="preserve">T7+CN, 14h-17h</t>
  </si>
  <si>
    <t xml:space="preserve">Phòng 202 + Zoom dự phòng</t>
  </si>
  <si>
    <t xml:space="preserve">Đang lên giáo trình combo</t>
  </si>
  <si>
    <t xml:space="preserve">LOP-IELTS-6.5-03</t>
  </si>
  <si>
    <t xml:space="preserve">IELTS 6.5 Tối (05/2025)</t>
  </si>
  <si>
    <t xml:space="preserve">Đã KT. 13/15 HV achieved target. 1 transferred.</t>
  </si>
  <si>
    <t xml:space="preserve">LOP-FOUND-01</t>
  </si>
  <si>
    <t xml:space="preserve">Foundation Tối (10/2024)</t>
  </si>
  <si>
    <t xml:space="preserve">Đã KT. 12/14 HV chuyển lên Pre-IELTS.</t>
  </si>
  <si>
    <t xml:space="preserve">LOP-IELTS-7.0-01</t>
  </si>
  <si>
    <t xml:space="preserve">IELTS 7.0+ Sáng T7-CN (04/2026)</t>
  </si>
  <si>
    <t xml:space="preserve">Đã hủy phòng</t>
  </si>
  <si>
    <t xml:space="preserve">HỦY: chỉ enroll được 3/10, không đủ sĩ số tối thiểu. Đã refund + chuyển HV sang lớp khác.</t>
  </si>
  <si>
    <t xml:space="preserve">session_number</t>
  </si>
  <si>
    <t xml:space="preserve">session_date</t>
  </si>
  <si>
    <t xml:space="preserve">class_start_scheduled</t>
  </si>
  <si>
    <t xml:space="preserve">class_start_actual</t>
  </si>
  <si>
    <t xml:space="preserve">class_end_actual</t>
  </si>
  <si>
    <t xml:space="preserve">session_status</t>
  </si>
  <si>
    <t xml:space="preserve">teacher_note_completed_at</t>
  </si>
  <si>
    <t xml:space="preserve">teacher_note_summary</t>
  </si>
  <si>
    <t xml:space="preserve">materials_link</t>
  </si>
  <si>
    <t xml:space="preserve">Mã buổi</t>
  </si>
  <si>
    <t xml:space="preserve">Lớp (link)</t>
  </si>
  <si>
    <t xml:space="preserve">Buổi số</t>
  </si>
  <si>
    <t xml:space="preserve">Ngày</t>
  </si>
  <si>
    <t xml:space="preserve">Bắt đầu (lịch)</t>
  </si>
  <si>
    <t xml:space="preserve">Bắt đầu (thực)</t>
  </si>
  <si>
    <t xml:space="preserve">Kết thúc (thực)</t>
  </si>
  <si>
    <t xml:space="preserve">Trễ (phút)</t>
  </si>
  <si>
    <t xml:space="preserve">GV (link)</t>
  </si>
  <si>
    <t xml:space="preserve">Có note</t>
  </si>
  <si>
    <t xml:space="preserve">Note xong lúc</t>
  </si>
  <si>
    <t xml:space="preserve">Note SLA</t>
  </si>
  <si>
    <t xml:space="preserve">Tóm tắt</t>
  </si>
  <si>
    <t xml:space="preserve">Tài liệu</t>
  </si>
  <si>
    <t xml:space="preserve">Tên GV (tự hiện)</t>
  </si>
  <si>
    <t xml:space="preserve">SES-NNN (auto)</t>
  </si>
  <si>
    <t xml:space="preserve">Chọn mã lớp</t>
  </si>
  <si>
    <t xml:space="preserve">Buổi số 1,2,3...</t>
  </si>
  <si>
    <t xml:space="preserve">Giờ lịch</t>
  </si>
  <si>
    <t xml:space="preserve">Giờ thực (GV bấm bắt đầu)</t>
  </si>
  <si>
    <t xml:space="preserve">Giờ kết thúc thực</t>
  </si>
  <si>
    <t xml:space="preserve">Tự tính</t>
  </si>
  <si>
    <t xml:space="preserve">Chọn mã GV</t>
  </si>
  <si>
    <t xml:space="preserve">Chọn trạng thái</t>
  </si>
  <si>
    <t xml:space="preserve">TRUE khi viết note</t>
  </si>
  <si>
    <t xml:space="preserve">Giờ note xong</t>
  </si>
  <si>
    <t xml:space="preserve">Tự tính SLA 48h</t>
  </si>
  <si>
    <t xml:space="preserve">Tóm tắt 6 phần</t>
  </si>
  <si>
    <t xml:space="preserve">Link Drive tài liệu</t>
  </si>
  <si>
    <t xml:space="preserve">Tự tính - không sửa tay</t>
  </si>
  <si>
    <t xml:space="preserve">SES-001</t>
  </si>
  <si>
    <t xml:space="preserve">Buổi học tốt, HV nắm bài</t>
  </si>
  <si>
    <t xml:space="preserve">SES-002</t>
  </si>
  <si>
    <t xml:space="preserve">SES-003</t>
  </si>
  <si>
    <t xml:space="preserve">SES-004</t>
  </si>
  <si>
    <t xml:space="preserve">SES-005</t>
  </si>
  <si>
    <t xml:space="preserve">SES-006</t>
  </si>
  <si>
    <t xml:space="preserve">SES-007</t>
  </si>
  <si>
    <t xml:space="preserve">SES-008</t>
  </si>
  <si>
    <t xml:space="preserve">SES-009</t>
  </si>
  <si>
    <t xml:space="preserve">SES-010</t>
  </si>
  <si>
    <t xml:space="preserve">SES-011</t>
  </si>
  <si>
    <t xml:space="preserve">SES-012</t>
  </si>
  <si>
    <t xml:space="preserve">SES-013</t>
  </si>
  <si>
    <t xml:space="preserve">SES-014</t>
  </si>
  <si>
    <t xml:space="preserve">SES-015</t>
  </si>
  <si>
    <t xml:space="preserve">SES-016</t>
  </si>
  <si>
    <t xml:space="preserve">SES-017</t>
  </si>
  <si>
    <t xml:space="preserve">SES-018</t>
  </si>
  <si>
    <t xml:space="preserve">SES-019</t>
  </si>
  <si>
    <t xml:space="preserve">SES-020</t>
  </si>
  <si>
    <t xml:space="preserve">SES-021</t>
  </si>
  <si>
    <t xml:space="preserve">attendance_id</t>
  </si>
  <si>
    <t xml:space="preserve">student_name</t>
  </si>
  <si>
    <t xml:space="preserve">attendance_status</t>
  </si>
  <si>
    <t xml:space="preserve">absence_type</t>
  </si>
  <si>
    <t xml:space="preserve">check_in_time</t>
  </si>
  <si>
    <t xml:space="preserve">in_class_performance</t>
  </si>
  <si>
    <t xml:space="preserve">note</t>
  </si>
  <si>
    <t xml:space="preserve">Mã điểm danh</t>
  </si>
  <si>
    <t xml:space="preserve">Buổi (link)</t>
  </si>
  <si>
    <t xml:space="preserve">HV (link)</t>
  </si>
  <si>
    <t xml:space="preserve">Tên HV</t>
  </si>
  <si>
    <t xml:space="preserve">Loại vắng</t>
  </si>
  <si>
    <t xml:space="preserve">Giờ điểm danh</t>
  </si>
  <si>
    <t xml:space="preserve">Đánh giá trong lớp</t>
  </si>
  <si>
    <t xml:space="preserve">AT-NNN (auto)</t>
  </si>
  <si>
    <t xml:space="preserve">Chọn buổi</t>
  </si>
  <si>
    <t xml:space="preserve">Chọn HV</t>
  </si>
  <si>
    <t xml:space="preserve">Tự điền tên HV</t>
  </si>
  <si>
    <t xml:space="preserve">Chọn nếu absent</t>
  </si>
  <si>
    <t xml:space="preserve">Chọn đánh giá</t>
  </si>
  <si>
    <t xml:space="preserve">Auto-compute</t>
  </si>
  <si>
    <t xml:space="preserve">AT-001</t>
  </si>
  <si>
    <t xml:space="preserve">AT-002</t>
  </si>
  <si>
    <t xml:space="preserve">Không báo trước</t>
  </si>
  <si>
    <t xml:space="preserve">AT-003</t>
  </si>
  <si>
    <t xml:space="preserve">Không báo</t>
  </si>
  <si>
    <t xml:space="preserve">AT-004</t>
  </si>
  <si>
    <t xml:space="preserve">AT-005</t>
  </si>
  <si>
    <t xml:space="preserve">AT-006</t>
  </si>
  <si>
    <t xml:space="preserve">AT-007</t>
  </si>
  <si>
    <t xml:space="preserve">AT-008</t>
  </si>
  <si>
    <t xml:space="preserve">AT-009</t>
  </si>
  <si>
    <t xml:space="preserve">Có phép (ốm)</t>
  </si>
  <si>
    <t xml:space="preserve">AT-010</t>
  </si>
  <si>
    <t xml:space="preserve">AT-011</t>
  </si>
  <si>
    <t xml:space="preserve">AT-012</t>
  </si>
  <si>
    <t xml:space="preserve">AT-013</t>
  </si>
  <si>
    <t xml:space="preserve">AT-014</t>
  </si>
  <si>
    <t xml:space="preserve">AT-015</t>
  </si>
  <si>
    <t xml:space="preserve">AT-016</t>
  </si>
  <si>
    <t xml:space="preserve">AT-017</t>
  </si>
  <si>
    <t xml:space="preserve">AT-018</t>
  </si>
  <si>
    <t xml:space="preserve">AT-019</t>
  </si>
  <si>
    <t xml:space="preserve">AT-020</t>
  </si>
  <si>
    <t xml:space="preserve">AT-021</t>
  </si>
  <si>
    <t xml:space="preserve">AT-022</t>
  </si>
  <si>
    <t xml:space="preserve">AT-023</t>
  </si>
  <si>
    <t xml:space="preserve">AT-024</t>
  </si>
  <si>
    <t xml:space="preserve">homework_id</t>
  </si>
  <si>
    <t xml:space="preserve">homework_title</t>
  </si>
  <si>
    <t xml:space="preserve">skill</t>
  </si>
  <si>
    <t xml:space="preserve">homework_assigned_time</t>
  </si>
  <si>
    <t xml:space="preserve">homework_due_date</t>
  </si>
  <si>
    <t xml:space="preserve">homework_submitted_time</t>
  </si>
  <si>
    <t xml:space="preserve">homework_status</t>
  </si>
  <si>
    <t xml:space="preserve">homework_score</t>
  </si>
  <si>
    <t xml:space="preserve">score_type</t>
  </si>
  <si>
    <t xml:space="preserve">graded_at</t>
  </si>
  <si>
    <t xml:space="preserve">teacher_feedback</t>
  </si>
  <si>
    <t xml:space="preserve">Mã bài tập</t>
  </si>
  <si>
    <t xml:space="preserve">Tên bài</t>
  </si>
  <si>
    <t xml:space="preserve">Kỹ năng</t>
  </si>
  <si>
    <t xml:space="preserve">Giờ giao</t>
  </si>
  <si>
    <t xml:space="preserve">Hạn nộp</t>
  </si>
  <si>
    <t xml:space="preserve">Giờ nộp</t>
  </si>
  <si>
    <t xml:space="preserve">Trễ</t>
  </si>
  <si>
    <t xml:space="preserve">Điểm</t>
  </si>
  <si>
    <t xml:space="preserve">Thang</t>
  </si>
  <si>
    <t xml:space="preserve">Chấm lúc</t>
  </si>
  <si>
    <t xml:space="preserve">48h</t>
  </si>
  <si>
    <t xml:space="preserve">Nhận xét</t>
  </si>
  <si>
    <t xml:space="preserve">HW-NNN (auto)</t>
  </si>
  <si>
    <t xml:space="preserve">Tên bài cụ thể</t>
  </si>
  <si>
    <t xml:space="preserve">Chọn kỹ năng</t>
  </si>
  <si>
    <t xml:space="preserve">Giờ giao bài</t>
  </si>
  <si>
    <t xml:space="preserve">Hạn nộp (mặc định +5d)</t>
  </si>
  <si>
    <t xml:space="preserve">Giờ HV nộp</t>
  </si>
  <si>
    <t xml:space="preserve">Tự tính trễ</t>
  </si>
  <si>
    <t xml:space="preserve">Điểm số</t>
  </si>
  <si>
    <t xml:space="preserve">Chọn thang</t>
  </si>
  <si>
    <t xml:space="preserve">Giờ chấm</t>
  </si>
  <si>
    <t xml:space="preserve">Tự tính 48h</t>
  </si>
  <si>
    <t xml:space="preserve">Nhận xét GV</t>
  </si>
  <si>
    <t xml:space="preserve">HW-001</t>
  </si>
  <si>
    <t xml:space="preserve">Writing Task 1</t>
  </si>
  <si>
    <t xml:space="preserve">HW-002</t>
  </si>
  <si>
    <t xml:space="preserve">Reading test</t>
  </si>
  <si>
    <t xml:space="preserve">HW-003</t>
  </si>
  <si>
    <t xml:space="preserve">Writing Task 2</t>
  </si>
  <si>
    <t xml:space="preserve">HW-004</t>
  </si>
  <si>
    <t xml:space="preserve">Essay</t>
  </si>
  <si>
    <t xml:space="preserve">HW-005</t>
  </si>
  <si>
    <t xml:space="preserve">HW-006</t>
  </si>
  <si>
    <t xml:space="preserve">HW-007</t>
  </si>
  <si>
    <t xml:space="preserve">Speaking rec</t>
  </si>
  <si>
    <t xml:space="preserve">HW-008</t>
  </si>
  <si>
    <t xml:space="preserve">Vocab set 1</t>
  </si>
  <si>
    <t xml:space="preserve">IELTS_band</t>
  </si>
  <si>
    <t xml:space="preserve">Tốt</t>
  </si>
  <si>
    <t xml:space="preserve">HW-009</t>
  </si>
  <si>
    <t xml:space="preserve">HW-010</t>
  </si>
  <si>
    <t xml:space="preserve">Mock test</t>
  </si>
  <si>
    <t xml:space="preserve">Rất tốt</t>
  </si>
  <si>
    <t xml:space="preserve">HW-011</t>
  </si>
  <si>
    <t xml:space="preserve">Prep task</t>
  </si>
  <si>
    <t xml:space="preserve">HW-012</t>
  </si>
  <si>
    <t xml:space="preserve">Vocab set 2</t>
  </si>
  <si>
    <t xml:space="preserve">HW-013</t>
  </si>
  <si>
    <t xml:space="preserve">Khá</t>
  </si>
  <si>
    <t xml:space="preserve">HW-014</t>
  </si>
  <si>
    <t xml:space="preserve">Nộp trễ</t>
  </si>
  <si>
    <t xml:space="preserve">HW-015</t>
  </si>
  <si>
    <t xml:space="preserve">Reading drill</t>
  </si>
  <si>
    <t xml:space="preserve">Ổn</t>
  </si>
  <si>
    <t xml:space="preserve">HW-016</t>
  </si>
  <si>
    <t xml:space="preserve">Mock test 2</t>
  </si>
  <si>
    <t xml:space="preserve">HW-017</t>
  </si>
  <si>
    <t xml:space="preserve">Listening drill</t>
  </si>
  <si>
    <t xml:space="preserve">HW-018</t>
  </si>
  <si>
    <t xml:space="preserve">Essay outline</t>
  </si>
  <si>
    <t xml:space="preserve">HW-019</t>
  </si>
  <si>
    <t xml:space="preserve">wow_id</t>
  </si>
  <si>
    <t xml:space="preserve">booking_date</t>
  </si>
  <si>
    <t xml:space="preserve">wow_session_date</t>
  </si>
  <si>
    <t xml:space="preserve">wow_session_type</t>
  </si>
  <si>
    <t xml:space="preserve">wow_booked_by</t>
  </si>
  <si>
    <t xml:space="preserve">wow_skill</t>
  </si>
  <si>
    <t xml:space="preserve">wow_content_focus</t>
  </si>
  <si>
    <t xml:space="preserve">wow_status</t>
  </si>
  <si>
    <t xml:space="preserve">wow_content_note</t>
  </si>
  <si>
    <t xml:space="preserve">wow_outcome</t>
  </si>
  <si>
    <t xml:space="preserve">wow_no_show_reason</t>
  </si>
  <si>
    <t xml:space="preserve">Mã WOW</t>
  </si>
  <si>
    <t xml:space="preserve">Ngày book</t>
  </si>
  <si>
    <t xml:space="preserve">Ngày học</t>
  </si>
  <si>
    <t xml:space="preserve">Người book</t>
  </si>
  <si>
    <t xml:space="preserve">Trọng tâm</t>
  </si>
  <si>
    <t xml:space="preserve">NV (link)</t>
  </si>
  <si>
    <t xml:space="preserve">Tên NV</t>
  </si>
  <si>
    <t xml:space="preserve">Note sau buổi</t>
  </si>
  <si>
    <t xml:space="preserve">Kết quả</t>
  </si>
  <si>
    <t xml:space="preserve">Lý do no_show</t>
  </si>
  <si>
    <t xml:space="preserve">Trừ quota</t>
  </si>
  <si>
    <t xml:space="preserve">Note 24h</t>
  </si>
  <si>
    <t xml:space="preserve">WOW-NNN (auto)</t>
  </si>
  <si>
    <t xml:space="preserve">dd/mm/yyyy book</t>
  </si>
  <si>
    <t xml:space="preserve">Giờ học WOW</t>
  </si>
  <si>
    <t xml:space="preserve">Chọn loại WOW</t>
  </si>
  <si>
    <t xml:space="preserve">Chọn người book</t>
  </si>
  <si>
    <t xml:space="preserve">Nội dung trọng tâm</t>
  </si>
  <si>
    <t xml:space="preserve">Tự điền tên</t>
  </si>
  <si>
    <t xml:space="preserve">Note nội dung (SLA 24h)</t>
  </si>
  <si>
    <t xml:space="preserve">Chọn kết quả</t>
  </si>
  <si>
    <t xml:space="preserve">Lý do no_show (nếu có)</t>
  </si>
  <si>
    <t xml:space="preserve">TRUE nếu trừ</t>
  </si>
  <si>
    <t xml:space="preserve">TRUE trong 24h</t>
  </si>
  <si>
    <t xml:space="preserve">WOW-001</t>
  </si>
  <si>
    <t xml:space="preserve">Task 2</t>
  </si>
  <si>
    <t xml:space="preserve">Đã kèm Task 2, tiến bộ</t>
  </si>
  <si>
    <t xml:space="preserve">WOW-002</t>
  </si>
  <si>
    <t xml:space="preserve">Fluency</t>
  </si>
  <si>
    <t xml:space="preserve">WOW-003</t>
  </si>
  <si>
    <t xml:space="preserve">Hỗ trợ học thuật</t>
  </si>
  <si>
    <t xml:space="preserve">WOW-004</t>
  </si>
  <si>
    <t xml:space="preserve">Nghe</t>
  </si>
  <si>
    <t xml:space="preserve">WOW-005</t>
  </si>
  <si>
    <t xml:space="preserve">Đọc</t>
  </si>
  <si>
    <t xml:space="preserve">WOW-006</t>
  </si>
  <si>
    <t xml:space="preserve">Phát âm</t>
  </si>
  <si>
    <t xml:space="preserve">Đã kèm phát âm, tiến bộ</t>
  </si>
  <si>
    <t xml:space="preserve">WOW-007</t>
  </si>
  <si>
    <t xml:space="preserve">Task 1</t>
  </si>
  <si>
    <t xml:space="preserve">Chữa Task 1 chi tiết</t>
  </si>
  <si>
    <t xml:space="preserve">survey_id</t>
  </si>
  <si>
    <t xml:space="preserve">survey_type</t>
  </si>
  <si>
    <t xml:space="preserve">sent_date</t>
  </si>
  <si>
    <t xml:space="preserve">submitted_date</t>
  </si>
  <si>
    <t xml:space="preserve">satisfaction_score</t>
  </si>
  <si>
    <t xml:space="preserve">nps_score</t>
  </si>
  <si>
    <t xml:space="preserve">progress_perception</t>
  </si>
  <si>
    <t xml:space="preserve">positive_comments</t>
  </si>
  <si>
    <t xml:space="preserve">negative_comments</t>
  </si>
  <si>
    <t xml:space="preserve">suggestions</t>
  </si>
  <si>
    <t xml:space="preserve">assigned_staff</t>
  </si>
  <si>
    <t xml:space="preserve">Mã khảo sát</t>
  </si>
  <si>
    <t xml:space="preserve">Gửi</t>
  </si>
  <si>
    <t xml:space="preserve">Trả lời</t>
  </si>
  <si>
    <t xml:space="preserve">3 ngày</t>
  </si>
  <si>
    <t xml:space="preserve">Hài lòng (1-5)</t>
  </si>
  <si>
    <t xml:space="preserve">NPS (0-10)</t>
  </si>
  <si>
    <t xml:space="preserve">Cảm nhận</t>
  </si>
  <si>
    <t xml:space="preserve">Tích cực</t>
  </si>
  <si>
    <t xml:space="preserve">Tiêu cực</t>
  </si>
  <si>
    <t xml:space="preserve">Đề xuất</t>
  </si>
  <si>
    <t xml:space="preserve">Cần follow-up</t>
  </si>
  <si>
    <t xml:space="preserve">SUR-NNN (auto)</t>
  </si>
  <si>
    <t xml:space="preserve">Chọn loại</t>
  </si>
  <si>
    <t xml:space="preserve">dd/mm/yyyy gửi</t>
  </si>
  <si>
    <t xml:space="preserve">dd/mm/yyyy trả lời</t>
  </si>
  <si>
    <t xml:space="preserve">TRUE/FALSE</t>
  </si>
  <si>
    <t xml:space="preserve">1-5</t>
  </si>
  <si>
    <t xml:space="preserve">0-10</t>
  </si>
  <si>
    <t xml:space="preserve">Mô tả ngắn</t>
  </si>
  <si>
    <t xml:space="preserve">Free text</t>
  </si>
  <si>
    <t xml:space="preserve">TRUE nếu cần</t>
  </si>
  <si>
    <t xml:space="preserve">NV phụ trách</t>
  </si>
  <si>
    <t xml:space="preserve">SUR-001</t>
  </si>
  <si>
    <t xml:space="preserve">Tiến bộ rõ</t>
  </si>
  <si>
    <t xml:space="preserve">Giáo viên nhiệt tình</t>
  </si>
  <si>
    <t xml:space="preserve">SUR-002</t>
  </si>
  <si>
    <t xml:space="preserve">Chậm</t>
  </si>
  <si>
    <t xml:space="preserve">Bài khó theo, hay vắng</t>
  </si>
  <si>
    <t xml:space="preserve">Cần kèm thêm</t>
  </si>
  <si>
    <t xml:space="preserve">SUR-003</t>
  </si>
  <si>
    <t xml:space="preserve">SUR-004</t>
  </si>
  <si>
    <t xml:space="preserve">Muốn đổi giờ</t>
  </si>
  <si>
    <t xml:space="preserve">SUR-005</t>
  </si>
  <si>
    <t xml:space="preserve">GV tận tâm</t>
  </si>
  <si>
    <t xml:space="preserve">SUR-006</t>
  </si>
  <si>
    <t xml:space="preserve">Lớp vui</t>
  </si>
  <si>
    <t xml:space="preserve">feedback_time</t>
  </si>
  <si>
    <t xml:space="preserve">feedback_channel</t>
  </si>
  <si>
    <t xml:space="preserve">feedback_type</t>
  </si>
  <si>
    <t xml:space="preserve">feedback_category</t>
  </si>
  <si>
    <t xml:space="preserve">feedback_score</t>
  </si>
  <si>
    <t xml:space="preserve">feedback_content</t>
  </si>
  <si>
    <t xml:space="preserve">feedback_status</t>
  </si>
  <si>
    <t xml:space="preserve">classified_at</t>
  </si>
  <si>
    <t xml:space="preserve">classified_by</t>
  </si>
  <si>
    <t xml:space="preserve">feedback_action_note</t>
  </si>
  <si>
    <t xml:space="preserve">action_taken_at</t>
  </si>
  <si>
    <t xml:space="preserve">related_complaint_id</t>
  </si>
  <si>
    <t xml:space="preserve">is_testimonial</t>
  </si>
  <si>
    <t xml:space="preserve">Mã phản hồi</t>
  </si>
  <si>
    <t xml:space="preserve">Thời gian phản hồi</t>
  </si>
  <si>
    <t xml:space="preserve">Kênh thu</t>
  </si>
  <si>
    <t xml:space="preserve">Loại phản hồi</t>
  </si>
  <si>
    <t xml:space="preserve">Danh mục</t>
  </si>
  <si>
    <t xml:space="preserve">Điểm 1-5</t>
  </si>
  <si>
    <t xml:space="preserve">Nội dung phản hồi</t>
  </si>
  <si>
    <t xml:space="preserve">Trạng thái xử lý</t>
  </si>
  <si>
    <t xml:space="preserve">Thời gian phân loại</t>
  </si>
  <si>
    <t xml:space="preserve">NV phân loại (link)</t>
  </si>
  <si>
    <t xml:space="preserve">Hành động xử lý</t>
  </si>
  <si>
    <t xml:space="preserve">Thời gian thực hiện</t>
  </si>
  <si>
    <t xml:space="preserve">Khiếu nại liên quan (link)</t>
  </si>
  <si>
    <t xml:space="preserve">Là testimonial?</t>
  </si>
  <si>
    <t xml:space="preserve">FB-2026-NNN (auto)</t>
  </si>
  <si>
    <t xml:space="preserve">Lớp (nếu có)</t>
  </si>
  <si>
    <t xml:space="preserve">positive/neutral/negative</t>
  </si>
  <si>
    <t xml:space="preserve">Nguyên văn FB</t>
  </si>
  <si>
    <t xml:space="preserve">Học vụ phân loại</t>
  </si>
  <si>
    <t xml:space="preserve">Phản hồi HV / hành động nội bộ</t>
  </si>
  <si>
    <t xml:space="preserve">Tạo KN nếu negative serious</t>
  </si>
  <si>
    <t xml:space="preserve">yes/no</t>
  </si>
  <si>
    <t xml:space="preserve">FB-2026-001</t>
  </si>
  <si>
    <t xml:space="preserve">Cô dạy dễ hiểu, em tiến bộ</t>
  </si>
  <si>
    <t xml:space="preserve">FB-2026-002</t>
  </si>
  <si>
    <t xml:space="preserve">Lớp đông, khó theo</t>
  </si>
  <si>
    <t xml:space="preserve">KN-2026-001</t>
  </si>
  <si>
    <t xml:space="preserve">FB-2026-003</t>
  </si>
  <si>
    <t xml:space="preserve">Nên có lớp cuối tuần</t>
  </si>
  <si>
    <t xml:space="preserve">FB-2026-004</t>
  </si>
  <si>
    <t xml:space="preserve">Chờ phản hồi lâu</t>
  </si>
  <si>
    <t xml:space="preserve">FB-2026-005</t>
  </si>
  <si>
    <t xml:space="preserve">Phòng học sạch</t>
  </si>
  <si>
    <t xml:space="preserve">FB-2026-006</t>
  </si>
  <si>
    <t xml:space="preserve">Rất hài lòng</t>
  </si>
  <si>
    <t xml:space="preserve">FB-2026-007</t>
  </si>
  <si>
    <t xml:space="preserve">GV tận tâm, em thích học</t>
  </si>
  <si>
    <t xml:space="preserve">FB-2026-008</t>
  </si>
  <si>
    <t xml:space="preserve">Hỗ trợ nhanh</t>
  </si>
  <si>
    <t xml:space="preserve">complaint_id</t>
  </si>
  <si>
    <t xml:space="preserve">complaint_channel</t>
  </si>
  <si>
    <t xml:space="preserve">complaint_time</t>
  </si>
  <si>
    <t xml:space="preserve">complaint_type</t>
  </si>
  <si>
    <t xml:space="preserve">complaint_severity</t>
  </si>
  <si>
    <t xml:space="preserve">complaint_content</t>
  </si>
  <si>
    <t xml:space="preserve">complaint_status</t>
  </si>
  <si>
    <t xml:space="preserve">assigned_handler</t>
  </si>
  <si>
    <t xml:space="preserve">resolution_note</t>
  </si>
  <si>
    <t xml:space="preserve">resolution_time</t>
  </si>
  <si>
    <t xml:space="preserve">complaint_result</t>
  </si>
  <si>
    <t xml:space="preserve">student_feedback_after</t>
  </si>
  <si>
    <t xml:space="preserve">escalated_to</t>
  </si>
  <si>
    <t xml:space="preserve">Mã khiếu nại</t>
  </si>
  <si>
    <t xml:space="preserve">Mã phản hồi liên quan (link)</t>
  </si>
  <si>
    <t xml:space="preserve">Kênh tiếp nhận</t>
  </si>
  <si>
    <t xml:space="preserve">Thời gian tiếp nhận</t>
  </si>
  <si>
    <t xml:space="preserve">Loại khiếu nại</t>
  </si>
  <si>
    <t xml:space="preserve">Mức độ</t>
  </si>
  <si>
    <t xml:space="preserve">Nội dung khiếu nại</t>
  </si>
  <si>
    <t xml:space="preserve">NV xử lý (link)</t>
  </si>
  <si>
    <t xml:space="preserve">Thời gian phân công</t>
  </si>
  <si>
    <t xml:space="preserve">Ghi chú xử lý</t>
  </si>
  <si>
    <t xml:space="preserve">Thời gian xử lý xong</t>
  </si>
  <si>
    <t xml:space="preserve">Kết quả từ HV</t>
  </si>
  <si>
    <t xml:space="preserve">Phản hồi HV sau xử lý</t>
  </si>
  <si>
    <t xml:space="preserve">Leo thang lên (link)</t>
  </si>
  <si>
    <t xml:space="preserve">KN-2026-NNN (auto)</t>
  </si>
  <si>
    <t xml:space="preserve">Chọn lớp (nếu có)</t>
  </si>
  <si>
    <t xml:space="preserve">Link tới FB tiêu cực (nếu có)</t>
  </si>
  <si>
    <t xml:space="preserve">low/medium/high</t>
  </si>
  <si>
    <t xml:space="preserve">Trích nguyên văn nếu có</t>
  </si>
  <si>
    <t xml:space="preserve">NV được phân công</t>
  </si>
  <si>
    <t xml:space="preserve">Quy trình + giải pháp + bồi thường (nếu có)</t>
  </si>
  <si>
    <t xml:space="preserve">accepted/rejected/pending</t>
  </si>
  <si>
    <t xml:space="preserve">Tóm tắt phản hồi</t>
  </si>
  <si>
    <t xml:space="preserve">QL cao hơn nếu escalated</t>
  </si>
  <si>
    <t xml:space="preserve">Auto: SLA phân công 2h + giải quyết theo severity</t>
  </si>
  <si>
    <t xml:space="preserve">Phản ánh chất lượng lớp, đòi đổi GV</t>
  </si>
  <si>
    <t xml:space="preserve">KN-2026-002</t>
  </si>
  <si>
    <t xml:space="preserve">KN-2026-003</t>
  </si>
  <si>
    <t xml:space="preserve">Xin đổi giờ học</t>
  </si>
  <si>
    <t xml:space="preserve">KN-2026-004</t>
  </si>
  <si>
    <t xml:space="preserve">Thắc mắc học phí</t>
  </si>
  <si>
    <t xml:space="preserve">Đã giải thích</t>
  </si>
  <si>
    <t xml:space="preserve">KN-2026-005</t>
  </si>
  <si>
    <t xml:space="preserve">Chưa nhận thông tin lớp</t>
  </si>
  <si>
    <t xml:space="preserve">course_end_id</t>
  </si>
  <si>
    <t xml:space="preserve">course_completion_time</t>
  </si>
  <si>
    <t xml:space="preserve">final_test_score</t>
  </si>
  <si>
    <t xml:space="preserve">final_listening</t>
  </si>
  <si>
    <t xml:space="preserve">final_reading</t>
  </si>
  <si>
    <t xml:space="preserve">final_writing</t>
  </si>
  <si>
    <t xml:space="preserve">final_speaking</t>
  </si>
  <si>
    <t xml:space="preserve">achievement_status</t>
  </si>
  <si>
    <t xml:space="preserve">dropout_reason</t>
  </si>
  <si>
    <t xml:space="preserve">transferred_note</t>
  </si>
  <si>
    <t xml:space="preserve">next_course_recommendation</t>
  </si>
  <si>
    <t xml:space="preserve">re_enrollment_status</t>
  </si>
  <si>
    <t xml:space="preserve">re_enrollment_contact_time</t>
  </si>
  <si>
    <t xml:space="preserve">re_enrollment_note</t>
  </si>
  <si>
    <t xml:space="preserve">next_enrollment_id</t>
  </si>
  <si>
    <t xml:space="preserve">testimonial_given</t>
  </si>
  <si>
    <t xml:space="preserve">Mã kết thúc khóa</t>
  </si>
  <si>
    <t xml:space="preserve">Thời gian hoàn thành khóa</t>
  </si>
  <si>
    <t xml:space="preserve">Trạng thái HV</t>
  </si>
  <si>
    <t xml:space="preserve">Tỷ lệ hoàn thành</t>
  </si>
  <si>
    <t xml:space="preserve">Điểm test cuối</t>
  </si>
  <si>
    <t xml:space="preserve">Điểm mục tiêu (từ ĐK)</t>
  </si>
  <si>
    <t xml:space="preserve">Mức đạt mục tiêu</t>
  </si>
  <si>
    <t xml:space="preserve">Ghi chú mức đạt mục tiêu</t>
  </si>
  <si>
    <t xml:space="preserve">Lý do bỏ học (nếu drop)</t>
  </si>
  <si>
    <t xml:space="preserve">Ghi chú bảo lưu (nếu transfer)</t>
  </si>
  <si>
    <t xml:space="preserve">Khóa đề xuất tiếp</t>
  </si>
  <si>
    <t xml:space="preserve">Trạng thái tái ĐK</t>
  </si>
  <si>
    <t xml:space="preserve">Thời gian liên hệ tái ĐK</t>
  </si>
  <si>
    <t xml:space="preserve">Ghi chú tái ĐK</t>
  </si>
  <si>
    <t xml:space="preserve">Đăng ký mới (nếu có)</t>
  </si>
  <si>
    <t xml:space="preserve">Đã cho testimonial?</t>
  </si>
  <si>
    <t xml:space="preserve">CE-NNN (auto)</t>
  </si>
  <si>
    <t xml:space="preserve">Chọn ĐK kết thúc</t>
  </si>
  <si>
    <t xml:space="preserve">Lớp đã học</t>
  </si>
  <si>
    <t xml:space="preserve">completed/dropped/transferred</t>
  </si>
  <si>
    <t xml:space="preserve">Tự lookup từ Điểm danh</t>
  </si>
  <si>
    <t xml:space="preserve">Tự lookup từ Bài tập</t>
  </si>
  <si>
    <t xml:space="preserve">Band 0-9</t>
  </si>
  <si>
    <t xml:space="preserve">L</t>
  </si>
  <si>
    <t xml:space="preserve">R</t>
  </si>
  <si>
    <t xml:space="preserve">W</t>
  </si>
  <si>
    <t xml:space="preserve">S</t>
  </si>
  <si>
    <t xml:space="preserve">Lookup từ ĐK</t>
  </si>
  <si>
    <t xml:space="preserve">achieved/partially/not</t>
  </si>
  <si>
    <t xml:space="preserve">Ghi chú chi tiết</t>
  </si>
  <si>
    <t xml:space="preserve">Bắt buộc khi dropped</t>
  </si>
  <si>
    <t xml:space="preserve">Bắt buộc khi transferred (số buổi)</t>
  </si>
  <si>
    <t xml:space="preserve">Nội dung tư vấn tái ĐK</t>
  </si>
  <si>
    <t xml:space="preserve">Nếu có ENR mới</t>
  </si>
  <si>
    <t xml:space="preserve">CE-001</t>
  </si>
  <si>
    <t xml:space="preserve">CE-002</t>
  </si>
  <si>
    <t xml:space="preserve">Chuyển chỗ ở</t>
  </si>
  <si>
    <t xml:space="preserve">CE-003</t>
  </si>
  <si>
    <t xml:space="preserve">Đạt mục tiêu</t>
  </si>
  <si>
    <t xml:space="preserve">BẢNG TRỰC NV WOW - THEO THÁNG</t>
  </si>
  <si>
    <t xml:space="preserve">Tháng:</t>
  </si>
  <si>
    <t xml:space="preserve">Mỗi ô = 1 khung giờ. Ghi mã NV đang trực + chi nhánh, cách nhau dấu phẩy nếu nhiều người. VD: NV003-CS1, NV004-CS3. Bảng dưới tự đếm giờ trực mỗi người.</t>
  </si>
  <si>
    <t xml:space="preserve">LƯỚI TRỰC (cột = ngày, hàng = khung giờ; ô trống = không ai trực)</t>
  </si>
  <si>
    <t xml:space="preserve">Giờ \ Ngày</t>
  </si>
  <si>
    <t xml:space="preserve">08:30-09:30</t>
  </si>
  <si>
    <t xml:space="preserve">NV003-CS1</t>
  </si>
  <si>
    <t xml:space="preserve">09:30-10:30</t>
  </si>
  <si>
    <t xml:space="preserve">10:30-11:30</t>
  </si>
  <si>
    <t xml:space="preserve">11:30-12:30</t>
  </si>
  <si>
    <t xml:space="preserve">12:30-13:30</t>
  </si>
  <si>
    <t xml:space="preserve">NV003-CS1, NV004-CS3</t>
  </si>
  <si>
    <t xml:space="preserve">13:30-14:30</t>
  </si>
  <si>
    <t xml:space="preserve">14:30-15:30</t>
  </si>
  <si>
    <t xml:space="preserve">NV004-CS3</t>
  </si>
  <si>
    <t xml:space="preserve">15:30-16:30</t>
  </si>
  <si>
    <t xml:space="preserve">16:30-17:30</t>
  </si>
  <si>
    <t xml:space="preserve">17:30-18:30</t>
  </si>
  <si>
    <t xml:space="preserve">18:30-19:30</t>
  </si>
  <si>
    <t xml:space="preserve">19:30-20:30</t>
  </si>
  <si>
    <t xml:space="preserve">20:30-21:30</t>
  </si>
  <si>
    <t xml:space="preserve">Lượt trực/ngày</t>
  </si>
  <si>
    <t xml:space="preserve">TỔNG GIỜ TRỰC THEO NV WOW (đếm số ô có mã NV trong lưới)</t>
  </si>
  <si>
    <t xml:space="preserve">Chi nhánh chính</t>
  </si>
  <si>
    <t xml:space="preserve">Cam kết/tháng</t>
  </si>
  <si>
    <t xml:space="preserve">Giờ trực tháng</t>
  </si>
  <si>
    <t xml:space="preserve">Tình trạng</t>
  </si>
  <si>
    <t xml:space="preserve">Buổi WOW đã book (tháng, từ DL14)</t>
  </si>
  <si>
    <t xml:space="preserve">Gợi ý ghi ô: mã NV + chi nhánh, VD "NV003-CS1". Cột "Buổi đã book" lấy từ DL14 để đối chiếu giờ trực vs buổi thực tế.</t>
  </si>
  <si>
    <t xml:space="preserve">TÌM KIẾM NHANH</t>
  </si>
  <si>
    <t xml:space="preserve">Gõ tên hoặc số điện thoại vào ô vàng để tìm trong Lead, Học viên, Nhân viên.</t>
  </si>
  <si>
    <t xml:space="preserve">Tìm theo tên hoặc số điện thoại đều được.</t>
  </si>
  <si>
    <t xml:space="preserve">Từ khóa:</t>
  </si>
  <si>
    <t xml:space="preserve">Minh Anh</t>
  </si>
  <si>
    <t xml:space="preserve">Gõ 1 phần tên hoặc SĐT</t>
  </si>
  <si>
    <t xml:space="preserve">KẾT QUẢ TRONG LEAD</t>
  </si>
  <si>
    <t xml:space="preserve">Tên</t>
  </si>
  <si>
    <t xml:space="preserve">Status</t>
  </si>
  <si>
    <t xml:space="preserve">KẾT QUẢ TRONG HỌC VIÊN</t>
  </si>
  <si>
    <t xml:space="preserve">CC track</t>
  </si>
  <si>
    <t xml:space="preserve">HT track</t>
  </si>
  <si>
    <t xml:space="preserve">KẾT QUẢ TRONG NHÂN VIÊN</t>
  </si>
  <si>
    <t xml:space="preserve">TRA CỨU LỚP HỌC</t>
  </si>
  <si>
    <t xml:space="preserve">Tìm theo Tên lớp / Mã lớp (để trống = xem tất cả):</t>
  </si>
  <si>
    <t xml:space="preserve">Gõ rồi Enter</t>
  </si>
  <si>
    <t xml:space="preserve">Chọn</t>
  </si>
  <si>
    <t xml:space="preserve">Đang chọn:</t>
  </si>
  <si>
    <t xml:space="preserve">THÔNG TIN CHI TIẾT (dòng đang chọn)</t>
  </si>
  <si>
    <t xml:space="preserve">GV chính</t>
  </si>
  <si>
    <t xml:space="preserve">Sĩ số tối đa</t>
  </si>
  <si>
    <t xml:space="preserve">DANH SÁCH HỌC VIÊN CỦA LỚP (theo lớp đang chọn ở trên)</t>
  </si>
  <si>
    <t xml:space="preserve">Tên học viên</t>
  </si>
  <si>
    <t xml:space="preserve">Số buổi đã tạo</t>
  </si>
  <si>
    <t xml:space="preserve">Số HV kết thúc khóa</t>
  </si>
  <si>
    <t xml:space="preserve">CÁC BUỔI HỌC</t>
  </si>
  <si>
    <t xml:space="preserve">HV KẾT THÚC KHÓA</t>
  </si>
  <si>
    <t xml:space="preserve">Chuyên cần</t>
  </si>
  <si>
    <t xml:space="preserve">Điểm cuối</t>
  </si>
  <si>
    <t xml:space="preserve">Đạt MT</t>
  </si>
  <si>
    <t xml:space="preserve">TRA CỨU HỌC VIÊN</t>
  </si>
  <si>
    <t xml:space="preserve">Tìm theo Tên / Mã HV / SĐT (để trống = xem tất cả):</t>
  </si>
  <si>
    <t xml:space="preserve">Người LH khẩn cấp</t>
  </si>
  <si>
    <t xml:space="preserve">SĐT khẩn cấp</t>
  </si>
  <si>
    <t xml:space="preserve">Mã ĐK đầu</t>
  </si>
  <si>
    <t xml:space="preserve">Hoạt động cuối</t>
  </si>
  <si>
    <t xml:space="preserve">Việc cần làm tiếp</t>
  </si>
  <si>
    <t xml:space="preserve">TÓM TẮT HỌC TẬP</t>
  </si>
  <si>
    <t xml:space="preserve">Số lần đóng tiền</t>
  </si>
  <si>
    <t xml:space="preserve">Tổng đã đóng (đ)</t>
  </si>
  <si>
    <t xml:space="preserve">Số buổi đã điểm danh</t>
  </si>
  <si>
    <t xml:space="preserve">% đi học đúng giờ</t>
  </si>
  <si>
    <t xml:space="preserve">Số buổi vắng</t>
  </si>
  <si>
    <t xml:space="preserve">Điểm TB bài tập</t>
  </si>
  <si>
    <t xml:space="preserve">CÁC KHÓA ĐÃ ĐĂNG KÝ</t>
  </si>
  <si>
    <t xml:space="preserve">Mã ĐK</t>
  </si>
  <si>
    <t xml:space="preserve">Đã đóng</t>
  </si>
  <si>
    <t xml:space="preserve">TT thanh toán</t>
  </si>
  <si>
    <t xml:space="preserve">LỊCH SỬ THANH TOÁN</t>
  </si>
  <si>
    <t xml:space="preserve">Mã GD</t>
  </si>
  <si>
    <t xml:space="preserve">LỚP ĐÃ XẾP</t>
  </si>
  <si>
    <t xml:space="preserve">Xác nhận lớp</t>
  </si>
  <si>
    <t xml:space="preserve">TT onboarding</t>
  </si>
  <si>
    <t xml:space="preserve">BÀI TẬP &amp; ĐIỂM</t>
  </si>
  <si>
    <t xml:space="preserve">LỊCH SỬ ĐIỂM DANH</t>
  </si>
  <si>
    <t xml:space="preserve">Buổi</t>
  </si>
  <si>
    <t xml:space="preserve">Đánh giá</t>
  </si>
  <si>
    <t xml:space="preserve">THÀNH TÍCH KẾT THÚC KHÓA</t>
  </si>
  <si>
    <t xml:space="preserve">KHIẾU NẠI CỦA HỌC VIÊN</t>
  </si>
  <si>
    <t xml:space="preserve">Mã KN</t>
  </si>
  <si>
    <t xml:space="preserve">TRA CỨU GIẢNG VIÊN</t>
  </si>
  <si>
    <t xml:space="preserve">Tìm theo Tên / Mã NV / SĐT (để trống = xem tất cả GV):</t>
  </si>
  <si>
    <t xml:space="preserve">Quản lý trực tiếp</t>
  </si>
  <si>
    <t xml:space="preserve">TÓM TẮT GIẢNG DẠY</t>
  </si>
  <si>
    <t xml:space="preserve">Số lớp đang phụ trách</t>
  </si>
  <si>
    <t xml:space="preserve">Số buổi đã dạy</t>
  </si>
  <si>
    <t xml:space="preserve">Số bài đã chấm</t>
  </si>
  <si>
    <t xml:space="preserve">Trễ TB (phút/buổi)</t>
  </si>
  <si>
    <t xml:space="preserve">% buổi có note đúng SLA</t>
  </si>
  <si>
    <t xml:space="preserve">LỚP ĐANG PHỤ TRÁCH</t>
  </si>
  <si>
    <t xml:space="preserve">Lịch</t>
  </si>
  <si>
    <t xml:space="preserve">Sĩ số</t>
  </si>
  <si>
    <t xml:space="preserve">BUỔI ĐÃ DẠY (gần nhất)</t>
  </si>
  <si>
    <t xml:space="preserve">Lớp</t>
  </si>
  <si>
    <t xml:space="preserve">Trễ(phút)</t>
  </si>
  <si>
    <t xml:space="preserve">BÀI ĐÃ CHẤM</t>
  </si>
  <si>
    <t xml:space="preserve">Mã bài</t>
  </si>
  <si>
    <t xml:space="preserve">TRA CỨU NV WOW</t>
  </si>
  <si>
    <t xml:space="preserve">Tìm theo Tên / Mã NV / SĐT (để trống = xem tất cả NV WOW):</t>
  </si>
  <si>
    <t xml:space="preserve">TÓM TẮT WOW</t>
  </si>
  <si>
    <t xml:space="preserve">Số buổi WOW đã dạy</t>
  </si>
  <si>
    <t xml:space="preserve">Số buổi đã hoàn thành</t>
  </si>
  <si>
    <t xml:space="preserve">Số buổi HV không đến</t>
  </si>
  <si>
    <t xml:space="preserve">CÁC BUỔI WOW ĐÃ DẠY</t>
  </si>
  <si>
    <t xml:space="preserve">TRA CỨU KHÁCH TIỀM NĂNG</t>
  </si>
  <si>
    <t xml:space="preserve">Tìm theo Tên / Mã lead / SĐT (để trống = xem tất cả):</t>
  </si>
  <si>
    <t xml:space="preserve">TÓM TẮT HÀNH TRÌNH</t>
  </si>
  <si>
    <t xml:space="preserve">Số lần đặt test</t>
  </si>
  <si>
    <t xml:space="preserve">Số lần tư vấn</t>
  </si>
  <si>
    <t xml:space="preserve">Đã đăng ký?</t>
  </si>
  <si>
    <t xml:space="preserve">Điểm test gần nhất</t>
  </si>
  <si>
    <t xml:space="preserve">LỊCH SỬ ĐẶT TEST</t>
  </si>
  <si>
    <t xml:space="preserve">Mã test</t>
  </si>
  <si>
    <t xml:space="preserve">LỊCH SỬ TƯ VẤN</t>
  </si>
  <si>
    <t xml:space="preserve">Mã TV</t>
  </si>
  <si>
    <t xml:space="preserve">ĐĂNG KÝ (nếu đã chuyển)</t>
  </si>
  <si>
    <t xml:space="preserve">Khóa</t>
  </si>
  <si>
    <t xml:space="preserve">LEAD CẦN LIÊN HỆ LẠI (next_followup_time ≤ hôm nay + 1)</t>
  </si>
  <si>
    <t xml:space="preserve">Danh sách việc tự động cập nhật theo điều kiện.</t>
  </si>
  <si>
    <t xml:space="preserve">LH gần nhất</t>
  </si>
  <si>
    <t xml:space="preserve">LH tiếp</t>
  </si>
  <si>
    <t xml:space="preserve">Note</t>
  </si>
  <si>
    <t xml:space="preserve">HỌC VIÊN NGUY CƠ CẦN CAN THIỆP (2 trục: chuyên cần + học thuật)</t>
  </si>
  <si>
    <t xml:space="preserve">Lý do CC</t>
  </si>
  <si>
    <t xml:space="preserve">Lý do HT</t>
  </si>
  <si>
    <t xml:space="preserve">TEST CHỜ CHẤM (test_status = pending sau khi đã test)</t>
  </si>
  <si>
    <t xml:space="preserve">TB</t>
  </si>
  <si>
    <t xml:space="preserve">Thời gian test</t>
  </si>
  <si>
    <t xml:space="preserve">Người chấm</t>
  </si>
  <si>
    <t xml:space="preserve">HỌC PHÍ ĐẾN HẠN HOẶC QUÁ HẠN</t>
  </si>
  <si>
    <t xml:space="preserve">ĐK</t>
  </si>
  <si>
    <t xml:space="preserve">remaining</t>
  </si>
  <si>
    <t xml:space="preserve">Thời gian ĐK</t>
  </si>
  <si>
    <t xml:space="preserve">Schedule</t>
  </si>
  <si>
    <t xml:space="preserve">KG</t>
  </si>
  <si>
    <t xml:space="preserve">KHIẾU NẠI CHƯA XỬ LÝ XONG</t>
  </si>
  <si>
    <t xml:space="preserve">NV xử lý</t>
  </si>
  <si>
    <t xml:space="preserve">KHỐI LƯỢNG VIỆC HIỆN TẠI THEO NHÂN VIÊN</t>
  </si>
  <si>
    <t xml:space="preserve">Số việc mỗi nhân viên đang giữ.</t>
  </si>
  <si>
    <t xml:space="preserve">Leads</t>
  </si>
  <si>
    <t xml:space="preserve">Test chấm</t>
  </si>
  <si>
    <t xml:space="preserve">Onboarding đang xử lý</t>
  </si>
  <si>
    <t xml:space="preserve">KN đang giữ</t>
  </si>
  <si>
    <t xml:space="preserve">BẢNG HỌC VIÊN NGUY CƠ - 2 TRỤC CHUYÊN CẦN &amp; HỌC THUẬT (SOP P6-P7)</t>
  </si>
  <si>
    <t xml:space="preserve">HV có nguy cơ theo 2 trục: chuyên cần và học thuật.</t>
  </si>
  <si>
    <t xml:space="preserve">Tổng HV đang học</t>
  </si>
  <si>
    <t xml:space="preserve">Chuyên cần - nguy cơ</t>
  </si>
  <si>
    <t xml:space="preserve">Học thuật - nguy cơ</t>
  </si>
  <si>
    <t xml:space="preserve">ARR chuyên cần</t>
  </si>
  <si>
    <t xml:space="preserve">AIR học thuật</t>
  </si>
  <si>
    <t xml:space="preserve">Học viên đang học</t>
  </si>
  <si>
    <t xml:space="preserve">Cần can thiệp 24-48h</t>
  </si>
  <si>
    <t xml:space="preserve">GV+Học vụ phối hợp</t>
  </si>
  <si>
    <t xml:space="preserve">Ngưỡng SOP ≤ 10%</t>
  </si>
  <si>
    <t xml:space="preserve">DANH SÁCH HV NGUY CƠ - XỬ LÝ THEO THỨ TỰ NGHIÊM TRỌNG</t>
  </si>
  <si>
    <t xml:space="preserve">Vắng (buổi)</t>
  </si>
  <si>
    <t xml:space="preserve">Học thuật</t>
  </si>
  <si>
    <t xml:space="preserve">Thiếu bài</t>
  </si>
  <si>
    <t xml:space="preserve">SLA CAN THIỆP THEO SOP</t>
  </si>
  <si>
    <t xml:space="preserve">SLA can thiệp</t>
  </si>
  <si>
    <t xml:space="preserve">Theo dõi sau</t>
  </si>
  <si>
    <t xml:space="preserve">attendance: at_risk</t>
  </si>
  <si>
    <t xml:space="preserve">24-48h</t>
  </si>
  <si>
    <t xml:space="preserve">LH HV qua đa kênh, tìm lý do, đặt buổi WOW bù</t>
  </si>
  <si>
    <t xml:space="preserve">14 ngày</t>
  </si>
  <si>
    <t xml:space="preserve">attendance: off_track</t>
  </si>
  <si>
    <t xml:space="preserve">24h</t>
  </si>
  <si>
    <t xml:space="preserve">Họp 3 bên (HV+PH+QL), đề xuất giảm tốc/bảo lưu</t>
  </si>
  <si>
    <t xml:space="preserve">NV Học vụ + QL Học vụ</t>
  </si>
  <si>
    <t xml:space="preserve">7 ngày</t>
  </si>
  <si>
    <t xml:space="preserve">academic: at_risk</t>
  </si>
  <si>
    <t xml:space="preserve">GV+Học vụ xem học lực, đề xuất 1-2 buổi WOW academic_support</t>
  </si>
  <si>
    <t xml:space="preserve">GV chính + NV WOW Coach</t>
  </si>
  <si>
    <t xml:space="preserve">academic: off_track</t>
  </si>
  <si>
    <t xml:space="preserve">Họp GV+QL ACA, có thể đề xuất đổi lớp xuống level thấp hơn</t>
  </si>
  <si>
    <t xml:space="preserve">QL Học thuật + QL ACA</t>
  </si>
  <si>
    <t xml:space="preserve">Cả 2 trục off_track</t>
  </si>
  <si>
    <t xml:space="preserve">Ngay</t>
  </si>
  <si>
    <t xml:space="preserve">Họp khẩn 4 bên, cân nhắc bảo lưu hoặc refund</t>
  </si>
  <si>
    <t xml:space="preserve">QL Học vụ + QL ACA + CEO</t>
  </si>
  <si>
    <t xml:space="preserve">BẢNG CHỈ SỐ KPI - TOÀN BỘ 51 CHỈ SỐ THEO SOP</t>
  </si>
  <si>
    <t xml:space="preserve">Tổng hợp KPI theo từng phase. Cột "Acr" là viết tắt SOP. Ngưỡng lấy từ CH2.</t>
  </si>
  <si>
    <t xml:space="preserve">Acr</t>
  </si>
  <si>
    <t xml:space="preserve">Tên KPI (đầy đủ)</t>
  </si>
  <si>
    <t xml:space="preserve">Công thức</t>
  </si>
  <si>
    <t xml:space="preserve">Ngưỡng SOP</t>
  </si>
  <si>
    <t xml:space="preserve">Cách đọc / Áp dụng thực tế</t>
  </si>
  <si>
    <t xml:space="preserve">qualified/total</t>
  </si>
  <si>
    <t xml:space="preserve">TB.booked / Leads tổng</t>
  </si>
  <si>
    <t xml:space="preserve">đến / đã đặt</t>
  </si>
  <si>
    <t xml:space="preserve">NS / đã đặt</t>
  </si>
  <si>
    <t xml:space="preserve">consulted / graded</t>
  </si>
  <si>
    <t xml:space="preserve">chấm trong 24h</t>
  </si>
  <si>
    <t xml:space="preserve">có note đầy đủ</t>
  </si>
  <si>
    <t xml:space="preserve">consulted / leads tổng</t>
  </si>
  <si>
    <t xml:space="preserve">confirmed / leads tổng</t>
  </si>
  <si>
    <t xml:space="preserve">dropped / consulted</t>
  </si>
  <si>
    <t xml:space="preserve">paid / tổng ĐK</t>
  </si>
  <si>
    <t xml:space="preserve">cancelled / tổng ĐK</t>
  </si>
  <si>
    <t xml:space="preserve">có assigned_at / tổng OB</t>
  </si>
  <si>
    <t xml:space="preserve">HV confirm / tổng OB</t>
  </si>
  <si>
    <t xml:space="preserve">sĩ số / max</t>
  </si>
  <si>
    <t xml:space="preserve">có mặt / tổng buổi</t>
  </si>
  <si>
    <t xml:space="preserve">unexcused / tổng buổi</t>
  </si>
  <si>
    <t xml:space="preserve">at_risk / tổng HV active</t>
  </si>
  <si>
    <t xml:space="preserve">academic at_risk / HV</t>
  </si>
  <si>
    <t xml:space="preserve">on_track sau intervention</t>
  </si>
  <si>
    <t xml:space="preserve">chấm ≤5 ngày</t>
  </si>
  <si>
    <t xml:space="preserve">improved / completed</t>
  </si>
  <si>
    <t xml:space="preserve">negative / tổng FB</t>
  </si>
  <si>
    <t xml:space="preserve">KN / HV active</t>
  </si>
  <si>
    <t xml:space="preserve">resolved+accepted / tổng KN</t>
  </si>
  <si>
    <t xml:space="preserve">completed / tổng kết thúc</t>
  </si>
  <si>
    <t xml:space="preserve">tái ĐK / completed</t>
  </si>
  <si>
    <t xml:space="preserve">% follow-up không trễ</t>
  </si>
  <si>
    <t xml:space="preserve">bài nộp / bài giao</t>
  </si>
  <si>
    <t xml:space="preserve">nộp đúng hạn / bài giao</t>
  </si>
  <si>
    <t xml:space="preserve">buổi có note / tổng buổi</t>
  </si>
  <si>
    <t xml:space="preserve">buổi có điểm danh / tổng buổi</t>
  </si>
  <si>
    <t xml:space="preserve">điểm 14 ngày gần - 14 ngày đầu</t>
  </si>
  <si>
    <t xml:space="preserve">TB feedback_score</t>
  </si>
  <si>
    <t xml:space="preserve">đã điền / đã gửi</t>
  </si>
  <si>
    <t xml:space="preserve">phân loại trong 24h / tổng</t>
  </si>
  <si>
    <t xml:space="preserve">%promoter - %detractor</t>
  </si>
  <si>
    <t xml:space="preserve">phản hồi trong SLA / tổng</t>
  </si>
  <si>
    <t xml:space="preserve">giờ TB</t>
  </si>
  <si>
    <t xml:space="preserve">đạt MT / hoàn thành</t>
  </si>
  <si>
    <t xml:space="preserve">bỏ học / (tổng - transferred)</t>
  </si>
  <si>
    <t xml:space="preserve">liên hệ trong 3 ngày / hoàn thành</t>
  </si>
  <si>
    <t xml:space="preserve">transferred có ĐK mới / transferred</t>
  </si>
  <si>
    <t xml:space="preserve">completed / tổng WOW</t>
  </si>
  <si>
    <t xml:space="preserve">WOW của GV cải thiện / WOW của GV</t>
  </si>
  <si>
    <t xml:space="preserve">LFR</t>
  </si>
  <si>
    <t xml:space="preserve">Learning Followup Rate - Ghi chú theo dõi đầy đủ</t>
  </si>
  <si>
    <t xml:space="preserve">HV nguy cơ có note / HV nguy cơ</t>
  </si>
  <si>
    <t xml:space="preserve">100%</t>
  </si>
  <si>
    <t xml:space="preserve">Không ghi chú = không theo dõi được. Ghi chú đầy đủ = quản lý có thể giám sát và hỗ trợ. Đây là điều kiện cần để RCR có thể đạt mức tốt</t>
  </si>
  <si>
    <t xml:space="preserve">APR</t>
  </si>
  <si>
    <t xml:space="preserve">Approval Rate - Phê duyệt yêu cầu đúng hạn</t>
  </si>
  <si>
    <t xml:space="preserve">duyệt trong 1 ngày / tổng duyệt</t>
  </si>
  <si>
    <t xml:space="preserve">≥ 90%</t>
  </si>
  <si>
    <t xml:space="preserve">Phê duyệt trễ = team bị tắc công việc. Đây là chỉ số quản lý trực tiếp kiểm soát được và ảnh hưởng ngay đến trải nghiệm học viên (đổi lớp trễ, áp chiết khấu trễ, duyệt thêm buổi WOW trễ)</t>
  </si>
  <si>
    <t xml:space="preserve">SS_ALL</t>
  </si>
  <si>
    <t xml:space="preserve">Satisfaction All - Điểm hài lòng toàn trung tâm</t>
  </si>
  <si>
    <t xml:space="preserve">TB satisfaction toàn HV</t>
  </si>
  <si>
    <t xml:space="preserve">≥ 4.5</t>
  </si>
  <si>
    <t xml:space="preserve">Chỉ số sức khoẻ tổng thể của trung tâm. Cần xem xuống cấp lớp và giảng viên để biết vấn đề ở đâu - Điểm hài lòng tổng thể (SS_ALL) tốt có thể che giấu vấn đề cục bộ ở một lớp hoặc giảng viên cụ thể</t>
  </si>
  <si>
    <t xml:space="preserve">PHỄU KHÁCH TIỀM NĂNG - TỪ P1 ĐẾN P4 (SOP CHUẨN)</t>
  </si>
  <si>
    <t xml:space="preserve">Qualified</t>
  </si>
  <si>
    <t xml:space="preserve">Có test</t>
  </si>
  <si>
    <t xml:space="preserve">Tất cả thời điểm</t>
  </si>
  <si>
    <t xml:space="preserve">Đã đặt lịch test</t>
  </si>
  <si>
    <t xml:space="preserve">Phase 4 đạt</t>
  </si>
  <si>
    <t xml:space="preserve">FUNNEL - LEAD ĐĂNG KÝ</t>
  </si>
  <si>
    <t xml:space="preserve">Funnel</t>
  </si>
  <si>
    <t xml:space="preserve">Tỷ lệ trên Lead</t>
  </si>
  <si>
    <t xml:space="preserve">Tỷ lệ trên stage trước</t>
  </si>
  <si>
    <t xml:space="preserve">1. Tổng lead</t>
  </si>
  <si>
    <t xml:space="preserve">Toàn bộ lead</t>
  </si>
  <si>
    <t xml:space="preserve">2. Contacted</t>
  </si>
  <si>
    <t xml:space="preserve">Đã LH thành công</t>
  </si>
  <si>
    <t xml:space="preserve">3. Qualified</t>
  </si>
  <si>
    <t xml:space="preserve">4. Đã đặt test</t>
  </si>
  <si>
    <t xml:space="preserve">5. Test đã chấm</t>
  </si>
  <si>
    <t xml:space="preserve">Đã có KQ</t>
  </si>
  <si>
    <t xml:space="preserve">6. Consulted</t>
  </si>
  <si>
    <t xml:space="preserve">Đã tư vấn</t>
  </si>
  <si>
    <t xml:space="preserve">7. Đã chốt + cọc</t>
  </si>
  <si>
    <t xml:space="preserve">Cam kết + có cọc</t>
  </si>
  <si>
    <t xml:space="preserve">8. Đã đăng ký</t>
  </si>
  <si>
    <t xml:space="preserve">Đăng ký XN</t>
  </si>
  <si>
    <t xml:space="preserve">9. Paid full</t>
  </si>
  <si>
    <t xml:space="preserve">LEAD BY SOURCE</t>
  </si>
  <si>
    <t xml:space="preserve">Tỷ lệ</t>
  </si>
  <si>
    <t xml:space="preserve">Trong đó qualified</t>
  </si>
  <si>
    <t xml:space="preserve">CVR (đăng ký)</t>
  </si>
  <si>
    <t xml:space="preserve">facebook_ads (Quảng cáo FB)</t>
  </si>
  <si>
    <t xml:space="preserve">hotline (Hotline)</t>
  </si>
  <si>
    <t xml:space="preserve">website (Website)</t>
  </si>
  <si>
    <t xml:space="preserve">zalo_oa (Zalo OA)</t>
  </si>
  <si>
    <t xml:space="preserve">landing_page (Landing page)</t>
  </si>
  <si>
    <t xml:space="preserve">walk_in (Khách tự đến)</t>
  </si>
  <si>
    <t xml:space="preserve">seeding (Bài seeding)</t>
  </si>
  <si>
    <t xml:space="preserve">upsell (HV cũ mua thêm)</t>
  </si>
  <si>
    <t xml:space="preserve">LEAD BY STATUS</t>
  </si>
  <si>
    <t xml:space="preserve">new (Chưa LH)</t>
  </si>
  <si>
    <t xml:space="preserve">SLA gọi: 15 phút</t>
  </si>
  <si>
    <t xml:space="preserve">contacted (Đã LH, đang khai thác)</t>
  </si>
  <si>
    <t xml:space="preserve">Theo dõi 7 ngày tối đa</t>
  </si>
  <si>
    <t xml:space="preserve">unreachable (Hết cách LH)</t>
  </si>
  <si>
    <t xml:space="preserve">BÁO CÁO THÁNG - TỔNG QUAN VẬN HÀNH</t>
  </si>
  <si>
    <t xml:space="preserve">Lead mới</t>
  </si>
  <si>
    <t xml:space="preserve">Đăng ký mới</t>
  </si>
  <si>
    <t xml:space="preserve">Doanh thu (đã thu)</t>
  </si>
  <si>
    <t xml:space="preserve">HV active</t>
  </si>
  <si>
    <t xml:space="preserve">Tổng lead trong file</t>
  </si>
  <si>
    <t xml:space="preserve">Đang học</t>
  </si>
  <si>
    <t xml:space="preserve">LINK NHANH ĐẾN DASHBOARD CON</t>
  </si>
  <si>
    <t xml:space="preserve">Phase / Vai trò</t>
  </si>
  <si>
    <t xml:space="preserve">Dashboard</t>
  </si>
  <si>
    <t xml:space="preserve">Link</t>
  </si>
  <si>
    <t xml:space="preserve">Phase 1-3 (Pre-sales)</t>
  </si>
  <si>
    <t xml:space="preserve">Lead Pipeline</t>
  </si>
  <si>
    <t xml:space="preserve">Phase 4-5 (Đăng ký + Xếp lớp)</t>
  </si>
  <si>
    <t xml:space="preserve">Dashboard Tư vấn</t>
  </si>
  <si>
    <t xml:space="preserve">Phase 6 (Chuyên cần)</t>
  </si>
  <si>
    <t xml:space="preserve">Bảng HV nguy cơ</t>
  </si>
  <si>
    <t xml:space="preserve">Phase 7 (Học thuật)</t>
  </si>
  <si>
    <t xml:space="preserve">Dashboard NV WOW</t>
  </si>
  <si>
    <t xml:space="preserve">Phase 7 (Giảng dạy)</t>
  </si>
  <si>
    <t xml:space="preserve">Dashboard Giảng viên</t>
  </si>
  <si>
    <t xml:space="preserve">Phase 8-9 (FB+KN)</t>
  </si>
  <si>
    <t xml:space="preserve">Dashboard Học vụ</t>
  </si>
  <si>
    <t xml:space="preserve">Toàn bộ 31 KPI SOP</t>
  </si>
  <si>
    <t xml:space="preserve">Dashboard KPI</t>
  </si>
  <si>
    <t xml:space="preserve">Phê duyệt QL</t>
  </si>
  <si>
    <t xml:space="preserve">Dashboard QL - Phê duyệt</t>
  </si>
  <si>
    <t xml:space="preserve">10 LEAD GẦN NHẤT</t>
  </si>
  <si>
    <t xml:space="preserve">TT</t>
  </si>
  <si>
    <t xml:space="preserve">Mức ĐK</t>
  </si>
  <si>
    <t xml:space="preserve">TG tạo</t>
  </si>
  <si>
    <t xml:space="preserve">SỐ LIỆU THEO THÁNG (đổi tháng ở ô B34, dạng ngày đầu tháng)</t>
  </si>
  <si>
    <t xml:space="preserve">Tháng đang xem:</t>
  </si>
  <si>
    <t xml:space="preserve">Chỉ số</t>
  </si>
  <si>
    <t xml:space="preserve">Tháng chọn</t>
  </si>
  <si>
    <t xml:space="preserve">Tháng trước</t>
  </si>
  <si>
    <t xml:space="preserve">Chênh lệch</t>
  </si>
  <si>
    <t xml:space="preserve">Theo ngày tạo lead</t>
  </si>
  <si>
    <t xml:space="preserve">Đăng ký xác nhận</t>
  </si>
  <si>
    <t xml:space="preserve">Theo ngày đăng ký</t>
  </si>
  <si>
    <t xml:space="preserve">Doanh thu đã thu (đ)</t>
  </si>
  <si>
    <t xml:space="preserve">Theo ngày thanh toán</t>
  </si>
  <si>
    <t xml:space="preserve">HV hoàn tất nhập học</t>
  </si>
  <si>
    <t xml:space="preserve">Theo ngày xong onboarding</t>
  </si>
  <si>
    <t xml:space="preserve">BẢNG NV TƯ VẤN - VIỆC HÀNG NGÀY THEO SOP B.1</t>
  </si>
  <si>
    <t xml:space="preserve">Việc hàng ngày của NV Tư vấn: lead mới, follow-up, test, tư vấn.</t>
  </si>
  <si>
    <t xml:space="preserve">Lead mới (chưa LH)</t>
  </si>
  <si>
    <t xml:space="preserve">Lead đang khai thác</t>
  </si>
  <si>
    <t xml:space="preserve">Test sắp tới</t>
  </si>
  <si>
    <t xml:space="preserve">Tư vấn cần làm</t>
  </si>
  <si>
    <t xml:space="preserve">Đang chăm sóc</t>
  </si>
  <si>
    <t xml:space="preserve">Chuẩn bị tư vấn sau</t>
  </si>
  <si>
    <t xml:space="preserve">CVT SLA ≤ 24h</t>
  </si>
  <si>
    <t xml:space="preserve">CẦN LIÊN HỆ LẠI HÔM NAY (SAU HÔM NAY = TRỄ)</t>
  </si>
  <si>
    <t xml:space="preserve">Hẹn LH tiếp</t>
  </si>
  <si>
    <t xml:space="preserve">CHUYỂN ĐỔI THEO NGUỒN (CVR)</t>
  </si>
  <si>
    <t xml:space="preserve">Test</t>
  </si>
  <si>
    <t xml:space="preserve">Đã xác nhận</t>
  </si>
  <si>
    <t xml:space="preserve">facebook_ads (FB Ads)</t>
  </si>
  <si>
    <t xml:space="preserve">CHỈ SỐ HIỆU SUẤT THEO SOP (tự lấy từ BC2 - sửa công thức ở BC2 là cập nhật cả đây)</t>
  </si>
  <si>
    <t xml:space="preserve">Ngưỡng</t>
  </si>
  <si>
    <t xml:space="preserve">Cách đọc / Áp dụng</t>
  </si>
  <si>
    <t xml:space="preserve">BẢNG NV WOW - CHẤM TEST + DẠY WOW (SOP B.3)</t>
  </si>
  <si>
    <t xml:space="preserve">Việc của NV WOW: chấm test, viết note, dạy WOW.</t>
  </si>
  <si>
    <t xml:space="preserve">Test chờ chấm</t>
  </si>
  <si>
    <t xml:space="preserve">Test đã chấm</t>
  </si>
  <si>
    <t xml:space="preserve">WOW sắp tới</t>
  </si>
  <si>
    <t xml:space="preserve">WOW Improved rate</t>
  </si>
  <si>
    <t xml:space="preserve">Đã có overall_score</t>
  </si>
  <si>
    <t xml:space="preserve">Buổi đã đặt</t>
  </si>
  <si>
    <t xml:space="preserve">WOR - ngưỡng ≥60%</t>
  </si>
  <si>
    <t xml:space="preserve">TEST CHỜ CHẤM HÔM NAY</t>
  </si>
  <si>
    <t xml:space="preserve">Mã booking</t>
  </si>
  <si>
    <t xml:space="preserve">Ngày test</t>
  </si>
  <si>
    <t xml:space="preserve">TT chấm</t>
  </si>
  <si>
    <t xml:space="preserve">Sau test</t>
  </si>
  <si>
    <t xml:space="preserve">BẢNG GIẢNG VIÊN - BUỔI HỌC + BÀI TẬP + TEACHER NOTE (SOP B.5)</t>
  </si>
  <si>
    <t xml:space="preserve">Việc của giảng viên: buổi học, điểm danh, bài tập, teacher_note.</t>
  </si>
  <si>
    <t xml:space="preserve">Buổi đã hoàn thành</t>
  </si>
  <si>
    <t xml:space="preserve">Cần viết teacher_note</t>
  </si>
  <si>
    <t xml:space="preserve">BT chờ chấm</t>
  </si>
  <si>
    <t xml:space="preserve">HV nguy cơ học thuật</t>
  </si>
  <si>
    <t xml:space="preserve">Tất cả lớp GV phụ trách</t>
  </si>
  <si>
    <t xml:space="preserve">Buổi đã xong nhưng chưa có note</t>
  </si>
  <si>
    <t xml:space="preserve">SLA: 5 ngày</t>
  </si>
  <si>
    <t xml:space="preserve">Cần WOW academic_support</t>
  </si>
  <si>
    <t xml:space="preserve">Lọc theo GV (trống = tất cả):</t>
  </si>
  <si>
    <t xml:space="preserve">BẢNG HỌC VỤ - ONBOARDING + NGUY CƠ + PHẢN HỒI + KHIẾU NẠI (SOP B.4)</t>
  </si>
  <si>
    <t xml:space="preserve">Việc của Học vụ: xếp lớp, onboarding, at_risk, feedback, khiếu nại.</t>
  </si>
  <si>
    <t xml:space="preserve">OB chưa xong</t>
  </si>
  <si>
    <t xml:space="preserve">FB chờ phân loại</t>
  </si>
  <si>
    <t xml:space="preserve">KN đang xử lý</t>
  </si>
  <si>
    <t xml:space="preserve">2 trục, có thể trùng</t>
  </si>
  <si>
    <t xml:space="preserve">ONBOARDING CHƯA HOÀN TẤT</t>
  </si>
  <si>
    <t xml:space="preserve">Mã OB</t>
  </si>
  <si>
    <t xml:space="preserve">HV xác nhận lớp</t>
  </si>
  <si>
    <t xml:space="preserve">Xếp lúc</t>
  </si>
  <si>
    <t xml:space="preserve">KHIẾU NẠI ĐANG XỬ LÝ</t>
  </si>
  <si>
    <t xml:space="preserve">Tiếp nhận lúc</t>
  </si>
  <si>
    <t xml:space="preserve">CẢNH BÁO HỆ THỐNG (SOP GĐ8 - nhiều HV cùng lớp phản ánh giống nhau)</t>
  </si>
  <si>
    <t xml:space="preserve">Số lớp có ≥3 feedback tiêu cực</t>
  </si>
  <si>
    <t xml:space="preserve">Nếu &gt;0: kiểm tra lớp đó ngay (vấn đề hệ thống)</t>
  </si>
  <si>
    <t xml:space="preserve">BẢNG QUẢN LÝ - VIỆC CẦN PHÊ DUYỆT (SOP B.7-B.8)</t>
  </si>
  <si>
    <t xml:space="preserve">Việc cần quản lý phê duyệt: chiết khấu lớn, đổi lớp, khiếu nại nặng.</t>
  </si>
  <si>
    <t xml:space="preserve">KN mức HIGH</t>
  </si>
  <si>
    <t xml:space="preserve">KN escalated</t>
  </si>
  <si>
    <t xml:space="preserve">Cần QL phê duyệt</t>
  </si>
  <si>
    <t xml:space="preserve">HV không chấp nhận</t>
  </si>
  <si>
    <t xml:space="preserve">CHIẾT KHẤU CẦN PHÊ DUYỆT (≥1TR)</t>
  </si>
  <si>
    <t xml:space="preserve">Đăng ký</t>
  </si>
  <si>
    <t xml:space="preserve">HP gốc</t>
  </si>
  <si>
    <t xml:space="preserve">Chiết khấu</t>
  </si>
  <si>
    <t xml:space="preserve">Loại CK</t>
  </si>
  <si>
    <t xml:space="preserve">Lý do</t>
  </si>
  <si>
    <t xml:space="preserve">Ngày ĐK</t>
  </si>
  <si>
    <t xml:space="preserve">KHIẾU NẠI MỨC HIGH HOẶC ESCALATED</t>
  </si>
  <si>
    <t xml:space="preserve">Leo thang tới</t>
  </si>
  <si>
    <t xml:space="preserve">HOÀN TIỀN CHỜ XỬ LÝ (đăng ký đã hủy nhưng đã đóng tiền)</t>
  </si>
  <si>
    <t xml:space="preserve">Lý do hủy</t>
  </si>
</sst>
</file>

<file path=xl/styles.xml><?xml version="1.0" encoding="utf-8"?>
<styleSheet xmlns="http://schemas.openxmlformats.org/spreadsheetml/2006/main">
  <numFmts count="15">
    <numFmt numFmtId="164" formatCode="General"/>
    <numFmt numFmtId="165" formatCode="0"/>
    <numFmt numFmtId="166" formatCode="#,##0"/>
    <numFmt numFmtId="167" formatCode="General"/>
    <numFmt numFmtId="168" formatCode="#,##0&quot; đ&quot;"/>
    <numFmt numFmtId="169" formatCode="0.0%"/>
    <numFmt numFmtId="170" formatCode="0%"/>
    <numFmt numFmtId="171" formatCode="dd/mm/yyyy"/>
    <numFmt numFmtId="172" formatCode="dd/mm/yyyy\ hh:mm"/>
    <numFmt numFmtId="173" formatCode="0.0"/>
    <numFmt numFmtId="174" formatCode="mm/yyyy"/>
    <numFmt numFmtId="175" formatCode="dd/mm/yyyy\ h:mm:ss"/>
    <numFmt numFmtId="176" formatCode="#,##0\ [$đ-42A]"/>
    <numFmt numFmtId="177" formatCode="[hh]:mm:ss"/>
    <numFmt numFmtId="178" formatCode="m"/>
  </numFmts>
  <fonts count="91">
    <font>
      <sz val="11"/>
      <color theme="1"/>
      <name val="Calibri"/>
      <family val="0"/>
      <charset val="1"/>
    </font>
    <font>
      <sz val="10"/>
      <name val="Arial"/>
      <family val="0"/>
    </font>
    <font>
      <sz val="10"/>
      <name val="Arial"/>
      <family val="0"/>
    </font>
    <font>
      <sz val="10"/>
      <name val="Arial"/>
      <family val="0"/>
    </font>
    <font>
      <b val="true"/>
      <sz val="22"/>
      <color rgb="FFFFFFFF"/>
      <name val="Montserrat"/>
      <family val="0"/>
      <charset val="1"/>
    </font>
    <font>
      <i val="true"/>
      <sz val="9"/>
      <color rgb="FF7F8C8D"/>
      <name val="Montserrat"/>
      <family val="0"/>
      <charset val="1"/>
    </font>
    <font>
      <sz val="11"/>
      <color theme="1"/>
      <name val="Montserrat"/>
      <family val="0"/>
      <charset val="1"/>
    </font>
    <font>
      <b val="true"/>
      <sz val="13"/>
      <color rgb="FFFFFFFF"/>
      <name val="Montserrat"/>
      <family val="0"/>
      <charset val="1"/>
    </font>
    <font>
      <b val="true"/>
      <sz val="10"/>
      <color rgb="FFFFFFFF"/>
      <name val="Montserrat"/>
      <family val="0"/>
      <charset val="1"/>
    </font>
    <font>
      <b val="true"/>
      <sz val="24"/>
      <color rgb="FF1A5276"/>
      <name val="Montserrat"/>
      <family val="0"/>
      <charset val="1"/>
    </font>
    <font>
      <i val="true"/>
      <u val="single"/>
      <sz val="9"/>
      <color rgb="FF7F8C8D"/>
      <name val="Montserrat"/>
      <family val="0"/>
      <charset val="1"/>
    </font>
    <font>
      <b val="true"/>
      <sz val="11"/>
      <color rgb="FFFFFFFF"/>
      <name val="Montserrat"/>
      <family val="0"/>
      <charset val="1"/>
    </font>
    <font>
      <sz val="10"/>
      <color rgb="FF1A1A1A"/>
      <name val="Montserrat"/>
      <family val="0"/>
      <charset val="1"/>
    </font>
    <font>
      <b val="true"/>
      <sz val="12"/>
      <color rgb="FFC0392B"/>
      <name val="Montserrat"/>
      <family val="0"/>
      <charset val="1"/>
    </font>
    <font>
      <u val="single"/>
      <sz val="11"/>
      <color rgb="FF1F618D"/>
      <name val="Montserrat"/>
      <family val="0"/>
      <charset val="1"/>
    </font>
    <font>
      <b val="true"/>
      <sz val="10"/>
      <color rgb="FF5D6D7E"/>
      <name val="Montserrat"/>
      <family val="0"/>
      <charset val="1"/>
    </font>
    <font>
      <b val="true"/>
      <u val="single"/>
      <sz val="12"/>
      <color rgb="FF1F618D"/>
      <name val="Montserrat"/>
      <family val="0"/>
      <charset val="1"/>
    </font>
    <font>
      <b val="true"/>
      <sz val="14"/>
      <color rgb="FFFFFFFF"/>
      <name val="Montserrat"/>
      <family val="0"/>
      <charset val="1"/>
    </font>
    <font>
      <i val="true"/>
      <sz val="9"/>
      <color rgb="FF555555"/>
      <name val="Montserrat"/>
      <family val="0"/>
      <charset val="1"/>
    </font>
    <font>
      <b val="true"/>
      <sz val="12"/>
      <color rgb="FFFFFFFF"/>
      <name val="Montserrat"/>
      <family val="0"/>
      <charset val="1"/>
    </font>
    <font>
      <b val="true"/>
      <sz val="9"/>
      <color rgb="FF808B96"/>
      <name val="Montserrat"/>
      <family val="0"/>
      <charset val="1"/>
    </font>
    <font>
      <sz val="9"/>
      <color rgb="FF1A1A1A"/>
      <name val="Montserrat"/>
      <family val="0"/>
      <charset val="1"/>
    </font>
    <font>
      <u val="single"/>
      <sz val="9"/>
      <color rgb="FF1A1A1A"/>
      <name val="Montserrat"/>
      <family val="0"/>
      <charset val="1"/>
    </font>
    <font>
      <b val="true"/>
      <sz val="9"/>
      <color rgb="FFA93226"/>
      <name val="Montserrat"/>
      <family val="0"/>
      <charset val="1"/>
    </font>
    <font>
      <b val="true"/>
      <sz val="9"/>
      <color rgb="FF2874A6"/>
      <name val="Montserrat"/>
      <family val="0"/>
      <charset val="1"/>
    </font>
    <font>
      <b val="true"/>
      <sz val="9"/>
      <color rgb="FF229954"/>
      <name val="Montserrat"/>
      <family val="0"/>
      <charset val="1"/>
    </font>
    <font>
      <b val="true"/>
      <sz val="9"/>
      <color rgb="FFCA6F1E"/>
      <name val="Montserrat"/>
      <family val="0"/>
      <charset val="1"/>
    </font>
    <font>
      <b val="true"/>
      <sz val="9"/>
      <color rgb="FF1A1A1A"/>
      <name val="Montserrat"/>
      <family val="0"/>
      <charset val="1"/>
    </font>
    <font>
      <sz val="9"/>
      <color rgb="FFAA3300"/>
      <name val="Montserrat"/>
      <family val="0"/>
      <charset val="1"/>
    </font>
    <font>
      <i val="true"/>
      <sz val="10"/>
      <color rgb="FF1A1A1A"/>
      <name val="Montserrat"/>
      <family val="0"/>
      <charset val="1"/>
    </font>
    <font>
      <b val="true"/>
      <u val="single"/>
      <sz val="9"/>
      <color rgb="FF808B96"/>
      <name val="Montserrat"/>
      <family val="0"/>
      <charset val="1"/>
    </font>
    <font>
      <b val="true"/>
      <u val="single"/>
      <sz val="9"/>
      <color rgb="FFA93226"/>
      <name val="Montserrat"/>
      <family val="0"/>
      <charset val="1"/>
    </font>
    <font>
      <b val="true"/>
      <u val="single"/>
      <sz val="9"/>
      <color rgb="FF2874A6"/>
      <name val="Montserrat"/>
      <family val="0"/>
      <charset val="1"/>
    </font>
    <font>
      <b val="true"/>
      <u val="single"/>
      <sz val="9"/>
      <color rgb="FF229954"/>
      <name val="Montserrat"/>
      <family val="0"/>
      <charset val="1"/>
    </font>
    <font>
      <b val="true"/>
      <u val="single"/>
      <sz val="9"/>
      <color rgb="FFCA6F1E"/>
      <name val="Montserrat"/>
      <family val="0"/>
      <charset val="1"/>
    </font>
    <font>
      <b val="true"/>
      <sz val="18"/>
      <color rgb="FFFFFFFF"/>
      <name val="Montserrat"/>
      <family val="0"/>
      <charset val="1"/>
    </font>
    <font>
      <b val="true"/>
      <sz val="18"/>
      <color theme="1"/>
      <name val="Montserrat"/>
      <family val="0"/>
      <charset val="1"/>
    </font>
    <font>
      <i val="true"/>
      <sz val="9"/>
      <color theme="1"/>
      <name val="Montserrat"/>
      <family val="0"/>
      <charset val="1"/>
    </font>
    <font>
      <b val="true"/>
      <sz val="10"/>
      <color rgb="FFC0392B"/>
      <name val="Montserrat"/>
      <family val="0"/>
      <charset val="1"/>
    </font>
    <font>
      <b val="true"/>
      <sz val="10"/>
      <color theme="1"/>
      <name val="Montserrat"/>
      <family val="0"/>
      <charset val="1"/>
    </font>
    <font>
      <i val="true"/>
      <sz val="9"/>
      <color rgb="FF1A1A1A"/>
      <name val="Montserrat"/>
      <family val="0"/>
      <charset val="1"/>
    </font>
    <font>
      <b val="true"/>
      <sz val="13"/>
      <color theme="1"/>
      <name val="Montserrat"/>
      <family val="0"/>
      <charset val="1"/>
    </font>
    <font>
      <b val="true"/>
      <sz val="11"/>
      <color rgb="FF1A5276"/>
      <name val="Montserrat"/>
      <family val="0"/>
      <charset val="1"/>
    </font>
    <font>
      <b val="true"/>
      <sz val="11"/>
      <color theme="1"/>
      <name val="Montserrat"/>
      <family val="0"/>
      <charset val="1"/>
    </font>
    <font>
      <b val="true"/>
      <sz val="10"/>
      <color rgb="FF1A1A1A"/>
      <name val="Montserrat"/>
      <family val="0"/>
      <charset val="1"/>
    </font>
    <font>
      <u val="single"/>
      <sz val="10"/>
      <color rgb="FF1A1A1A"/>
      <name val="Montserrat"/>
      <family val="0"/>
      <charset val="1"/>
    </font>
    <font>
      <b val="true"/>
      <sz val="15"/>
      <color rgb="FFFFFFFF"/>
      <name val="Montserrat"/>
      <family val="0"/>
      <charset val="1"/>
    </font>
    <font>
      <b val="true"/>
      <sz val="9"/>
      <color theme="1"/>
      <name val="Montserrat"/>
      <family val="0"/>
      <charset val="1"/>
    </font>
    <font>
      <sz val="9"/>
      <color theme="1"/>
      <name val="Montserrat"/>
      <family val="0"/>
      <charset val="1"/>
    </font>
    <font>
      <u val="single"/>
      <sz val="9"/>
      <color rgb="FF0000FF"/>
      <name val="Montserrat"/>
      <family val="0"/>
      <charset val="1"/>
    </font>
    <font>
      <b val="true"/>
      <sz val="9"/>
      <color rgb="FFFFFFFF"/>
      <name val="Montserrat"/>
      <family val="0"/>
      <charset val="1"/>
    </font>
    <font>
      <sz val="12"/>
      <color rgb="FF1A5276"/>
      <name val="Montserrat"/>
      <family val="0"/>
      <charset val="1"/>
    </font>
    <font>
      <sz val="12"/>
      <color rgb="FF1A1A1A"/>
      <name val="Montserrat"/>
      <family val="0"/>
      <charset val="1"/>
    </font>
    <font>
      <b val="true"/>
      <sz val="11"/>
      <color rgb="FF27AE60"/>
      <name val="Montserrat"/>
      <family val="0"/>
      <charset val="1"/>
    </font>
    <font>
      <sz val="9"/>
      <color rgb="FF5D6D7E"/>
      <name val="Montserrat"/>
      <family val="0"/>
      <charset val="1"/>
    </font>
    <font>
      <sz val="9"/>
      <color rgb="FF1A5276"/>
      <name val="Montserrat"/>
      <family val="0"/>
      <charset val="1"/>
    </font>
    <font>
      <b val="true"/>
      <sz val="9"/>
      <color rgb="FFC0392B"/>
      <name val="Montserrat"/>
      <family val="0"/>
      <charset val="1"/>
    </font>
    <font>
      <i val="true"/>
      <sz val="9"/>
      <color rgb="FF5D6D7E"/>
      <name val="Montserrat"/>
      <family val="0"/>
      <charset val="1"/>
    </font>
    <font>
      <sz val="9"/>
      <color rgb="FF7F8C8D"/>
      <name val="Montserrat"/>
      <family val="0"/>
      <charset val="1"/>
    </font>
    <font>
      <sz val="8"/>
      <color rgb="FF555555"/>
      <name val="Montserrat"/>
      <family val="0"/>
      <charset val="1"/>
    </font>
    <font>
      <b val="true"/>
      <sz val="14"/>
      <color rgb="FFA93226"/>
      <name val="Montserrat"/>
      <family val="0"/>
      <charset val="1"/>
    </font>
    <font>
      <i val="true"/>
      <sz val="9"/>
      <color rgb="FF566573"/>
      <name val="Montserrat"/>
      <family val="0"/>
      <charset val="1"/>
    </font>
    <font>
      <i val="true"/>
      <sz val="9"/>
      <color rgb="FF34495E"/>
      <name val="Montserrat"/>
      <family val="0"/>
      <charset val="1"/>
    </font>
    <font>
      <i val="true"/>
      <sz val="9"/>
      <color rgb="FFB7950B"/>
      <name val="Montserrat"/>
      <family val="0"/>
      <charset val="1"/>
    </font>
    <font>
      <u val="single"/>
      <sz val="10"/>
      <color rgb="FF1F618D"/>
      <name val="Montserrat"/>
      <family val="0"/>
      <charset val="1"/>
    </font>
    <font>
      <sz val="10"/>
      <name val="Arial"/>
      <family val="2"/>
    </font>
    <font>
      <i val="true"/>
      <sz val="8"/>
      <color rgb="FF7F8C8D"/>
      <name val="Montserrat"/>
      <family val="0"/>
      <charset val="1"/>
    </font>
    <font>
      <b val="true"/>
      <sz val="10"/>
      <color rgb="FF1A5276"/>
      <name val="Montserrat"/>
      <family val="0"/>
      <charset val="1"/>
    </font>
    <font>
      <b val="true"/>
      <sz val="10"/>
      <color rgb="FF117A65"/>
      <name val="Montserrat"/>
      <family val="0"/>
      <charset val="1"/>
    </font>
    <font>
      <b val="true"/>
      <sz val="7"/>
      <color rgb="FFFFFFFF"/>
      <name val="Montserrat"/>
      <family val="0"/>
      <charset val="1"/>
    </font>
    <font>
      <sz val="8"/>
      <color rgb="FF1A1A1A"/>
      <name val="Montserrat"/>
      <family val="0"/>
      <charset val="1"/>
    </font>
    <font>
      <sz val="7"/>
      <color rgb="FF1A1A1A"/>
      <name val="Montserrat"/>
      <family val="0"/>
      <charset val="1"/>
    </font>
    <font>
      <b val="true"/>
      <sz val="8"/>
      <color rgb="FF1A1A1A"/>
      <name val="Montserrat"/>
      <family val="0"/>
      <charset val="1"/>
    </font>
    <font>
      <b val="true"/>
      <sz val="12"/>
      <color rgb="FF2874A6"/>
      <name val="Montserrat"/>
      <family val="0"/>
      <charset val="1"/>
    </font>
    <font>
      <b val="true"/>
      <sz val="12"/>
      <color rgb="FF196F3D"/>
      <name val="Montserrat"/>
      <family val="0"/>
      <charset val="1"/>
    </font>
    <font>
      <i val="true"/>
      <sz val="9"/>
      <color rgb="FFC0392B"/>
      <name val="Montserrat"/>
      <family val="0"/>
      <charset val="1"/>
    </font>
    <font>
      <b val="true"/>
      <sz val="14"/>
      <color rgb="FF1A5276"/>
      <name val="Montserrat"/>
      <family val="0"/>
      <charset val="1"/>
    </font>
    <font>
      <b val="true"/>
      <sz val="10"/>
      <color rgb="FF2874A6"/>
      <name val="Montserrat"/>
      <family val="0"/>
      <charset val="1"/>
    </font>
    <font>
      <b val="true"/>
      <sz val="14"/>
      <color rgb="FF2874A6"/>
      <name val="Montserrat"/>
      <family val="0"/>
      <charset val="1"/>
    </font>
    <font>
      <b val="true"/>
      <u val="single"/>
      <sz val="10"/>
      <color rgb="FF1A1A1A"/>
      <name val="Montserrat"/>
      <family val="0"/>
      <charset val="1"/>
    </font>
    <font>
      <b val="true"/>
      <sz val="10"/>
      <color rgb="FF1E8449"/>
      <name val="Montserrat"/>
      <family val="0"/>
      <charset val="1"/>
    </font>
    <font>
      <b val="true"/>
      <sz val="14"/>
      <color rgb="FF1E8449"/>
      <name val="Montserrat"/>
      <family val="0"/>
      <charset val="1"/>
    </font>
    <font>
      <u val="single"/>
      <sz val="11"/>
      <color theme="1"/>
      <name val="Montserrat"/>
      <family val="0"/>
      <charset val="1"/>
    </font>
    <font>
      <sz val="11"/>
      <color rgb="FF1A1A1A"/>
      <name val="Montserrat"/>
      <family val="0"/>
      <charset val="1"/>
    </font>
    <font>
      <b val="true"/>
      <sz val="20"/>
      <color rgb="FF1A5276"/>
      <name val="Montserrat"/>
      <family val="0"/>
      <charset val="1"/>
    </font>
    <font>
      <b val="true"/>
      <u val="single"/>
      <sz val="11"/>
      <color rgb="FF0000FF"/>
      <name val="Montserrat"/>
      <family val="0"/>
      <charset val="1"/>
    </font>
    <font>
      <sz val="10"/>
      <color theme="1"/>
      <name val="Montserrat"/>
      <family val="0"/>
      <charset val="1"/>
    </font>
    <font>
      <b val="true"/>
      <sz val="14"/>
      <color theme="1"/>
      <name val="Montserrat"/>
      <family val="0"/>
      <charset val="1"/>
    </font>
    <font>
      <b val="true"/>
      <u val="single"/>
      <sz val="10"/>
      <color rgb="FF0000FF"/>
      <name val="Montserrat"/>
      <family val="0"/>
      <charset val="1"/>
    </font>
    <font>
      <b val="true"/>
      <u val="single"/>
      <sz val="9"/>
      <color rgb="FF1A1A1A"/>
      <name val="Montserrat"/>
      <family val="0"/>
      <charset val="1"/>
    </font>
    <font>
      <b val="true"/>
      <sz val="14"/>
      <color rgb="FFC0392B"/>
      <name val="Montserrat"/>
      <family val="0"/>
      <charset val="1"/>
    </font>
  </fonts>
  <fills count="42">
    <fill>
      <patternFill patternType="none"/>
    </fill>
    <fill>
      <patternFill patternType="gray125"/>
    </fill>
    <fill>
      <patternFill patternType="solid">
        <fgColor rgb="FF1A5276"/>
        <bgColor rgb="FF1F608C"/>
      </patternFill>
    </fill>
    <fill>
      <patternFill patternType="solid">
        <fgColor rgb="FF3498DB"/>
        <bgColor rgb="FF5BABE2"/>
      </patternFill>
    </fill>
    <fill>
      <patternFill patternType="solid">
        <fgColor rgb="FFE74C3C"/>
        <bgColor rgb="FFD35400"/>
      </patternFill>
    </fill>
    <fill>
      <patternFill patternType="solid">
        <fgColor rgb="FF1EB06B"/>
        <bgColor rgb="FF1ABC9C"/>
      </patternFill>
    </fill>
    <fill>
      <patternFill patternType="solid">
        <fgColor rgb="FFF39C12"/>
        <bgColor rgb="FFE67E22"/>
      </patternFill>
    </fill>
    <fill>
      <patternFill patternType="solid">
        <fgColor rgb="FFFFFFFF"/>
        <bgColor rgb="FFFEF9E7"/>
      </patternFill>
    </fill>
    <fill>
      <patternFill patternType="solid">
        <fgColor rgb="FF16985C"/>
        <bgColor rgb="FF1E8449"/>
      </patternFill>
    </fill>
    <fill>
      <patternFill patternType="solid">
        <fgColor rgb="FFE67E22"/>
        <bgColor rgb="FFF39C12"/>
      </patternFill>
    </fill>
    <fill>
      <patternFill patternType="solid">
        <fgColor rgb="FF8E46AB"/>
        <bgColor rgb="FF9B59B6"/>
      </patternFill>
    </fill>
    <fill>
      <patternFill patternType="solid">
        <fgColor rgb="FFC0392B"/>
        <bgColor rgb="FFAC3026"/>
      </patternFill>
    </fill>
    <fill>
      <patternFill patternType="solid">
        <fgColor rgb="FF34495E"/>
        <bgColor rgb="FF303D3D"/>
      </patternFill>
    </fill>
    <fill>
      <patternFill patternType="solid">
        <fgColor rgb="FF303D3D"/>
        <bgColor rgb="FF34495E"/>
      </patternFill>
    </fill>
    <fill>
      <patternFill patternType="solid">
        <fgColor rgb="FFFCF3CF"/>
        <bgColor rgb="FFFFF9C4"/>
      </patternFill>
    </fill>
    <fill>
      <patternFill patternType="solid">
        <fgColor rgb="FF2E5A88"/>
        <bgColor rgb="FF1F608C"/>
      </patternFill>
    </fill>
    <fill>
      <patternFill patternType="solid">
        <fgColor rgb="FFEEF3F9"/>
        <bgColor rgb="FFEBF5FB"/>
      </patternFill>
    </fill>
    <fill>
      <patternFill patternType="solid">
        <fgColor rgb="FF808B96"/>
        <bgColor rgb="FF818B8D"/>
      </patternFill>
    </fill>
    <fill>
      <patternFill patternType="solid">
        <fgColor rgb="FFAB3126"/>
        <bgColor rgb="FFAC3026"/>
      </patternFill>
    </fill>
    <fill>
      <patternFill patternType="solid">
        <fgColor rgb="FF2874A6"/>
        <bgColor rgb="FF1F608C"/>
      </patternFill>
    </fill>
    <fill>
      <patternFill patternType="solid">
        <fgColor rgb="FF1E8449"/>
        <bgColor rgb="FF147B4A"/>
      </patternFill>
    </fill>
    <fill>
      <patternFill patternType="darkGray">
        <fgColor rgb="FFBC760E"/>
        <bgColor rgb="FFBA820C"/>
      </patternFill>
    </fill>
    <fill>
      <patternFill patternType="solid">
        <fgColor rgb="FFFEF9E7"/>
        <bgColor rgb="FFFEF5E7"/>
      </patternFill>
    </fill>
    <fill>
      <patternFill patternType="solid">
        <fgColor rgb="FFEBF5FB"/>
        <bgColor rgb="FFEEF3F9"/>
      </patternFill>
    </fill>
    <fill>
      <patternFill patternType="solid">
        <fgColor rgb="FFFADBD8"/>
        <bgColor rgb="FFFAE5D3"/>
      </patternFill>
    </fill>
    <fill>
      <patternFill patternType="solid">
        <fgColor rgb="FFD5F4E6"/>
        <bgColor rgb="FFD6EAF8"/>
      </patternFill>
    </fill>
    <fill>
      <patternFill patternType="solid">
        <fgColor rgb="FF9B59B6"/>
        <bgColor rgb="FF8E46AB"/>
      </patternFill>
    </fill>
    <fill>
      <patternFill patternType="solid">
        <fgColor rgb="FF1ABC9C"/>
        <bgColor rgb="FF1EB06B"/>
      </patternFill>
    </fill>
    <fill>
      <patternFill patternType="solid">
        <fgColor rgb="FFD35400"/>
        <bgColor rgb="FFE74C3C"/>
      </patternFill>
    </fill>
    <fill>
      <patternFill patternType="solid">
        <fgColor rgb="FF1F608C"/>
        <bgColor rgb="FF2E5A88"/>
      </patternFill>
    </fill>
    <fill>
      <patternFill patternType="darkGray">
        <fgColor rgb="FF59626B"/>
        <bgColor rgb="FF5D6D7E"/>
      </patternFill>
    </fill>
    <fill>
      <patternFill patternType="solid">
        <fgColor rgb="FFAC3026"/>
        <bgColor rgb="FFAB3126"/>
      </patternFill>
    </fill>
    <fill>
      <patternFill patternType="solid">
        <fgColor rgb="FF5BABE2"/>
        <bgColor rgb="FF3498DB"/>
      </patternFill>
    </fill>
    <fill>
      <patternFill patternType="solid">
        <fgColor rgb="FFFFF9C4"/>
        <bgColor rgb="FFFCF3CF"/>
      </patternFill>
    </fill>
    <fill>
      <patternFill patternType="mediumGray">
        <fgColor rgb="FFEBF5FB"/>
        <bgColor rgb="FFEEF3F9"/>
      </patternFill>
    </fill>
    <fill>
      <patternFill patternType="solid">
        <fgColor rgb="FF9B1B2F"/>
        <bgColor rgb="FFAC3026"/>
      </patternFill>
    </fill>
    <fill>
      <patternFill patternType="solid">
        <fgColor rgb="FF818B8D"/>
        <bgColor rgb="FF7F8C8D"/>
      </patternFill>
    </fill>
    <fill>
      <patternFill patternType="solid">
        <fgColor rgb="FFD5DBDB"/>
        <bgColor rgb="FFD5D8DC"/>
      </patternFill>
    </fill>
    <fill>
      <patternFill patternType="solid">
        <fgColor rgb="FFFEF5E7"/>
        <bgColor rgb="FFFEF9E7"/>
      </patternFill>
    </fill>
    <fill>
      <patternFill patternType="solid">
        <fgColor rgb="FFD6EAF8"/>
        <bgColor rgb="FFD5F4E6"/>
      </patternFill>
    </fill>
    <fill>
      <patternFill patternType="solid">
        <fgColor rgb="FFE9F7EF"/>
        <bgColor rgb="FFEBF5FB"/>
      </patternFill>
    </fill>
    <fill>
      <patternFill patternType="darkGray">
        <fgColor rgb="FF147B4A"/>
        <bgColor rgb="FF1E8449"/>
      </patternFill>
    </fill>
  </fills>
  <borders count="7">
    <border diagonalUp="false" diagonalDown="false">
      <left/>
      <right/>
      <top/>
      <bottom/>
      <diagonal/>
    </border>
    <border diagonalUp="false" diagonalDown="false">
      <left style="thin">
        <color rgb="FFD5D8DC"/>
      </left>
      <right/>
      <top style="thin">
        <color rgb="FFD5D8DC"/>
      </top>
      <bottom style="thin">
        <color rgb="FFD5D8DC"/>
      </bottom>
      <diagonal/>
    </border>
    <border diagonalUp="false" diagonalDown="false">
      <left style="thin">
        <color rgb="FFD5D8DC"/>
      </left>
      <right style="thin">
        <color rgb="FFD5D8DC"/>
      </right>
      <top style="thin">
        <color rgb="FFD5D8DC"/>
      </top>
      <bottom style="thin">
        <color rgb="FFD5D8DC"/>
      </bottom>
      <diagonal/>
    </border>
    <border diagonalUp="false" diagonalDown="false">
      <left style="thin">
        <color rgb="FFD5D8DC"/>
      </left>
      <right style="thin">
        <color rgb="FFD5D8DC"/>
      </right>
      <top style="thin">
        <color rgb="FFD5D8DC"/>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D5D8DC"/>
      </left>
      <right style="thin">
        <color rgb="FFD5D8DC"/>
      </right>
      <top/>
      <bottom style="thin">
        <color rgb="FFD5D8DC"/>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6" fontId="9" fillId="7"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7" fillId="8" borderId="0"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7" fillId="11" borderId="0" xfId="0" applyFont="true" applyBorder="true" applyAlignment="true" applyProtection="false">
      <alignment horizontal="left" vertical="center" textRotation="0" wrapText="true" indent="0" shrinkToFit="false"/>
      <protection locked="true" hidden="false"/>
    </xf>
    <xf numFmtId="164" fontId="11" fillId="12"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7" fontId="13" fillId="0"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xf numFmtId="164" fontId="7" fillId="13" borderId="0" xfId="0" applyFont="true" applyBorder="true" applyAlignment="true" applyProtection="false">
      <alignment horizontal="left" vertical="center" textRotation="0" wrapText="true" indent="0" shrinkToFit="false"/>
      <protection locked="true" hidden="false"/>
    </xf>
    <xf numFmtId="164" fontId="15" fillId="0" borderId="2"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16" fillId="14" borderId="0" xfId="0" applyFont="true" applyBorder="true" applyAlignment="true" applyProtection="false">
      <alignment horizontal="center" vertical="center" textRotation="0" wrapText="true" indent="0" shrinkToFit="false"/>
      <protection locked="true" hidden="false"/>
    </xf>
    <xf numFmtId="164" fontId="17" fillId="15"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64" fontId="19" fillId="2" borderId="0" xfId="0" applyFont="true" applyBorder="true" applyAlignment="true" applyProtection="false">
      <alignment horizontal="general" vertical="center" textRotation="0" wrapText="false" indent="0" shrinkToFit="false"/>
      <protection locked="true" hidden="false"/>
    </xf>
    <xf numFmtId="164" fontId="8" fillId="15" borderId="2" xfId="0" applyFont="true" applyBorder="true" applyAlignment="true" applyProtection="false">
      <alignment horizontal="center" vertical="center" textRotation="0" wrapText="true" indent="0" shrinkToFit="false"/>
      <protection locked="true" hidden="false"/>
    </xf>
    <xf numFmtId="164" fontId="20" fillId="0" borderId="2" xfId="0" applyFont="true" applyBorder="true" applyAlignment="true" applyProtection="false">
      <alignment horizontal="general" vertical="center" textRotation="0" wrapText="true" indent="0" shrinkToFit="false"/>
      <protection locked="true" hidden="false"/>
    </xf>
    <xf numFmtId="164" fontId="21" fillId="0" borderId="2" xfId="0" applyFont="true" applyBorder="true" applyAlignment="true" applyProtection="false">
      <alignment horizontal="general" vertical="center" textRotation="0" wrapText="true" indent="0" shrinkToFit="false"/>
      <protection locked="true" hidden="false"/>
    </xf>
    <xf numFmtId="164" fontId="22" fillId="0" borderId="2" xfId="0" applyFont="true" applyBorder="true" applyAlignment="true" applyProtection="false">
      <alignment horizontal="general" vertical="center" textRotation="0" wrapText="true" indent="0" shrinkToFit="false"/>
      <protection locked="true" hidden="false"/>
    </xf>
    <xf numFmtId="164" fontId="23" fillId="16" borderId="2" xfId="0" applyFont="true" applyBorder="true" applyAlignment="true" applyProtection="false">
      <alignment horizontal="general" vertical="center" textRotation="0" wrapText="true" indent="0" shrinkToFit="false"/>
      <protection locked="true" hidden="false"/>
    </xf>
    <xf numFmtId="164" fontId="21" fillId="16" borderId="2" xfId="0" applyFont="true" applyBorder="true" applyAlignment="true" applyProtection="false">
      <alignment horizontal="general" vertical="center" textRotation="0" wrapText="true" indent="0" shrinkToFit="false"/>
      <protection locked="true" hidden="false"/>
    </xf>
    <xf numFmtId="164" fontId="22" fillId="16" borderId="2" xfId="0" applyFont="true" applyBorder="true" applyAlignment="true" applyProtection="false">
      <alignment horizontal="general" vertical="center" textRotation="0" wrapText="true" indent="0" shrinkToFit="false"/>
      <protection locked="true" hidden="false"/>
    </xf>
    <xf numFmtId="164" fontId="24" fillId="0" borderId="2" xfId="0" applyFont="true" applyBorder="true" applyAlignment="true" applyProtection="false">
      <alignment horizontal="general" vertical="center" textRotation="0" wrapText="true" indent="0" shrinkToFit="false"/>
      <protection locked="true" hidden="false"/>
    </xf>
    <xf numFmtId="164" fontId="25" fillId="16" borderId="2" xfId="0" applyFont="true" applyBorder="true" applyAlignment="true" applyProtection="false">
      <alignment horizontal="general" vertical="center" textRotation="0" wrapText="true" indent="0" shrinkToFit="false"/>
      <protection locked="true" hidden="false"/>
    </xf>
    <xf numFmtId="164" fontId="26" fillId="0" borderId="2" xfId="0" applyFont="true" applyBorder="true" applyAlignment="true" applyProtection="false">
      <alignment horizontal="general" vertical="center" textRotation="0" wrapText="true" indent="0" shrinkToFit="false"/>
      <protection locked="true" hidden="false"/>
    </xf>
    <xf numFmtId="164" fontId="27" fillId="0" borderId="2" xfId="0" applyFont="true" applyBorder="true" applyAlignment="true" applyProtection="false">
      <alignment horizontal="general" vertical="center" textRotation="0" wrapText="true" indent="0" shrinkToFit="false"/>
      <protection locked="true" hidden="false"/>
    </xf>
    <xf numFmtId="164" fontId="27" fillId="16" borderId="2"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21" fillId="0" borderId="2" xfId="0" applyFont="true" applyBorder="true" applyAlignment="true" applyProtection="false">
      <alignment horizontal="center" vertical="center" textRotation="0" wrapText="true" indent="0" shrinkToFit="false"/>
      <protection locked="true" hidden="false"/>
    </xf>
    <xf numFmtId="164" fontId="28" fillId="0" borderId="2" xfId="0" applyFont="true" applyBorder="true" applyAlignment="true" applyProtection="false">
      <alignment horizontal="general" vertical="center" textRotation="0" wrapText="true" indent="0" shrinkToFit="false"/>
      <protection locked="true" hidden="false"/>
    </xf>
    <xf numFmtId="164" fontId="21" fillId="16" borderId="2" xfId="0" applyFont="true" applyBorder="true" applyAlignment="true" applyProtection="false">
      <alignment horizontal="center" vertical="center" textRotation="0" wrapText="true" indent="0" shrinkToFit="false"/>
      <protection locked="true" hidden="false"/>
    </xf>
    <xf numFmtId="164" fontId="28" fillId="16" borderId="2" xfId="0" applyFont="true" applyBorder="true" applyAlignment="true" applyProtection="false">
      <alignment horizontal="general" vertical="center" textRotation="0" wrapText="true" indent="0" shrinkToFit="false"/>
      <protection locked="true" hidden="false"/>
    </xf>
    <xf numFmtId="164" fontId="29" fillId="0" borderId="0" xfId="0" applyFont="true" applyBorder="true" applyAlignment="true" applyProtection="false">
      <alignment horizontal="general" vertical="center" textRotation="0" wrapText="true" indent="0" shrinkToFit="false"/>
      <protection locked="true" hidden="false"/>
    </xf>
    <xf numFmtId="164" fontId="8" fillId="17" borderId="2" xfId="0" applyFont="true" applyBorder="true" applyAlignment="true" applyProtection="false">
      <alignment horizontal="general" vertical="center" textRotation="0" wrapText="false" indent="0" shrinkToFit="false"/>
      <protection locked="true" hidden="false"/>
    </xf>
    <xf numFmtId="164" fontId="30" fillId="0" borderId="2" xfId="0" applyFont="true" applyBorder="true" applyAlignment="true" applyProtection="false">
      <alignment horizontal="general" vertical="center" textRotation="0" wrapText="true" indent="0" shrinkToFit="false"/>
      <protection locked="true" hidden="false"/>
    </xf>
    <xf numFmtId="164" fontId="30" fillId="16" borderId="2" xfId="0" applyFont="true" applyBorder="true" applyAlignment="true" applyProtection="false">
      <alignment horizontal="general" vertical="center" textRotation="0" wrapText="true" indent="0" shrinkToFit="false"/>
      <protection locked="true" hidden="false"/>
    </xf>
    <xf numFmtId="164" fontId="8" fillId="18" borderId="2" xfId="0" applyFont="true" applyBorder="true" applyAlignment="true" applyProtection="false">
      <alignment horizontal="general" vertical="center" textRotation="0" wrapText="false" indent="0" shrinkToFit="false"/>
      <protection locked="true" hidden="false"/>
    </xf>
    <xf numFmtId="164" fontId="31" fillId="0" borderId="2" xfId="0" applyFont="true" applyBorder="true" applyAlignment="true" applyProtection="false">
      <alignment horizontal="general" vertical="center" textRotation="0" wrapText="true" indent="0" shrinkToFit="false"/>
      <protection locked="true" hidden="false"/>
    </xf>
    <xf numFmtId="164" fontId="31" fillId="16" borderId="2" xfId="0" applyFont="true" applyBorder="true" applyAlignment="true" applyProtection="false">
      <alignment horizontal="general" vertical="center" textRotation="0" wrapText="true" indent="0" shrinkToFit="false"/>
      <protection locked="true" hidden="false"/>
    </xf>
    <xf numFmtId="164" fontId="8" fillId="19" borderId="2" xfId="0" applyFont="true" applyBorder="true" applyAlignment="true" applyProtection="false">
      <alignment horizontal="general" vertical="center" textRotation="0" wrapText="false" indent="0" shrinkToFit="false"/>
      <protection locked="true" hidden="false"/>
    </xf>
    <xf numFmtId="164" fontId="32" fillId="0" borderId="2" xfId="0" applyFont="true" applyBorder="true" applyAlignment="true" applyProtection="false">
      <alignment horizontal="general" vertical="center" textRotation="0" wrapText="true" indent="0" shrinkToFit="false"/>
      <protection locked="true" hidden="false"/>
    </xf>
    <xf numFmtId="164" fontId="32" fillId="16" borderId="2" xfId="0" applyFont="true" applyBorder="true" applyAlignment="true" applyProtection="false">
      <alignment horizontal="general" vertical="center" textRotation="0" wrapText="true" indent="0" shrinkToFit="false"/>
      <protection locked="true" hidden="false"/>
    </xf>
    <xf numFmtId="164" fontId="8" fillId="20" borderId="2" xfId="0" applyFont="true" applyBorder="true" applyAlignment="true" applyProtection="false">
      <alignment horizontal="general" vertical="center" textRotation="0" wrapText="false" indent="0" shrinkToFit="false"/>
      <protection locked="true" hidden="false"/>
    </xf>
    <xf numFmtId="164" fontId="33" fillId="0" borderId="2" xfId="0" applyFont="true" applyBorder="true" applyAlignment="true" applyProtection="false">
      <alignment horizontal="general" vertical="center" textRotation="0" wrapText="true" indent="0" shrinkToFit="false"/>
      <protection locked="true" hidden="false"/>
    </xf>
    <xf numFmtId="164" fontId="33" fillId="16" borderId="2" xfId="0" applyFont="true" applyBorder="true" applyAlignment="true" applyProtection="false">
      <alignment horizontal="general" vertical="center" textRotation="0" wrapText="true" indent="0" shrinkToFit="false"/>
      <protection locked="true" hidden="false"/>
    </xf>
    <xf numFmtId="164" fontId="8" fillId="21" borderId="2" xfId="0" applyFont="true" applyBorder="true" applyAlignment="true" applyProtection="false">
      <alignment horizontal="general" vertical="center" textRotation="0" wrapText="false" indent="0" shrinkToFit="false"/>
      <protection locked="true" hidden="false"/>
    </xf>
    <xf numFmtId="164" fontId="34" fillId="0" borderId="2" xfId="0" applyFont="true" applyBorder="true" applyAlignment="true" applyProtection="false">
      <alignment horizontal="general" vertical="center" textRotation="0" wrapText="true" indent="0" shrinkToFit="false"/>
      <protection locked="true" hidden="false"/>
    </xf>
    <xf numFmtId="164" fontId="34" fillId="16" borderId="2" xfId="0" applyFont="true" applyBorder="true" applyAlignment="true" applyProtection="false">
      <alignment horizontal="general" vertical="center" textRotation="0" wrapText="tru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4" fontId="35" fillId="5"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center" vertical="center" textRotation="0" wrapText="true" indent="0" shrinkToFit="false"/>
      <protection locked="true" hidden="false"/>
    </xf>
    <xf numFmtId="164" fontId="37" fillId="0" borderId="0" xfId="0" applyFont="true" applyBorder="false" applyAlignment="true" applyProtection="false">
      <alignment horizontal="center" vertical="center" textRotation="0" wrapText="true" indent="0" shrinkToFit="false"/>
      <protection locked="true" hidden="false"/>
    </xf>
    <xf numFmtId="164" fontId="38" fillId="0" borderId="0" xfId="0" applyFont="true" applyBorder="true" applyAlignment="true" applyProtection="false">
      <alignment horizontal="left" vertical="center" textRotation="0" wrapText="true" indent="0" shrinkToFit="false"/>
      <protection locked="true" hidden="false"/>
    </xf>
    <xf numFmtId="164" fontId="39" fillId="0" borderId="0" xfId="0" applyFont="true" applyBorder="false" applyAlignment="true" applyProtection="false">
      <alignment horizontal="center" vertical="center" textRotation="0" wrapText="true" indent="0" shrinkToFit="false"/>
      <protection locked="true" hidden="false"/>
    </xf>
    <xf numFmtId="164" fontId="40" fillId="22" borderId="0" xfId="0" applyFont="true" applyBorder="true" applyAlignment="true" applyProtection="false">
      <alignment horizontal="left" vertical="center" textRotation="0" wrapText="true" indent="0" shrinkToFit="false"/>
      <protection locked="true" hidden="false"/>
    </xf>
    <xf numFmtId="164" fontId="37" fillId="0" borderId="0" xfId="0" applyFont="true" applyBorder="false" applyAlignment="true" applyProtection="false">
      <alignment horizontal="left" vertical="center" textRotation="0" wrapText="true" indent="0" shrinkToFit="false"/>
      <protection locked="true" hidden="false"/>
    </xf>
    <xf numFmtId="164" fontId="7" fillId="13" borderId="0" xfId="0" applyFont="true" applyBorder="true" applyAlignment="true" applyProtection="false">
      <alignment horizontal="left" vertical="center" textRotation="0" wrapText="false" indent="0" shrinkToFit="false"/>
      <protection locked="tru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64" fontId="42" fillId="0" borderId="0" xfId="0" applyFont="true" applyBorder="true" applyAlignment="true" applyProtection="false">
      <alignment horizontal="left" vertical="center" textRotation="0" wrapText="true" indent="0" shrinkToFit="false"/>
      <protection locked="true" hidden="false"/>
    </xf>
    <xf numFmtId="164" fontId="43" fillId="0" borderId="0" xfId="0" applyFont="true" applyBorder="false" applyAlignment="true" applyProtection="false">
      <alignment horizontal="center" vertical="center" textRotation="0" wrapText="true" indent="0" shrinkToFit="false"/>
      <protection locked="true" hidden="false"/>
    </xf>
    <xf numFmtId="164" fontId="19" fillId="3" borderId="0"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44" fillId="23" borderId="2" xfId="0" applyFont="true" applyBorder="true" applyAlignment="true" applyProtection="false">
      <alignment horizontal="left" vertical="center" textRotation="0" wrapText="true" indent="0" shrinkToFit="false"/>
      <protection locked="true" hidden="false"/>
    </xf>
    <xf numFmtId="164" fontId="45" fillId="0" borderId="2"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2" fillId="24" borderId="2" xfId="0" applyFont="true" applyBorder="true" applyAlignment="true" applyProtection="false">
      <alignment horizontal="left" vertical="center" textRotation="0" wrapText="true" indent="0" shrinkToFit="false"/>
      <protection locked="true" hidden="false"/>
    </xf>
    <xf numFmtId="164" fontId="19" fillId="6" borderId="0" xfId="0" applyFont="true" applyBorder="true" applyAlignment="true" applyProtection="false">
      <alignment horizontal="left" vertical="center" textRotation="0" wrapText="true" indent="0" shrinkToFit="false"/>
      <protection locked="true" hidden="false"/>
    </xf>
    <xf numFmtId="164" fontId="11" fillId="6" borderId="2"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9" fillId="8" borderId="0" xfId="0" applyFont="true" applyBorder="true" applyAlignment="true" applyProtection="false">
      <alignment horizontal="left" vertical="center" textRotation="0" wrapText="true" indent="0" shrinkToFit="false"/>
      <protection locked="true" hidden="false"/>
    </xf>
    <xf numFmtId="164" fontId="11" fillId="8" borderId="2"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9" fillId="4" borderId="0" xfId="0" applyFont="true" applyBorder="true" applyAlignment="true" applyProtection="false">
      <alignment horizontal="left"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25" borderId="1" xfId="0" applyFont="true" applyBorder="true" applyAlignment="true" applyProtection="false">
      <alignment horizontal="left" vertical="center" textRotation="0" wrapText="true" indent="0" shrinkToFit="false"/>
      <protection locked="true" hidden="false"/>
    </xf>
    <xf numFmtId="164" fontId="19" fillId="11" borderId="0" xfId="0" applyFont="true" applyBorder="true" applyAlignment="true" applyProtection="false">
      <alignment horizontal="left" vertical="center" textRotation="0" wrapText="true" indent="0" shrinkToFit="false"/>
      <protection locked="true" hidden="false"/>
    </xf>
    <xf numFmtId="164" fontId="11" fillId="11" borderId="2"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19" fillId="10" borderId="0" xfId="0" applyFont="true" applyBorder="true" applyAlignment="true" applyProtection="false">
      <alignment horizontal="left" vertical="center" textRotation="0" wrapText="true" indent="0" shrinkToFit="false"/>
      <protection locked="true" hidden="false"/>
    </xf>
    <xf numFmtId="164" fontId="11" fillId="10" borderId="2"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19" fillId="26" borderId="0" xfId="0" applyFont="true" applyBorder="true" applyAlignment="true" applyProtection="false">
      <alignment horizontal="left" vertical="center" textRotation="0" wrapText="true" indent="0" shrinkToFit="false"/>
      <protection locked="true" hidden="false"/>
    </xf>
    <xf numFmtId="164" fontId="11" fillId="26" borderId="2" xfId="0" applyFont="true" applyBorder="true" applyAlignment="true" applyProtection="false">
      <alignment horizontal="center" vertical="center" textRotation="0" wrapText="true" indent="0" shrinkToFit="false"/>
      <protection locked="true" hidden="false"/>
    </xf>
    <xf numFmtId="164" fontId="11" fillId="26" borderId="1" xfId="0" applyFont="true" applyBorder="true" applyAlignment="true" applyProtection="false">
      <alignment horizontal="center" vertical="center" textRotation="0" wrapText="true" indent="0" shrinkToFit="false"/>
      <protection locked="true" hidden="false"/>
    </xf>
    <xf numFmtId="164" fontId="19" fillId="27" borderId="0" xfId="0" applyFont="true" applyBorder="true" applyAlignment="true" applyProtection="false">
      <alignment horizontal="left" vertical="center" textRotation="0" wrapText="true" indent="0" shrinkToFit="false"/>
      <protection locked="true" hidden="false"/>
    </xf>
    <xf numFmtId="164" fontId="11" fillId="27" borderId="2" xfId="0" applyFont="true" applyBorder="true" applyAlignment="true" applyProtection="false">
      <alignment horizontal="center" vertical="center" textRotation="0" wrapText="true" indent="0" shrinkToFit="false"/>
      <protection locked="true" hidden="false"/>
    </xf>
    <xf numFmtId="164" fontId="11" fillId="27" borderId="1" xfId="0" applyFont="true" applyBorder="true" applyAlignment="true" applyProtection="false">
      <alignment horizontal="center" vertical="center" textRotation="0" wrapText="true" indent="0" shrinkToFit="false"/>
      <protection locked="true" hidden="false"/>
    </xf>
    <xf numFmtId="164" fontId="19" fillId="28" borderId="0" xfId="0" applyFont="true" applyBorder="true" applyAlignment="true" applyProtection="false">
      <alignment horizontal="left" vertical="center" textRotation="0" wrapText="true" indent="0" shrinkToFit="false"/>
      <protection locked="true" hidden="false"/>
    </xf>
    <xf numFmtId="164" fontId="11" fillId="28" borderId="2" xfId="0" applyFont="true" applyBorder="true" applyAlignment="true" applyProtection="false">
      <alignment horizontal="center" vertical="center" textRotation="0" wrapText="true" indent="0" shrinkToFit="false"/>
      <protection locked="true" hidden="false"/>
    </xf>
    <xf numFmtId="164" fontId="11" fillId="28" borderId="1" xfId="0" applyFont="true" applyBorder="true" applyAlignment="true" applyProtection="false">
      <alignment horizontal="center" vertical="center" textRotation="0" wrapText="true" indent="0" shrinkToFit="false"/>
      <protection locked="true" hidden="false"/>
    </xf>
    <xf numFmtId="164" fontId="19" fillId="5" borderId="0" xfId="0" applyFont="true" applyBorder="true" applyAlignment="true" applyProtection="false">
      <alignment horizontal="left" vertical="center" textRotation="0" wrapText="true" indent="0" shrinkToFit="false"/>
      <protection locked="true" hidden="false"/>
    </xf>
    <xf numFmtId="164" fontId="11" fillId="5" borderId="2"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46" fillId="29" borderId="0" xfId="0" applyFont="true" applyBorder="true" applyAlignment="true" applyProtection="false">
      <alignment horizontal="center" vertical="center" textRotation="0" wrapText="true" indent="0" shrinkToFit="false"/>
      <protection locked="true" hidden="false"/>
    </xf>
    <xf numFmtId="164" fontId="8" fillId="29" borderId="2"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general" vertical="center" textRotation="0" wrapText="false" indent="0" shrinkToFit="false"/>
      <protection locked="true" hidden="false"/>
    </xf>
    <xf numFmtId="164" fontId="8" fillId="30" borderId="2" xfId="0" applyFont="true" applyBorder="true" applyAlignment="true" applyProtection="false">
      <alignment horizontal="general" vertical="center" textRotation="0" wrapText="false" indent="0" shrinkToFit="false"/>
      <protection locked="true" hidden="false"/>
    </xf>
    <xf numFmtId="164" fontId="47" fillId="0" borderId="2" xfId="0" applyFont="true" applyBorder="true" applyAlignment="true" applyProtection="false">
      <alignment horizontal="center" vertical="center" textRotation="0" wrapText="true" indent="0" shrinkToFit="false"/>
      <protection locked="true" hidden="false"/>
    </xf>
    <xf numFmtId="164" fontId="48" fillId="0" borderId="2" xfId="0" applyFont="true" applyBorder="true" applyAlignment="true" applyProtection="false">
      <alignment horizontal="general" vertical="center" textRotation="0" wrapText="true" indent="0" shrinkToFit="false"/>
      <protection locked="true" hidden="false"/>
    </xf>
    <xf numFmtId="164" fontId="49" fillId="0" borderId="2" xfId="0" applyFont="true" applyBorder="true" applyAlignment="true" applyProtection="false">
      <alignment horizontal="center" vertical="center" textRotation="0" wrapText="true" indent="0" shrinkToFit="false"/>
      <protection locked="true" hidden="false"/>
    </xf>
    <xf numFmtId="164" fontId="48" fillId="0" borderId="2" xfId="0" applyFont="true" applyBorder="true" applyAlignment="true" applyProtection="false">
      <alignment horizontal="center" vertical="center" textRotation="0" wrapText="true" indent="0" shrinkToFit="false"/>
      <protection locked="true" hidden="false"/>
    </xf>
    <xf numFmtId="164" fontId="47" fillId="22" borderId="2" xfId="0" applyFont="true" applyBorder="true" applyAlignment="true" applyProtection="false">
      <alignment horizontal="center" vertical="center" textRotation="0" wrapText="true" indent="0" shrinkToFit="false"/>
      <protection locked="true" hidden="false"/>
    </xf>
    <xf numFmtId="164" fontId="48" fillId="22" borderId="2" xfId="0" applyFont="true" applyBorder="true" applyAlignment="true" applyProtection="false">
      <alignment horizontal="general" vertical="center" textRotation="0" wrapText="true" indent="0" shrinkToFit="false"/>
      <protection locked="true" hidden="false"/>
    </xf>
    <xf numFmtId="164" fontId="48" fillId="22" borderId="2" xfId="0" applyFont="true" applyBorder="true" applyAlignment="true" applyProtection="false">
      <alignment horizontal="center" vertical="center" textRotation="0" wrapText="true" indent="0" shrinkToFit="false"/>
      <protection locked="true" hidden="false"/>
    </xf>
    <xf numFmtId="164" fontId="49" fillId="22" borderId="2" xfId="0" applyFont="true" applyBorder="true" applyAlignment="true" applyProtection="false">
      <alignment horizontal="center" vertical="center" textRotation="0" wrapText="true" indent="0" shrinkToFit="false"/>
      <protection locked="true" hidden="false"/>
    </xf>
    <xf numFmtId="164" fontId="35" fillId="31" borderId="0" xfId="0" applyFont="true" applyBorder="true" applyAlignment="true" applyProtection="false">
      <alignment horizontal="center" vertical="center" textRotation="0" wrapText="true" indent="0" shrinkToFit="false"/>
      <protection locked="true" hidden="false"/>
    </xf>
    <xf numFmtId="164" fontId="40" fillId="0" borderId="0" xfId="0" applyFont="true" applyBorder="true" applyAlignment="true" applyProtection="false">
      <alignment horizontal="left" vertical="center" textRotation="0" wrapText="true" indent="0" shrinkToFit="false"/>
      <protection locked="true" hidden="false"/>
    </xf>
    <xf numFmtId="164" fontId="11" fillId="30" borderId="2"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21" fillId="0" borderId="2" xfId="0" applyFont="true" applyBorder="true" applyAlignment="true" applyProtection="false">
      <alignment horizontal="general" vertical="center" textRotation="0" wrapText="false" indent="0" shrinkToFit="false"/>
      <protection locked="true" hidden="false"/>
    </xf>
    <xf numFmtId="164" fontId="11" fillId="30" borderId="0" xfId="0" applyFont="true" applyBorder="true" applyAlignment="true" applyProtection="false">
      <alignment horizontal="general" vertical="center" textRotation="0" wrapText="false" indent="0" shrinkToFit="false"/>
      <protection locked="true" hidden="false"/>
    </xf>
    <xf numFmtId="164" fontId="12" fillId="0" borderId="2" xfId="0" applyFont="true" applyBorder="true" applyAlignment="true" applyProtection="false">
      <alignment horizontal="general" vertical="center" textRotation="0" wrapText="false" indent="0" shrinkToFit="false"/>
      <protection locked="true" hidden="false"/>
    </xf>
    <xf numFmtId="164" fontId="35" fillId="11"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50" fillId="31" borderId="2" xfId="0" applyFont="true" applyBorder="true" applyAlignment="true" applyProtection="false">
      <alignment horizontal="center" vertical="center" textRotation="0" wrapText="true" indent="0" shrinkToFit="false"/>
      <protection locked="true" hidden="false"/>
    </xf>
    <xf numFmtId="164" fontId="11" fillId="3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38" fillId="0" borderId="2" xfId="0" applyFont="true" applyBorder="true" applyAlignment="true" applyProtection="false">
      <alignment horizontal="left" vertical="center" textRotation="0" wrapText="true" indent="0" shrinkToFit="false"/>
      <protection locked="true" hidden="false"/>
    </xf>
    <xf numFmtId="164" fontId="51" fillId="14"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8" fontId="51" fillId="14" borderId="2" xfId="0" applyFont="true" applyBorder="true" applyAlignment="true" applyProtection="false">
      <alignment horizontal="center" vertical="center" textRotation="0" wrapText="true" indent="0" shrinkToFit="false"/>
      <protection locked="true" hidden="false"/>
    </xf>
    <xf numFmtId="164" fontId="52" fillId="33" borderId="0" xfId="0" applyFont="true" applyBorder="false" applyAlignment="true" applyProtection="false">
      <alignment horizontal="center" vertical="center" textRotation="0" wrapText="false" indent="0" shrinkToFit="false"/>
      <protection locked="true" hidden="false"/>
    </xf>
    <xf numFmtId="164" fontId="38" fillId="0" borderId="2" xfId="0" applyFont="true" applyBorder="true" applyAlignment="true" applyProtection="false">
      <alignment horizontal="general"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true" indent="0" shrinkToFit="false"/>
      <protection locked="true" hidden="false"/>
    </xf>
    <xf numFmtId="169" fontId="51" fillId="14" borderId="2" xfId="0" applyFont="true" applyBorder="true" applyAlignment="true" applyProtection="false">
      <alignment horizontal="center" vertical="center" textRotation="0" wrapText="true" indent="0" shrinkToFit="false"/>
      <protection locked="true" hidden="false"/>
    </xf>
    <xf numFmtId="164" fontId="35" fillId="10" borderId="0" xfId="0" applyFont="true" applyBorder="true" applyAlignment="true" applyProtection="false">
      <alignment horizontal="center" vertical="center" textRotation="0" wrapText="true" indent="0" shrinkToFit="false"/>
      <protection locked="true" hidden="false"/>
    </xf>
    <xf numFmtId="164" fontId="11" fillId="32" borderId="1" xfId="0" applyFont="true" applyBorder="true" applyAlignment="true" applyProtection="false">
      <alignment horizontal="left" vertical="center" textRotation="0" wrapText="true" indent="0" shrinkToFit="false"/>
      <protection locked="true" hidden="false"/>
    </xf>
    <xf numFmtId="164" fontId="53" fillId="25" borderId="2" xfId="0" applyFont="true" applyBorder="true" applyAlignment="true" applyProtection="false">
      <alignment horizontal="center" vertical="center" textRotation="0" wrapText="true" indent="0" shrinkToFit="false"/>
      <protection locked="true" hidden="false"/>
    </xf>
    <xf numFmtId="164" fontId="54" fillId="0" borderId="2" xfId="0" applyFont="true" applyBorder="true" applyAlignment="true" applyProtection="false">
      <alignment horizontal="left" vertical="center" textRotation="0" wrapText="true" indent="0" shrinkToFit="false"/>
      <protection locked="true" hidden="false"/>
    </xf>
    <xf numFmtId="164" fontId="55" fillId="0" borderId="2" xfId="0" applyFont="true" applyBorder="true" applyAlignment="true" applyProtection="false">
      <alignment horizontal="left" vertical="center" textRotation="0" wrapText="true" indent="0" shrinkToFit="false"/>
      <protection locked="true" hidden="false"/>
    </xf>
    <xf numFmtId="164" fontId="56" fillId="14" borderId="2" xfId="0" applyFont="true" applyBorder="true" applyAlignment="true" applyProtection="false">
      <alignment horizontal="center" vertical="center" textRotation="0" wrapText="true" indent="0" shrinkToFit="false"/>
      <protection locked="true" hidden="false"/>
    </xf>
    <xf numFmtId="164" fontId="57" fillId="23" borderId="2" xfId="0" applyFont="true" applyBorder="true" applyAlignment="true" applyProtection="false">
      <alignment horizontal="center" vertical="center" textRotation="0" wrapText="true" indent="0" shrinkToFit="false"/>
      <protection locked="true" hidden="false"/>
    </xf>
    <xf numFmtId="164" fontId="57" fillId="0" borderId="0" xfId="0" applyFont="true" applyBorder="true" applyAlignment="true" applyProtection="false">
      <alignment horizontal="left" vertical="center" textRotation="0" wrapText="true" indent="0" shrinkToFit="false"/>
      <protection locked="true" hidden="false"/>
    </xf>
    <xf numFmtId="164" fontId="7" fillId="31"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58" fillId="0" borderId="2" xfId="0" applyFont="true" applyBorder="true" applyAlignment="true" applyProtection="false">
      <alignment horizontal="general" vertical="center" textRotation="0" wrapText="false" indent="0" shrinkToFit="false"/>
      <protection locked="true" hidden="false"/>
    </xf>
    <xf numFmtId="164" fontId="21" fillId="33" borderId="2" xfId="0" applyFont="true" applyBorder="true" applyAlignment="true" applyProtection="false">
      <alignment horizontal="general" vertical="center" textRotation="0" wrapText="true" indent="0" shrinkToFit="false"/>
      <protection locked="true" hidden="false"/>
    </xf>
    <xf numFmtId="164" fontId="57" fillId="0" borderId="2" xfId="0" applyFont="true" applyBorder="true" applyAlignment="true" applyProtection="false">
      <alignment horizontal="general" vertical="center" textRotation="0" wrapText="true" indent="0" shrinkToFit="false"/>
      <protection locked="true" hidden="false"/>
    </xf>
    <xf numFmtId="164" fontId="59" fillId="34" borderId="0" xfId="0" applyFont="true" applyBorder="false" applyAlignment="true" applyProtection="false">
      <alignment horizontal="general" vertical="center" textRotation="0" wrapText="true" indent="0" shrinkToFit="false"/>
      <protection locked="true" hidden="false"/>
    </xf>
    <xf numFmtId="164" fontId="60" fillId="0" borderId="0" xfId="0" applyFont="true" applyBorder="true" applyAlignment="true" applyProtection="false">
      <alignment horizontal="general" vertical="center" textRotation="0" wrapText="false" indent="0" shrinkToFit="false"/>
      <protection locked="true" hidden="false"/>
    </xf>
    <xf numFmtId="164" fontId="61" fillId="0" borderId="0" xfId="0" applyFont="true" applyBorder="true" applyAlignment="true" applyProtection="false">
      <alignment horizontal="left" vertical="center" textRotation="0" wrapText="true" indent="0" shrinkToFit="false"/>
      <protection locked="true" hidden="false"/>
    </xf>
    <xf numFmtId="164" fontId="8" fillId="31" borderId="2" xfId="0" applyFont="true" applyBorder="true" applyAlignment="true" applyProtection="false">
      <alignment horizontal="general" vertical="center" textRotation="0" wrapText="true" indent="0" shrinkToFit="false"/>
      <protection locked="true" hidden="false"/>
    </xf>
    <xf numFmtId="164" fontId="23" fillId="24" borderId="2" xfId="0" applyFont="true" applyBorder="true" applyAlignment="true" applyProtection="false">
      <alignment horizontal="left" vertical="center" textRotation="0" wrapText="true" indent="0" shrinkToFit="false"/>
      <protection locked="true" hidden="false"/>
    </xf>
    <xf numFmtId="164" fontId="23" fillId="0" borderId="2" xfId="0" applyFont="true" applyBorder="true" applyAlignment="true" applyProtection="false">
      <alignment horizontal="center" vertical="center" textRotation="0" wrapText="false" indent="0" shrinkToFit="false"/>
      <protection locked="true" hidden="false"/>
    </xf>
    <xf numFmtId="164" fontId="21" fillId="0" borderId="2" xfId="0" applyFont="true" applyBorder="true" applyAlignment="true" applyProtection="false">
      <alignment horizontal="left" vertical="center" textRotation="0" wrapText="true" indent="0" shrinkToFit="false"/>
      <protection locked="true" hidden="false"/>
    </xf>
    <xf numFmtId="164" fontId="22" fillId="0" borderId="2" xfId="0" applyFont="true" applyBorder="true" applyAlignment="true" applyProtection="false">
      <alignment horizontal="left" vertical="center" textRotation="0" wrapText="true" indent="0" shrinkToFit="false"/>
      <protection locked="true" hidden="false"/>
    </xf>
    <xf numFmtId="164" fontId="17" fillId="35" borderId="0" xfId="0" applyFont="true" applyBorder="true" applyAlignment="true" applyProtection="false">
      <alignment horizontal="center" vertical="center" textRotation="0" wrapText="false" indent="0" shrinkToFit="false"/>
      <protection locked="true" hidden="false"/>
    </xf>
    <xf numFmtId="164" fontId="8" fillId="18" borderId="2" xfId="0" applyFont="true" applyBorder="true" applyAlignment="true" applyProtection="false">
      <alignment horizontal="center" vertical="center" textRotation="0" wrapText="true" indent="0" shrinkToFit="false"/>
      <protection locked="true" hidden="false"/>
    </xf>
    <xf numFmtId="164" fontId="47" fillId="0" borderId="2" xfId="0" applyFont="true" applyBorder="true" applyAlignment="true" applyProtection="false">
      <alignment horizontal="center" vertical="center" textRotation="0" wrapText="false" indent="0" shrinkToFit="false"/>
      <protection locked="true" hidden="false"/>
    </xf>
    <xf numFmtId="167" fontId="48" fillId="33" borderId="2" xfId="0" applyFont="true" applyBorder="true" applyAlignment="true" applyProtection="false">
      <alignment horizontal="center" vertical="center" textRotation="0" wrapText="false" indent="0" shrinkToFit="false"/>
      <protection locked="true" hidden="false"/>
    </xf>
    <xf numFmtId="164" fontId="48" fillId="0" borderId="2" xfId="0" applyFont="true" applyBorder="true" applyAlignment="true" applyProtection="false">
      <alignment horizontal="center" vertical="center" textRotation="0" wrapText="false" indent="0" shrinkToFit="false"/>
      <protection locked="true" hidden="false"/>
    </xf>
    <xf numFmtId="164" fontId="49" fillId="0" borderId="2" xfId="0" applyFont="true" applyBorder="true" applyAlignment="true" applyProtection="false">
      <alignment horizontal="center" vertical="center" textRotation="0" wrapText="false" indent="0" shrinkToFit="false"/>
      <protection locked="true" hidden="false"/>
    </xf>
    <xf numFmtId="170" fontId="48" fillId="33" borderId="2" xfId="0" applyFont="true" applyBorder="true" applyAlignment="true" applyProtection="false">
      <alignment horizontal="center" vertical="center" textRotation="0" wrapText="false" indent="0" shrinkToFit="false"/>
      <protection locked="true" hidden="false"/>
    </xf>
    <xf numFmtId="164" fontId="11" fillId="36" borderId="2" xfId="0" applyFont="true" applyBorder="true" applyAlignment="true" applyProtection="false">
      <alignment horizontal="center" vertical="center" textRotation="0" wrapText="true" indent="0" shrinkToFit="false"/>
      <protection locked="true" hidden="false"/>
    </xf>
    <xf numFmtId="164" fontId="62" fillId="37" borderId="2" xfId="0" applyFont="true" applyBorder="true" applyAlignment="true" applyProtection="false">
      <alignment horizontal="center" vertical="center" textRotation="0" wrapText="true" indent="0" shrinkToFit="false"/>
      <protection locked="true" hidden="false"/>
    </xf>
    <xf numFmtId="164" fontId="63" fillId="38" borderId="2" xfId="0" applyFont="true" applyBorder="true" applyAlignment="true" applyProtection="false">
      <alignment horizontal="center" vertical="center" textRotation="0" wrapText="true" indent="0" shrinkToFit="false"/>
      <protection locked="true" hidden="false"/>
    </xf>
    <xf numFmtId="171" fontId="12" fillId="0" borderId="2"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4" fillId="0" borderId="2" xfId="0" applyFont="true" applyBorder="true" applyAlignment="true" applyProtection="false">
      <alignment horizontal="center" vertical="center" textRotation="0" wrapText="true" indent="0" shrinkToFit="false"/>
      <protection locked="true" hidden="false"/>
    </xf>
    <xf numFmtId="164" fontId="21" fillId="0" borderId="2" xfId="0" applyFont="true" applyBorder="true" applyAlignment="true" applyProtection="false">
      <alignment horizontal="left" vertical="center"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66" fillId="38" borderId="2" xfId="0" applyFont="true" applyBorder="true" applyAlignment="true" applyProtection="false">
      <alignment horizontal="center" vertical="center" textRotation="0" wrapText="true" indent="0" shrinkToFit="false"/>
      <protection locked="true" hidden="false"/>
    </xf>
    <xf numFmtId="172" fontId="12" fillId="0" borderId="2" xfId="0" applyFont="true" applyBorder="true" applyAlignment="true" applyProtection="false">
      <alignment horizontal="left" vertical="center" textRotation="0" wrapText="true" indent="0" shrinkToFit="false"/>
      <protection locked="true" hidden="false"/>
    </xf>
    <xf numFmtId="173" fontId="12" fillId="0" borderId="2" xfId="0" applyFont="true" applyBorder="true" applyAlignment="true" applyProtection="false">
      <alignment horizontal="left" vertical="center" textRotation="0" wrapText="true" indent="0" shrinkToFit="false"/>
      <protection locked="true" hidden="false"/>
    </xf>
    <xf numFmtId="167" fontId="38" fillId="0" borderId="2" xfId="0" applyFont="true" applyBorder="true" applyAlignment="true" applyProtection="false">
      <alignment horizontal="left" vertical="center" textRotation="0" wrapText="true" indent="0" shrinkToFit="false"/>
      <protection locked="true" hidden="false"/>
    </xf>
    <xf numFmtId="172" fontId="21" fillId="0" borderId="2" xfId="0" applyFont="true" applyBorder="true" applyAlignment="true" applyProtection="false">
      <alignment horizontal="center" vertical="center" textRotation="0" wrapText="true" indent="0" shrinkToFit="false"/>
      <protection locked="true" hidden="false"/>
    </xf>
    <xf numFmtId="172" fontId="6" fillId="0" borderId="0" xfId="0" applyFont="true" applyBorder="false" applyAlignment="true" applyProtection="false">
      <alignment horizontal="general" vertical="bottom" textRotation="0" wrapText="false" indent="0" shrinkToFit="false"/>
      <protection locked="true" hidden="false"/>
    </xf>
    <xf numFmtId="164" fontId="44" fillId="39" borderId="2" xfId="0" applyFont="true" applyBorder="true" applyAlignment="true" applyProtection="false">
      <alignment horizontal="center" vertical="center" textRotation="0" wrapText="false" indent="0" shrinkToFit="false"/>
      <protection locked="true" hidden="false"/>
    </xf>
    <xf numFmtId="164" fontId="27" fillId="23" borderId="2" xfId="0" applyFont="true" applyBorder="true" applyAlignment="true" applyProtection="false">
      <alignment horizontal="center" vertical="center" textRotation="0" wrapText="true" indent="0" shrinkToFit="false"/>
      <protection locked="true" hidden="false"/>
    </xf>
    <xf numFmtId="164" fontId="66" fillId="0" borderId="2" xfId="0" applyFont="true" applyBorder="true" applyAlignment="true" applyProtection="false">
      <alignment horizontal="center" vertical="center" textRotation="0" wrapText="true" indent="0" shrinkToFit="false"/>
      <protection locked="true" hidden="false"/>
    </xf>
    <xf numFmtId="164" fontId="22" fillId="0" borderId="2" xfId="0" applyFont="true" applyBorder="true" applyAlignment="true" applyProtection="false">
      <alignment horizontal="center" vertical="center" textRotation="0" wrapText="true" indent="0" shrinkToFit="false"/>
      <protection locked="true" hidden="false"/>
    </xf>
    <xf numFmtId="172" fontId="6" fillId="0" borderId="0" xfId="0" applyFont="true" applyBorder="false" applyAlignment="true" applyProtection="false">
      <alignment horizontal="general" vertical="center" textRotation="0" wrapText="false" indent="0" shrinkToFit="false"/>
      <protection locked="true" hidden="false"/>
    </xf>
    <xf numFmtId="164" fontId="63" fillId="38" borderId="3" xfId="0" applyFont="true" applyBorder="true" applyAlignment="true" applyProtection="false">
      <alignment horizontal="center" vertical="center" textRotation="0" wrapText="true" indent="0" shrinkToFit="false"/>
      <protection locked="true" hidden="false"/>
    </xf>
    <xf numFmtId="164" fontId="12" fillId="0" borderId="4" xfId="0" applyFont="true" applyBorder="true" applyAlignment="true" applyProtection="false">
      <alignment horizontal="left" vertical="center" textRotation="0" wrapText="true" indent="0" shrinkToFit="false"/>
      <protection locked="true" hidden="false"/>
    </xf>
    <xf numFmtId="164" fontId="64" fillId="0" borderId="4" xfId="0" applyFont="true" applyBorder="true" applyAlignment="true" applyProtection="false">
      <alignment horizontal="center" vertical="center" textRotation="0" wrapText="true" indent="0" shrinkToFit="false"/>
      <protection locked="true" hidden="false"/>
    </xf>
    <xf numFmtId="171" fontId="12" fillId="0" borderId="4" xfId="0" applyFont="true" applyBorder="true" applyAlignment="true" applyProtection="false">
      <alignment horizontal="left" vertical="center" textRotation="0" wrapText="true" indent="0" shrinkToFit="false"/>
      <protection locked="true" hidden="false"/>
    </xf>
    <xf numFmtId="172" fontId="12" fillId="0" borderId="4" xfId="0" applyFont="true" applyBorder="true" applyAlignment="true" applyProtection="false">
      <alignment horizontal="left" vertical="center" textRotation="0" wrapText="true" indent="0" shrinkToFit="false"/>
      <protection locked="true" hidden="false"/>
    </xf>
    <xf numFmtId="173" fontId="12" fillId="0" borderId="4" xfId="0" applyFont="true" applyBorder="true" applyAlignment="true" applyProtection="false">
      <alignment horizontal="left" vertical="center" textRotation="0" wrapText="true" indent="0" shrinkToFit="false"/>
      <protection locked="true" hidden="false"/>
    </xf>
    <xf numFmtId="167" fontId="38" fillId="0" borderId="4" xfId="0" applyFont="true" applyBorder="true" applyAlignment="true" applyProtection="false">
      <alignment horizontal="left" vertical="center" textRotation="0" wrapText="true" indent="0" shrinkToFit="false"/>
      <protection locked="true" hidden="false"/>
    </xf>
    <xf numFmtId="164" fontId="21" fillId="0" borderId="4" xfId="0" applyFont="true" applyBorder="true" applyAlignment="true" applyProtection="false">
      <alignment horizontal="left" vertical="center" textRotation="0" wrapText="false" indent="0" shrinkToFit="false"/>
      <protection locked="true" hidden="false"/>
    </xf>
    <xf numFmtId="164" fontId="12" fillId="0" borderId="5" xfId="0" applyFont="true" applyBorder="true" applyAlignment="true" applyProtection="false">
      <alignment horizontal="left" vertical="center" textRotation="0" wrapText="true" indent="0" shrinkToFit="false"/>
      <protection locked="true" hidden="false"/>
    </xf>
    <xf numFmtId="164" fontId="64" fillId="0" borderId="5" xfId="0" applyFont="true" applyBorder="true" applyAlignment="true" applyProtection="false">
      <alignment horizontal="center" vertical="center" textRotation="0" wrapText="true" indent="0" shrinkToFit="false"/>
      <protection locked="true" hidden="false"/>
    </xf>
    <xf numFmtId="171" fontId="12" fillId="0" borderId="5" xfId="0" applyFont="true" applyBorder="true" applyAlignment="true" applyProtection="false">
      <alignment horizontal="left" vertical="center" textRotation="0" wrapText="true" indent="0" shrinkToFit="false"/>
      <protection locked="true" hidden="false"/>
    </xf>
    <xf numFmtId="172" fontId="12" fillId="0" borderId="5" xfId="0" applyFont="true" applyBorder="true" applyAlignment="true" applyProtection="false">
      <alignment horizontal="left" vertical="center" textRotation="0" wrapText="true" indent="0" shrinkToFit="false"/>
      <protection locked="true" hidden="false"/>
    </xf>
    <xf numFmtId="164" fontId="67" fillId="0" borderId="5" xfId="0" applyFont="true" applyBorder="true" applyAlignment="true" applyProtection="false">
      <alignment horizontal="general" vertical="center" textRotation="0" wrapText="true" indent="0" shrinkToFit="false"/>
      <protection locked="true" hidden="false"/>
    </xf>
    <xf numFmtId="164" fontId="21" fillId="0" borderId="5" xfId="0" applyFont="true" applyBorder="true" applyAlignment="true" applyProtection="false">
      <alignment horizontal="left" vertical="center" textRotation="0" wrapText="false" indent="0" shrinkToFit="false"/>
      <protection locked="true" hidden="false"/>
    </xf>
    <xf numFmtId="164" fontId="12" fillId="0" borderId="6" xfId="0" applyFont="true" applyBorder="true" applyAlignment="true" applyProtection="false">
      <alignment horizontal="left" vertical="center" textRotation="0" wrapText="true" indent="0" shrinkToFit="false"/>
      <protection locked="true" hidden="false"/>
    </xf>
    <xf numFmtId="164" fontId="64" fillId="0" borderId="6" xfId="0" applyFont="true" applyBorder="true" applyAlignment="true" applyProtection="false">
      <alignment horizontal="center" vertical="center" textRotation="0" wrapText="true" indent="0" shrinkToFit="false"/>
      <protection locked="true" hidden="false"/>
    </xf>
    <xf numFmtId="172" fontId="12" fillId="0" borderId="6" xfId="0" applyFont="true" applyBorder="true" applyAlignment="true" applyProtection="false">
      <alignment horizontal="left" vertical="center" textRotation="0" wrapText="true" indent="0" shrinkToFit="false"/>
      <protection locked="true" hidden="false"/>
    </xf>
    <xf numFmtId="167" fontId="38" fillId="0" borderId="6" xfId="0" applyFont="true" applyBorder="true" applyAlignment="true" applyProtection="false">
      <alignment horizontal="left" vertical="center" textRotation="0" wrapText="true" indent="0" shrinkToFit="false"/>
      <protection locked="true" hidden="false"/>
    </xf>
    <xf numFmtId="164" fontId="21" fillId="0" borderId="6" xfId="0" applyFont="true" applyBorder="true" applyAlignment="true" applyProtection="false">
      <alignment horizontal="general" vertical="bottom" textRotation="0" wrapText="false" indent="0" shrinkToFit="false"/>
      <protection locked="true" hidden="false"/>
    </xf>
    <xf numFmtId="164" fontId="11" fillId="9" borderId="2" xfId="0" applyFont="true" applyBorder="true" applyAlignment="true" applyProtection="false">
      <alignment horizontal="center" vertical="center" textRotation="0" wrapText="true" indent="0" shrinkToFit="false"/>
      <protection locked="true" hidden="false"/>
    </xf>
    <xf numFmtId="165" fontId="12" fillId="0" borderId="6" xfId="0" applyFont="true" applyBorder="true" applyAlignment="true" applyProtection="false">
      <alignment horizontal="center" vertical="center" textRotation="0" wrapText="true" indent="0" shrinkToFit="false"/>
      <protection locked="true" hidden="false"/>
    </xf>
    <xf numFmtId="168" fontId="12" fillId="0" borderId="6" xfId="0" applyFont="true" applyBorder="true" applyAlignment="true" applyProtection="false">
      <alignment horizontal="left" vertical="center" textRotation="0" wrapText="true" indent="0" shrinkToFit="false"/>
      <protection locked="true" hidden="false"/>
    </xf>
    <xf numFmtId="164" fontId="12" fillId="0" borderId="6" xfId="0" applyFont="true" applyBorder="true" applyAlignment="true" applyProtection="false">
      <alignment horizontal="general" vertical="center" textRotation="0" wrapText="false" indent="0" shrinkToFit="false"/>
      <protection locked="true" hidden="false"/>
    </xf>
    <xf numFmtId="164" fontId="12" fillId="0" borderId="6" xfId="0" applyFont="true" applyBorder="true" applyAlignment="true" applyProtection="false">
      <alignment horizontal="center" vertical="center" textRotation="0" wrapText="false" indent="0" shrinkToFit="false"/>
      <protection locked="true" hidden="false"/>
    </xf>
    <xf numFmtId="166" fontId="12" fillId="0" borderId="6" xfId="0" applyFont="true" applyBorder="true" applyAlignment="true" applyProtection="false">
      <alignment horizontal="left" vertical="center" textRotation="0" wrapText="true" indent="0" shrinkToFit="false"/>
      <protection locked="true" hidden="false"/>
    </xf>
    <xf numFmtId="166" fontId="67" fillId="25" borderId="6" xfId="0" applyFont="true" applyBorder="true" applyAlignment="true" applyProtection="false">
      <alignment horizontal="left" vertical="center" textRotation="0" wrapText="true" indent="0" shrinkToFit="false"/>
      <protection locked="true" hidden="false"/>
    </xf>
    <xf numFmtId="164" fontId="67" fillId="25" borderId="6" xfId="0" applyFont="true" applyBorder="true" applyAlignment="true" applyProtection="false">
      <alignment horizontal="left" vertical="center" textRotation="0" wrapText="true" indent="0" shrinkToFit="false"/>
      <protection locked="true" hidden="false"/>
    </xf>
    <xf numFmtId="167" fontId="67" fillId="0" borderId="6" xfId="0" applyFont="true" applyBorder="true" applyAlignment="true" applyProtection="false">
      <alignment horizontal="left" vertical="center" textRotation="0" wrapText="true" indent="0" shrinkToFit="false"/>
      <protection locked="true" hidden="false"/>
    </xf>
    <xf numFmtId="172" fontId="21" fillId="0" borderId="6" xfId="0" applyFont="true" applyBorder="true" applyAlignment="true" applyProtection="false">
      <alignment horizontal="general" vertical="center" textRotation="0" wrapText="false" indent="0" shrinkToFit="false"/>
      <protection locked="true" hidden="false"/>
    </xf>
    <xf numFmtId="164" fontId="21" fillId="0" borderId="6" xfId="0" applyFont="true" applyBorder="true" applyAlignment="true" applyProtection="false">
      <alignment horizontal="left" vertical="center" textRotation="0" wrapText="fals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4" fontId="21" fillId="0" borderId="5" xfId="0" applyFont="true" applyBorder="true" applyAlignment="true" applyProtection="false">
      <alignment horizontal="general" vertical="bottom" textRotation="0" wrapText="false" indent="0" shrinkToFit="false"/>
      <protection locked="true" hidden="false"/>
    </xf>
    <xf numFmtId="172" fontId="21" fillId="0" borderId="5" xfId="0" applyFont="true" applyBorder="true" applyAlignment="true" applyProtection="false">
      <alignment horizontal="general" vertical="bottom" textRotation="0" wrapText="false" indent="0" shrinkToFit="false"/>
      <protection locked="true" hidden="false"/>
    </xf>
    <xf numFmtId="166" fontId="21" fillId="0" borderId="5" xfId="0" applyFont="true" applyBorder="tru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5" fontId="12" fillId="0" borderId="6" xfId="0" applyFont="true" applyBorder="true" applyAlignment="true" applyProtection="false">
      <alignment horizontal="left" vertical="center" textRotation="0" wrapText="true" indent="0" shrinkToFit="false"/>
      <protection locked="true" hidden="false"/>
    </xf>
    <xf numFmtId="167" fontId="68" fillId="0" borderId="6" xfId="0" applyFont="true" applyBorder="true" applyAlignment="true" applyProtection="false">
      <alignment horizontal="left" vertical="center" textRotation="0" wrapText="true" indent="0" shrinkToFit="false"/>
      <protection locked="true" hidden="false"/>
    </xf>
    <xf numFmtId="171" fontId="12" fillId="0" borderId="6" xfId="0" applyFont="true" applyBorder="true" applyAlignment="true" applyProtection="false">
      <alignment horizontal="left" vertical="center" textRotation="0" wrapText="true" indent="0" shrinkToFit="false"/>
      <protection locked="true" hidden="false"/>
    </xf>
    <xf numFmtId="165" fontId="67" fillId="25" borderId="6" xfId="0" applyFont="true" applyBorder="true" applyAlignment="true" applyProtection="false">
      <alignment horizontal="center" vertical="center" textRotation="0" wrapText="true" indent="0" shrinkToFit="false"/>
      <protection locked="true" hidden="false"/>
    </xf>
    <xf numFmtId="167" fontId="67" fillId="39" borderId="6" xfId="0" applyFont="true" applyBorder="true" applyAlignment="true" applyProtection="false">
      <alignment horizontal="center" vertical="center" textRotation="0" wrapText="true" indent="0" shrinkToFit="false"/>
      <protection locked="true" hidden="false"/>
    </xf>
    <xf numFmtId="164" fontId="12" fillId="0" borderId="6" xfId="0" applyFont="true" applyBorder="true" applyAlignment="true" applyProtection="false">
      <alignment horizontal="center" vertical="center" textRotation="0" wrapText="true" indent="0" shrinkToFit="false"/>
      <protection locked="true" hidden="false"/>
    </xf>
    <xf numFmtId="167" fontId="12" fillId="0" borderId="6" xfId="0" applyFont="true" applyBorder="true" applyAlignment="true" applyProtection="false">
      <alignment horizontal="center" vertical="center" textRotation="0" wrapText="true" indent="0" shrinkToFit="false"/>
      <protection locked="true" hidden="false"/>
    </xf>
    <xf numFmtId="167" fontId="67" fillId="23" borderId="6" xfId="0" applyFont="true" applyBorder="true" applyAlignment="true" applyProtection="false">
      <alignment horizontal="left" vertical="center" textRotation="0" wrapText="true" indent="0" shrinkToFit="false"/>
      <protection locked="true" hidden="false"/>
    </xf>
    <xf numFmtId="167" fontId="12" fillId="0" borderId="2" xfId="0" applyFont="true" applyBorder="true" applyAlignment="true" applyProtection="false">
      <alignment horizontal="center" vertical="center" textRotation="0" wrapText="true" indent="0" shrinkToFit="false"/>
      <protection locked="true" hidden="false"/>
    </xf>
    <xf numFmtId="173" fontId="12" fillId="0" borderId="2" xfId="0" applyFont="true" applyBorder="true" applyAlignment="true" applyProtection="false">
      <alignment horizontal="center" vertical="center" textRotation="0" wrapText="true" indent="0" shrinkToFit="false"/>
      <protection locked="true" hidden="false"/>
    </xf>
    <xf numFmtId="166" fontId="12" fillId="0" borderId="2" xfId="0" applyFont="true" applyBorder="true" applyAlignment="true" applyProtection="false">
      <alignment horizontal="left" vertical="center" textRotation="0" wrapText="true" indent="0" shrinkToFit="false"/>
      <protection locked="true" hidden="false"/>
    </xf>
    <xf numFmtId="164" fontId="44" fillId="39" borderId="2" xfId="0" applyFont="true" applyBorder="true" applyAlignment="true" applyProtection="false">
      <alignment horizontal="general" vertical="bottom" textRotation="0" wrapText="false" indent="0" shrinkToFit="false"/>
      <protection locked="true" hidden="false"/>
    </xf>
    <xf numFmtId="164" fontId="66" fillId="0" borderId="3" xfId="0" applyFont="true" applyBorder="true" applyAlignment="true" applyProtection="false">
      <alignment horizontal="center" vertical="center" textRotation="0" wrapText="true" indent="0" shrinkToFit="false"/>
      <protection locked="true" hidden="false"/>
    </xf>
    <xf numFmtId="166" fontId="12" fillId="0" borderId="5" xfId="0" applyFont="true" applyBorder="true" applyAlignment="true" applyProtection="false">
      <alignment horizontal="left" vertical="center" textRotation="0" wrapText="true" indent="0" shrinkToFit="false"/>
      <protection locked="true" hidden="false"/>
    </xf>
    <xf numFmtId="164" fontId="38" fillId="0" borderId="5" xfId="0" applyFont="true" applyBorder="true" applyAlignment="true" applyProtection="false">
      <alignment horizontal="left" vertical="center" textRotation="0" wrapText="true" indent="0" shrinkToFit="false"/>
      <protection locked="true" hidden="false"/>
    </xf>
    <xf numFmtId="164" fontId="45" fillId="0" borderId="6" xfId="0" applyFont="true" applyBorder="true" applyAlignment="true" applyProtection="false">
      <alignment horizontal="left" vertical="center" textRotation="0" wrapText="true" indent="0" shrinkToFit="false"/>
      <protection locked="true" hidden="false"/>
    </xf>
    <xf numFmtId="166" fontId="45" fillId="0" borderId="6" xfId="0" applyFont="true" applyBorder="true" applyAlignment="true" applyProtection="false">
      <alignment horizontal="left" vertical="center" textRotation="0" wrapText="true" indent="0" shrinkToFit="false"/>
      <protection locked="true" hidden="false"/>
    </xf>
    <xf numFmtId="164" fontId="67" fillId="0" borderId="5" xfId="0" applyFont="true" applyBorder="true" applyAlignment="true" applyProtection="false">
      <alignment horizontal="left" vertical="center" textRotation="0" wrapText="true" indent="0" shrinkToFit="false"/>
      <protection locked="true" hidden="false"/>
    </xf>
    <xf numFmtId="164" fontId="67" fillId="0" borderId="2" xfId="0" applyFont="true" applyBorder="true" applyAlignment="true" applyProtection="false">
      <alignment horizontal="left" vertical="center" textRotation="0" wrapText="true" indent="0" shrinkToFit="false"/>
      <protection locked="true" hidden="false"/>
    </xf>
    <xf numFmtId="170" fontId="12" fillId="0" borderId="6" xfId="0" applyFont="true" applyBorder="true" applyAlignment="true" applyProtection="false">
      <alignment horizontal="center" vertical="center" textRotation="0" wrapText="true" indent="0" shrinkToFit="false"/>
      <protection locked="true" hidden="false"/>
    </xf>
    <xf numFmtId="173" fontId="12" fillId="0" borderId="6" xfId="0" applyFont="true" applyBorder="true" applyAlignment="true" applyProtection="false">
      <alignment horizontal="center" vertical="center" textRotation="0" wrapText="true" indent="0" shrinkToFit="false"/>
      <protection locked="true" hidden="false"/>
    </xf>
    <xf numFmtId="164" fontId="64" fillId="0" borderId="5" xfId="0" applyFont="true" applyBorder="true" applyAlignment="true" applyProtection="false">
      <alignment horizontal="left" vertical="center" textRotation="0" wrapText="true" indent="0" shrinkToFit="false"/>
      <protection locked="true" hidden="false"/>
    </xf>
    <xf numFmtId="170" fontId="12" fillId="0" borderId="5"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64" fillId="0" borderId="2" xfId="0" applyFont="true" applyBorder="true" applyAlignment="true" applyProtection="false">
      <alignment horizontal="left" vertical="center" textRotation="0" wrapText="true" indent="0" shrinkToFit="false"/>
      <protection locked="true" hidden="false"/>
    </xf>
    <xf numFmtId="170" fontId="12" fillId="0" borderId="2" xfId="0" applyFont="true" applyBorder="true" applyAlignment="true" applyProtection="false">
      <alignment horizontal="left" vertical="center" textRotation="0" wrapText="tru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4" fontId="35" fillId="19" borderId="0"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center" vertical="center" textRotation="0" wrapText="true" indent="0" shrinkToFit="false"/>
      <protection locked="true" hidden="false"/>
    </xf>
    <xf numFmtId="174" fontId="21" fillId="33" borderId="0"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true" applyAlignment="true" applyProtection="false">
      <alignment horizontal="left" vertical="center" textRotation="0" wrapText="true" indent="0" shrinkToFit="false"/>
      <protection locked="true" hidden="false"/>
    </xf>
    <xf numFmtId="164" fontId="50" fillId="12" borderId="2" xfId="0" applyFont="true" applyBorder="true" applyAlignment="true" applyProtection="false">
      <alignment horizontal="center" vertical="center" textRotation="0" wrapText="true" indent="0" shrinkToFit="false"/>
      <protection locked="true" hidden="false"/>
    </xf>
    <xf numFmtId="164" fontId="6" fillId="12" borderId="2" xfId="0" applyFont="true" applyBorder="true" applyAlignment="true" applyProtection="false">
      <alignment horizontal="general" vertical="bottom" textRotation="0" wrapText="false" indent="0" shrinkToFit="false"/>
      <protection locked="true" hidden="false"/>
    </xf>
    <xf numFmtId="164" fontId="69" fillId="32" borderId="2" xfId="0" applyFont="true" applyBorder="true" applyAlignment="true" applyProtection="false">
      <alignment horizontal="center" vertical="center" textRotation="0" wrapText="true" indent="0" shrinkToFit="false"/>
      <protection locked="true" hidden="false"/>
    </xf>
    <xf numFmtId="164" fontId="70" fillId="23" borderId="2" xfId="0" applyFont="true" applyBorder="true" applyAlignment="true" applyProtection="false">
      <alignment horizontal="center" vertical="center" textRotation="0" wrapText="true" indent="0" shrinkToFit="false"/>
      <protection locked="true" hidden="false"/>
    </xf>
    <xf numFmtId="164" fontId="71" fillId="0" borderId="2" xfId="0" applyFont="true" applyBorder="true" applyAlignment="true" applyProtection="false">
      <alignment horizontal="center" vertical="center" textRotation="0" wrapText="true" indent="0" shrinkToFit="false"/>
      <protection locked="true" hidden="false"/>
    </xf>
    <xf numFmtId="164" fontId="71" fillId="25" borderId="2" xfId="0" applyFont="true" applyBorder="true" applyAlignment="true" applyProtection="false">
      <alignment horizontal="center" vertical="center" textRotation="0" wrapText="true" indent="0" shrinkToFit="false"/>
      <protection locked="true" hidden="false"/>
    </xf>
    <xf numFmtId="164" fontId="72" fillId="39" borderId="2" xfId="0" applyFont="true" applyBorder="true" applyAlignment="true" applyProtection="false">
      <alignment horizontal="center" vertical="center" textRotation="0" wrapText="true" indent="0" shrinkToFit="false"/>
      <protection locked="true" hidden="false"/>
    </xf>
    <xf numFmtId="167" fontId="70" fillId="39" borderId="2" xfId="0" applyFont="true" applyBorder="true" applyAlignment="true" applyProtection="false">
      <alignment horizontal="center" vertical="center" textRotation="0" wrapText="true" indent="0" shrinkToFit="false"/>
      <protection locked="true" hidden="false"/>
    </xf>
    <xf numFmtId="164" fontId="21" fillId="33" borderId="2" xfId="0" applyFont="true" applyBorder="true" applyAlignment="true" applyProtection="false">
      <alignment horizontal="center" vertical="center" textRotation="0" wrapText="true" indent="0" shrinkToFit="false"/>
      <protection locked="true" hidden="false"/>
    </xf>
    <xf numFmtId="167" fontId="73" fillId="0" borderId="2" xfId="0" applyFont="true" applyBorder="true" applyAlignment="true" applyProtection="false">
      <alignment horizontal="center" vertical="center" textRotation="0" wrapText="true" indent="0" shrinkToFit="false"/>
      <protection locked="true" hidden="false"/>
    </xf>
    <xf numFmtId="164" fontId="27" fillId="0" borderId="2" xfId="0" applyFont="true" applyBorder="true" applyAlignment="true" applyProtection="false">
      <alignment horizontal="center" vertical="center" textRotation="0" wrapText="true" indent="0" shrinkToFit="false"/>
      <protection locked="true" hidden="false"/>
    </xf>
    <xf numFmtId="167" fontId="74" fillId="0" borderId="2" xfId="0" applyFont="true" applyBorder="true" applyAlignment="true" applyProtection="false">
      <alignment horizontal="center" vertical="center" textRotation="0" wrapText="true" indent="0" shrinkToFit="false"/>
      <protection locked="true" hidden="false"/>
    </xf>
    <xf numFmtId="164" fontId="75" fillId="14"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76" fillId="14"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7" fillId="1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44" fillId="0" borderId="0" xfId="0" applyFont="true" applyBorder="true" applyAlignment="true" applyProtection="false">
      <alignment horizontal="left" vertical="center" textRotation="0" wrapText="true" indent="0" shrinkToFit="false"/>
      <protection locked="true" hidden="false"/>
    </xf>
    <xf numFmtId="164" fontId="12" fillId="33" borderId="2"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8" fillId="32" borderId="2" xfId="0" applyFont="true" applyBorder="true" applyAlignment="true" applyProtection="false">
      <alignment horizontal="center" vertical="center" textRotation="0" wrapText="true" indent="0" shrinkToFit="false"/>
      <protection locked="true" hidden="false"/>
    </xf>
    <xf numFmtId="167" fontId="77" fillId="0" borderId="0" xfId="0" applyFont="true" applyBorder="true" applyAlignment="true" applyProtection="false">
      <alignment horizontal="left" vertical="center" textRotation="0" wrapText="true" indent="0" shrinkToFit="false"/>
      <protection locked="true" hidden="false"/>
    </xf>
    <xf numFmtId="164" fontId="19" fillId="19" borderId="0" xfId="0" applyFont="true" applyBorder="true" applyAlignment="true" applyProtection="false">
      <alignment horizontal="left" vertical="center" textRotation="0" wrapText="true" indent="0" shrinkToFit="false"/>
      <protection locked="true" hidden="false"/>
    </xf>
    <xf numFmtId="164" fontId="44" fillId="23" borderId="3" xfId="0" applyFont="true" applyBorder="true" applyAlignment="true" applyProtection="false">
      <alignment horizontal="left" vertical="center" textRotation="0" wrapText="true" indent="0" shrinkToFit="false"/>
      <protection locked="true" hidden="false"/>
    </xf>
    <xf numFmtId="167" fontId="12" fillId="0" borderId="3" xfId="0" applyFont="true" applyBorder="true" applyAlignment="true" applyProtection="false">
      <alignment horizontal="left" vertical="center" textRotation="0" wrapText="true" indent="0" shrinkToFit="false"/>
      <protection locked="true" hidden="false"/>
    </xf>
    <xf numFmtId="164" fontId="8" fillId="32" borderId="5" xfId="0" applyFont="true" applyBorder="true" applyAlignment="true" applyProtection="false">
      <alignment horizontal="center" vertical="center" textRotation="0" wrapText="true" indent="0" shrinkToFit="false"/>
      <protection locked="true" hidden="false"/>
    </xf>
    <xf numFmtId="164" fontId="45" fillId="0" borderId="2" xfId="0" applyFont="true" applyBorder="true" applyAlignment="true" applyProtection="false">
      <alignment horizontal="center" vertical="center" textRotation="0" wrapText="true" indent="0" shrinkToFit="false"/>
      <protection locked="true" hidden="false"/>
    </xf>
    <xf numFmtId="167" fontId="78" fillId="0" borderId="2"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true" applyAlignment="true" applyProtection="false">
      <alignment horizontal="left" vertical="center" textRotation="0" wrapText="true" indent="0" shrinkToFit="false"/>
      <protection locked="true" hidden="false"/>
    </xf>
    <xf numFmtId="171" fontId="12" fillId="0" borderId="2" xfId="0" applyFont="true" applyBorder="true" applyAlignment="true" applyProtection="false">
      <alignment horizontal="center" vertical="center" textRotation="0" wrapText="true" indent="0" shrinkToFit="false"/>
      <protection locked="true" hidden="false"/>
    </xf>
    <xf numFmtId="175" fontId="12" fillId="0" borderId="2" xfId="0" applyFont="true" applyBorder="true" applyAlignment="true" applyProtection="false">
      <alignment horizontal="left" vertical="center" textRotation="0" wrapText="true" indent="0" shrinkToFit="false"/>
      <protection locked="true" hidden="false"/>
    </xf>
    <xf numFmtId="164" fontId="79" fillId="23" borderId="2" xfId="0" applyFont="true" applyBorder="true" applyAlignment="true" applyProtection="false">
      <alignment horizontal="left" vertical="center" textRotation="0" wrapText="true" indent="0" shrinkToFit="false"/>
      <protection locked="true" hidden="false"/>
    </xf>
    <xf numFmtId="167" fontId="12" fillId="0" borderId="2" xfId="0" applyFont="true" applyBorder="true" applyAlignment="true" applyProtection="false">
      <alignment horizontal="left" vertical="center" textRotation="0" wrapText="true" indent="0" shrinkToFit="false"/>
      <protection locked="true" hidden="false"/>
    </xf>
    <xf numFmtId="164" fontId="35" fillId="20" borderId="0"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7" fontId="80" fillId="0" borderId="0" xfId="0" applyFont="true" applyBorder="true" applyAlignment="true" applyProtection="false">
      <alignment horizontal="left" vertical="center" textRotation="0" wrapText="true" indent="0" shrinkToFit="false"/>
      <protection locked="true" hidden="false"/>
    </xf>
    <xf numFmtId="164" fontId="19" fillId="20" borderId="0" xfId="0" applyFont="true" applyBorder="true" applyAlignment="true" applyProtection="false">
      <alignment horizontal="left" vertical="center" textRotation="0" wrapText="true" indent="0" shrinkToFit="false"/>
      <protection locked="true" hidden="false"/>
    </xf>
    <xf numFmtId="164" fontId="44" fillId="40" borderId="2" xfId="0" applyFont="true" applyBorder="true" applyAlignment="true" applyProtection="false">
      <alignment horizontal="left" vertical="center" textRotation="0" wrapText="true" indent="0" shrinkToFit="false"/>
      <protection locked="true" hidden="false"/>
    </xf>
    <xf numFmtId="164" fontId="19" fillId="41" borderId="0" xfId="0" applyFont="true" applyBorder="true" applyAlignment="true" applyProtection="false">
      <alignment horizontal="left" vertical="center" textRotation="0" wrapText="true" indent="0" shrinkToFit="false"/>
      <protection locked="true" hidden="false"/>
    </xf>
    <xf numFmtId="167" fontId="81" fillId="0" borderId="2" xfId="0" applyFont="true" applyBorder="true" applyAlignment="true" applyProtection="false">
      <alignment horizontal="center" vertical="center" textRotation="0" wrapText="true" indent="0" shrinkToFit="false"/>
      <protection locked="true" hidden="false"/>
    </xf>
    <xf numFmtId="164" fontId="79" fillId="40" borderId="2" xfId="0" applyFont="true" applyBorder="true" applyAlignment="true" applyProtection="false">
      <alignment horizontal="left" vertical="center" textRotation="0" wrapText="true" indent="0" shrinkToFit="false"/>
      <protection locked="true" hidden="false"/>
    </xf>
    <xf numFmtId="164" fontId="35" fillId="3" borderId="0" xfId="0" applyFont="true" applyBorder="true" applyAlignment="true" applyProtection="false">
      <alignment horizontal="center" vertical="center" textRotation="0" wrapText="true" indent="0" shrinkToFit="false"/>
      <protection locked="true" hidden="false"/>
    </xf>
    <xf numFmtId="164" fontId="82" fillId="0" borderId="0" xfId="0" applyFont="true" applyBorder="false" applyAlignment="true" applyProtection="false">
      <alignment horizontal="general" vertical="center" textRotation="0" wrapText="false" indent="0" shrinkToFit="false"/>
      <protection locked="true" hidden="false"/>
    </xf>
    <xf numFmtId="164" fontId="35" fillId="4" borderId="0" xfId="0" applyFont="true" applyBorder="true" applyAlignment="true" applyProtection="false">
      <alignment horizontal="center" vertical="center" textRotation="0" wrapText="true" indent="0" shrinkToFit="false"/>
      <protection locked="true" hidden="false"/>
    </xf>
    <xf numFmtId="164" fontId="11" fillId="12" borderId="3"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35" fillId="27" borderId="0" xfId="0" applyFont="true" applyBorder="true" applyAlignment="true" applyProtection="false">
      <alignment horizontal="center" vertical="center" textRotation="0" wrapText="true" indent="0" shrinkToFit="false"/>
      <protection locked="true" hidden="false"/>
    </xf>
    <xf numFmtId="175" fontId="6" fillId="0" borderId="0" xfId="0" applyFont="true" applyBorder="false" applyAlignment="true" applyProtection="false">
      <alignment horizontal="general" vertical="center" textRotation="0" wrapText="false" indent="0" shrinkToFit="false"/>
      <protection locked="true" hidden="false"/>
    </xf>
    <xf numFmtId="175" fontId="6" fillId="0" borderId="0" xfId="0" applyFont="true" applyBorder="false" applyAlignment="true" applyProtection="false">
      <alignment horizontal="general" vertical="bottom" textRotation="0" wrapText="false" indent="0" shrinkToFit="false"/>
      <protection locked="true" hidden="false"/>
    </xf>
    <xf numFmtId="164" fontId="35" fillId="6" borderId="0" xfId="0" applyFont="true" applyBorder="true" applyAlignment="true" applyProtection="false">
      <alignment horizontal="center" vertical="center" textRotation="0" wrapText="true" indent="0" shrinkToFit="false"/>
      <protection locked="true" hidden="false"/>
    </xf>
    <xf numFmtId="176" fontId="6" fillId="0" borderId="0" xfId="0" applyFont="true" applyBorder="false" applyAlignment="true" applyProtection="false">
      <alignment horizontal="center" vertical="center" textRotation="0" wrapText="false" indent="0" shrinkToFit="false"/>
      <protection locked="true" hidden="false"/>
    </xf>
    <xf numFmtId="164" fontId="35" fillId="9" borderId="0" xfId="0" applyFont="true" applyBorder="true" applyAlignment="true" applyProtection="false">
      <alignment horizontal="center" vertical="center" textRotation="0" wrapText="true" indent="0" shrinkToFit="false"/>
      <protection locked="true" hidden="false"/>
    </xf>
    <xf numFmtId="171" fontId="83" fillId="0" borderId="2" xfId="0" applyFont="true" applyBorder="true" applyAlignment="true" applyProtection="false">
      <alignment horizontal="left" vertical="center" textRotation="0" wrapText="true" indent="0" shrinkToFit="false"/>
      <protection locked="true" hidden="false"/>
    </xf>
    <xf numFmtId="171" fontId="6" fillId="0" borderId="0" xfId="0" applyFont="true" applyBorder="false" applyAlignment="true" applyProtection="false">
      <alignment horizontal="general" vertical="center" textRotation="0" wrapText="fals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5" fontId="84" fillId="7" borderId="1" xfId="0" applyFont="true" applyBorder="true" applyAlignment="true" applyProtection="false">
      <alignment horizontal="center" vertical="center" textRotation="0" wrapText="true" indent="0" shrinkToFit="false"/>
      <protection locked="true" hidden="false"/>
    </xf>
    <xf numFmtId="169" fontId="84" fillId="7"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12" borderId="2" xfId="0" applyFont="true" applyBorder="true" applyAlignment="true" applyProtection="false">
      <alignment horizontal="center" vertical="center" textRotation="0" wrapText="true" indent="0" shrinkToFit="false"/>
      <protection locked="true" hidden="false"/>
    </xf>
    <xf numFmtId="171" fontId="45" fillId="0" borderId="2" xfId="0" applyFont="true" applyBorder="true" applyAlignment="true" applyProtection="false">
      <alignment horizontal="left" vertical="center" textRotation="0" wrapText="true" indent="0" shrinkToFit="false"/>
      <protection locked="true" hidden="false"/>
    </xf>
    <xf numFmtId="167" fontId="12" fillId="0" borderId="2" xfId="0" applyFont="true" applyBorder="true" applyAlignment="true" applyProtection="false">
      <alignment horizontal="general" vertical="center" textRotation="0" wrapText="true" indent="0" shrinkToFit="false"/>
      <protection locked="true" hidden="false"/>
    </xf>
    <xf numFmtId="164" fontId="7" fillId="12" borderId="1" xfId="0" applyFont="true" applyBorder="true" applyAlignment="true" applyProtection="false">
      <alignment horizontal="left" vertical="center" textRotation="0" wrapText="true" indent="0" shrinkToFit="false"/>
      <protection locked="true" hidden="false"/>
    </xf>
    <xf numFmtId="164" fontId="8" fillId="11" borderId="2" xfId="0" applyFont="true" applyBorder="true" applyAlignment="true" applyProtection="false">
      <alignment horizontal="center" vertical="center" textRotation="0" wrapText="true" indent="0" shrinkToFit="false"/>
      <protection locked="true" hidden="false"/>
    </xf>
    <xf numFmtId="164" fontId="35" fillId="13" borderId="0" xfId="0" applyFont="true" applyBorder="true" applyAlignment="true" applyProtection="false">
      <alignment horizontal="center" vertical="center" textRotation="0" wrapText="true" indent="0" shrinkToFit="false"/>
      <protection locked="true" hidden="false"/>
    </xf>
    <xf numFmtId="164" fontId="43" fillId="0" borderId="2" xfId="0" applyFont="true" applyBorder="true" applyAlignment="true" applyProtection="false">
      <alignment horizontal="center" vertical="center" textRotation="0" wrapText="true" indent="0" shrinkToFit="false"/>
      <protection locked="true" hidden="false"/>
    </xf>
    <xf numFmtId="164" fontId="85" fillId="0" borderId="2" xfId="0" applyFont="true" applyBorder="true" applyAlignment="true" applyProtection="false">
      <alignment horizontal="center" vertical="center" textRotation="0" wrapText="true" indent="0" shrinkToFit="false"/>
      <protection locked="true" hidden="false"/>
    </xf>
    <xf numFmtId="164" fontId="86" fillId="0" borderId="2" xfId="0" applyFont="true" applyBorder="true" applyAlignment="true" applyProtection="false">
      <alignment horizontal="left" vertical="center" textRotation="0" wrapText="true" indent="0" shrinkToFit="false"/>
      <protection locked="true" hidden="false"/>
    </xf>
    <xf numFmtId="173" fontId="87" fillId="0" borderId="2" xfId="0" applyFont="true" applyBorder="true" applyAlignment="true" applyProtection="false">
      <alignment horizontal="center" vertical="center" textRotation="0" wrapText="true" indent="0" shrinkToFit="false"/>
      <protection locked="true" hidden="false"/>
    </xf>
    <xf numFmtId="164" fontId="88" fillId="0" borderId="2" xfId="0" applyFont="true" applyBorder="true" applyAlignment="true" applyProtection="false">
      <alignment horizontal="center" vertical="center" textRotation="0" wrapText="true" indent="0" shrinkToFit="false"/>
      <protection locked="true" hidden="false"/>
    </xf>
    <xf numFmtId="164" fontId="39" fillId="0" borderId="2" xfId="0" applyFont="true" applyBorder="true" applyAlignment="true" applyProtection="false">
      <alignment horizontal="center" vertical="center" textRotation="0" wrapText="true" indent="0" shrinkToFit="false"/>
      <protection locked="true" hidden="false"/>
    </xf>
    <xf numFmtId="164" fontId="48" fillId="0" borderId="2" xfId="0" applyFont="true" applyBorder="true" applyAlignment="true" applyProtection="false">
      <alignment horizontal="left" vertical="center" textRotation="0" wrapText="true" indent="0" shrinkToFit="false"/>
      <protection locked="true" hidden="false"/>
    </xf>
    <xf numFmtId="169" fontId="87" fillId="0" borderId="2" xfId="0" applyFont="true" applyBorder="true" applyAlignment="true" applyProtection="false">
      <alignment horizontal="center" vertical="center" textRotation="0" wrapText="true" indent="0" shrinkToFit="false"/>
      <protection locked="true" hidden="false"/>
    </xf>
    <xf numFmtId="169" fontId="88" fillId="0" borderId="2" xfId="0" applyFont="true" applyBorder="true" applyAlignment="true" applyProtection="false">
      <alignment horizontal="center" vertical="center" textRotation="0" wrapText="true" indent="0" shrinkToFit="false"/>
      <protection locked="true" hidden="false"/>
    </xf>
    <xf numFmtId="172" fontId="48" fillId="0" borderId="2" xfId="0" applyFont="true" applyBorder="true" applyAlignment="true" applyProtection="false">
      <alignment horizontal="left" vertical="center" textRotation="0" wrapText="true" indent="0" shrinkToFit="false"/>
      <protection locked="true" hidden="false"/>
    </xf>
    <xf numFmtId="164" fontId="49" fillId="0" borderId="2" xfId="0" applyFont="true" applyBorder="true" applyAlignment="true" applyProtection="false">
      <alignment horizontal="left" vertical="center" textRotation="0" wrapText="true" indent="0" shrinkToFit="false"/>
      <protection locked="true" hidden="false"/>
    </xf>
    <xf numFmtId="166" fontId="48" fillId="0" borderId="2" xfId="0" applyFont="true" applyBorder="true" applyAlignment="true" applyProtection="false">
      <alignment horizontal="left" vertical="center" textRotation="0" wrapText="true" indent="0" shrinkToFit="false"/>
      <protection locked="true" hidden="false"/>
    </xf>
    <xf numFmtId="171" fontId="48" fillId="0" borderId="2" xfId="0" applyFont="true" applyBorder="true" applyAlignment="true" applyProtection="false">
      <alignment horizontal="left" vertical="center" textRotation="0" wrapText="true" indent="0" shrinkToFit="false"/>
      <protection locked="true" hidden="false"/>
    </xf>
    <xf numFmtId="164" fontId="8" fillId="27"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left" vertical="center" textRotation="0" wrapText="true" indent="0" shrinkToFit="false"/>
      <protection locked="true" hidden="false"/>
    </xf>
    <xf numFmtId="164" fontId="8" fillId="19" borderId="2" xfId="0" applyFont="true" applyBorder="true" applyAlignment="true" applyProtection="false">
      <alignment horizontal="center" vertical="center" textRotation="0" wrapText="true" indent="0" shrinkToFit="false"/>
      <protection locked="true" hidden="false"/>
    </xf>
    <xf numFmtId="169" fontId="12" fillId="0" borderId="2" xfId="0" applyFont="true" applyBorder="true" applyAlignment="true" applyProtection="false">
      <alignment horizontal="center" vertical="center" textRotation="0" wrapText="true" indent="0" shrinkToFit="false"/>
      <protection locked="true" hidden="false"/>
    </xf>
    <xf numFmtId="168" fontId="84" fillId="7" borderId="1" xfId="0" applyFont="true" applyBorder="true" applyAlignment="true" applyProtection="false">
      <alignment horizontal="center" vertical="center" textRotation="0" wrapText="true" indent="0" shrinkToFit="false"/>
      <protection locked="true" hidden="false"/>
    </xf>
    <xf numFmtId="164" fontId="7" fillId="13" borderId="1" xfId="0" applyFont="true" applyBorder="true" applyAlignment="true" applyProtection="false">
      <alignment horizontal="left" vertical="center" textRotation="0" wrapText="true" indent="0" shrinkToFit="false"/>
      <protection locked="true" hidden="false"/>
    </xf>
    <xf numFmtId="174" fontId="12" fillId="0" borderId="2" xfId="0" applyFont="true" applyBorder="true" applyAlignment="true" applyProtection="false">
      <alignment horizontal="left" vertical="center" textRotation="0" wrapText="true" indent="0" shrinkToFit="false"/>
      <protection locked="true" hidden="false"/>
    </xf>
    <xf numFmtId="177" fontId="12" fillId="0" borderId="2"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72" fontId="45" fillId="0" borderId="2" xfId="0" applyFont="true" applyBorder="true" applyAlignment="true" applyProtection="false">
      <alignment horizontal="left" vertical="center" textRotation="0" wrapText="true" indent="0" shrinkToFit="false"/>
      <protection locked="true" hidden="false"/>
    </xf>
    <xf numFmtId="172" fontId="12" fillId="0" borderId="2" xfId="0" applyFont="true" applyBorder="true" applyAlignment="true" applyProtection="false">
      <alignment horizontal="general" vertical="center" textRotation="0" wrapText="true" indent="0" shrinkToFit="false"/>
      <protection locked="true" hidden="false"/>
    </xf>
    <xf numFmtId="164" fontId="89" fillId="0" borderId="2" xfId="0" applyFont="true" applyBorder="true" applyAlignment="true" applyProtection="false">
      <alignment horizontal="center" vertical="center" textRotation="0" wrapText="true" indent="0" shrinkToFit="false"/>
      <protection locked="true" hidden="false"/>
    </xf>
    <xf numFmtId="178" fontId="21" fillId="0" borderId="2"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70" fontId="21" fillId="0" borderId="2"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7" fillId="28" borderId="1" xfId="0" applyFont="true" applyBorder="true" applyAlignment="true" applyProtection="false">
      <alignment horizontal="left" vertical="center" textRotation="0" wrapText="true" indent="0" shrinkToFit="false"/>
      <protection locked="true" hidden="false"/>
    </xf>
    <xf numFmtId="164" fontId="11" fillId="18" borderId="0" xfId="0" applyFont="true" applyBorder="true" applyAlignment="true" applyProtection="false">
      <alignment horizontal="left" vertical="center" textRotation="0" wrapText="false" indent="0" shrinkToFit="false"/>
      <protection locked="true" hidden="false"/>
    </xf>
    <xf numFmtId="166" fontId="90" fillId="0" borderId="2"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6" fontId="45" fillId="0" borderId="2" xfId="0" applyFont="true" applyBorder="true" applyAlignment="true" applyProtection="false">
      <alignment horizontal="left" vertical="center" textRotation="0" wrapText="true" indent="0" shrinkToFit="false"/>
      <protection locked="true" hidden="false"/>
    </xf>
    <xf numFmtId="168" fontId="12" fillId="0" borderId="2" xfId="0" applyFont="true" applyBorder="true" applyAlignment="true" applyProtection="false">
      <alignment horizontal="left" vertical="center" textRotation="0" wrapText="true" indent="0" shrinkToFit="false"/>
      <protection locked="true" hidden="false"/>
    </xf>
    <xf numFmtId="166" fontId="8" fillId="12" borderId="2" xfId="0" applyFont="true" applyBorder="true" applyAlignment="true" applyProtection="false">
      <alignment horizontal="center" vertical="center" textRotation="0" wrapText="true" indent="0" shrinkToFit="false"/>
      <protection locked="true" hidden="false"/>
    </xf>
    <xf numFmtId="172" fontId="8" fillId="12" borderId="2" xfId="0" applyFont="true" applyBorder="true" applyAlignment="true" applyProtection="false">
      <alignment horizontal="center" vertical="center" textRotation="0" wrapText="true" indent="0" shrinkToFit="false"/>
      <protection locked="true" hidden="false"/>
    </xf>
    <xf numFmtId="166" fontId="12" fillId="0" borderId="2"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7">
    <dxf>
      <fill>
        <patternFill patternType="solid">
          <fgColor rgb="FF818B8D"/>
          <bgColor rgb="FF000000"/>
        </patternFill>
      </fill>
    </dxf>
    <dxf>
      <fill>
        <patternFill patternType="solid">
          <fgColor rgb="FFD5DBDB"/>
          <bgColor rgb="FF000000"/>
        </patternFill>
      </fill>
    </dxf>
    <dxf>
      <fill>
        <patternFill patternType="solid">
          <fgColor rgb="FFFEF5E7"/>
          <bgColor rgb="FF000000"/>
        </patternFill>
      </fill>
    </dxf>
    <dxf>
      <fill>
        <patternFill patternType="solid">
          <bgColor rgb="FF000000"/>
        </patternFill>
      </fill>
    </dxf>
    <dxf>
      <fill>
        <patternFill patternType="solid">
          <fgColor rgb="FF1A1A1A"/>
          <bgColor rgb="FF000000"/>
        </patternFill>
      </fill>
    </dxf>
    <dxf>
      <fill>
        <patternFill patternType="solid">
          <fgColor rgb="FF34495E"/>
          <bgColor rgb="FF000000"/>
        </patternFill>
      </fill>
    </dxf>
    <dxf>
      <fill>
        <patternFill patternType="solid">
          <fgColor rgb="FFB7950B"/>
          <bgColor rgb="FF000000"/>
        </patternFill>
      </fill>
    </dxf>
    <dxf>
      <fill>
        <patternFill patternType="solid">
          <fgColor rgb="FFFFFFFF"/>
          <bgColor rgb="FF000000"/>
        </patternFill>
      </fill>
    </dxf>
    <dxf>
      <fill>
        <patternFill patternType="solid">
          <fgColor rgb="FF1F618D"/>
          <bgColor rgb="FF000000"/>
        </patternFill>
      </fill>
    </dxf>
    <dxf>
      <fill>
        <patternFill patternType="solid">
          <fgColor rgb="FF3498DB"/>
          <bgColor rgb="FF000000"/>
        </patternFill>
      </fill>
    </dxf>
    <dxf>
      <fill>
        <patternFill patternType="solid">
          <fgColor rgb="FF7F8C8D"/>
          <bgColor rgb="FF000000"/>
        </patternFill>
      </fill>
    </dxf>
    <dxf>
      <fill>
        <patternFill patternType="solid">
          <fgColor rgb="FFD6EAF8"/>
          <bgColor rgb="FF000000"/>
        </patternFill>
      </fill>
    </dxf>
    <dxf>
      <fill>
        <patternFill patternType="solid">
          <fgColor rgb="FFFAE5D3"/>
          <bgColor rgb="FF000000"/>
        </patternFill>
      </fill>
    </dxf>
    <dxf>
      <fill>
        <patternFill patternType="solid">
          <fgColor rgb="FFFCF3CF"/>
          <bgColor rgb="FF000000"/>
        </patternFill>
      </fill>
    </dxf>
    <dxf>
      <fill>
        <patternFill>
          <bgColor rgb="FFFADBD8"/>
        </patternFill>
      </fill>
    </dxf>
    <dxf>
      <fill>
        <patternFill>
          <bgColor rgb="FFFCF3CF"/>
        </patternFill>
      </fill>
    </dxf>
    <dxf>
      <fill>
        <patternFill>
          <bgColor rgb="FFFAE5D3"/>
        </patternFill>
      </fill>
    </dxf>
    <dxf>
      <fill>
        <patternFill>
          <bgColor rgb="FFD6EAF8"/>
        </patternFill>
      </fill>
    </dxf>
    <dxf>
      <fill>
        <patternFill>
          <bgColor rgb="FFD5F4E6"/>
        </patternFill>
      </fill>
    </dxf>
    <dxf>
      <font>
        <name val="Montserrat"/>
        <charset val="1"/>
        <family val="0"/>
        <b val="1"/>
        <color rgb="FF9C0006"/>
      </font>
      <fill>
        <patternFill>
          <bgColor rgb="FFFFC7CE"/>
        </patternFill>
      </fill>
    </dxf>
    <dxf>
      <font>
        <name val="Montserrat"/>
        <charset val="1"/>
        <family val="0"/>
        <color rgb="FF006100"/>
      </font>
      <fill>
        <patternFill>
          <bgColor rgb="FFC6EFCE"/>
        </patternFill>
      </fill>
    </dxf>
    <dxf>
      <font>
        <name val="Montserrat"/>
        <charset val="1"/>
        <family val="0"/>
        <color rgb="FF9C6500"/>
      </font>
      <fill>
        <patternFill>
          <bgColor rgb="FFFFEB9C"/>
        </patternFill>
      </fill>
    </dxf>
    <dxf>
      <fill>
        <patternFill patternType="solid">
          <fgColor rgb="FF1ABC9C"/>
          <bgColor rgb="FF000000"/>
        </patternFill>
      </fill>
    </dxf>
    <dxf>
      <fill>
        <patternFill patternType="solid">
          <fgColor rgb="FFD5F4E6"/>
          <bgColor rgb="FF000000"/>
        </patternFill>
      </fill>
    </dxf>
    <dxf>
      <fill>
        <patternFill patternType="solid">
          <fgColor rgb="FFE67E22"/>
          <bgColor rgb="FF000000"/>
        </patternFill>
      </fill>
    </dxf>
    <dxf>
      <fill>
        <patternFill patternType="solid">
          <fgColor rgb="FFF39C12"/>
          <bgColor rgb="FF000000"/>
        </patternFill>
      </fill>
    </dxf>
    <dxf>
      <fill>
        <patternFill patternType="solid">
          <fgColor rgb="FF1A5276"/>
          <bgColor rgb="FF000000"/>
        </patternFill>
      </fill>
    </dxf>
    <dxf>
      <fill>
        <patternFill patternType="solid">
          <fgColor rgb="FF16985D"/>
          <bgColor rgb="FF000000"/>
        </patternFill>
      </fill>
    </dxf>
    <dxf>
      <fill>
        <patternFill patternType="solid">
          <fgColor rgb="FFFADBD8"/>
          <bgColor rgb="FF000000"/>
        </patternFill>
      </fill>
    </dxf>
    <dxf>
      <fill>
        <patternFill>
          <bgColor rgb="FFD5DBDB"/>
        </patternFill>
      </fill>
    </dxf>
    <dxf>
      <fill>
        <patternFill patternType="solid">
          <fgColor rgb="FFE74C3C"/>
          <bgColor rgb="FF000000"/>
        </patternFill>
      </fill>
    </dxf>
    <dxf>
      <font>
        <name val="Montserrat"/>
        <charset val="1"/>
        <family val="0"/>
        <b val="1"/>
        <color rgb="FF9B1B30"/>
        <sz val="10"/>
      </font>
      <fill>
        <patternFill>
          <bgColor rgb="FFFADBD8"/>
        </patternFill>
      </fill>
    </dxf>
    <dxf>
      <fill>
        <patternFill patternType="solid">
          <fgColor rgb="FFC0392B"/>
          <bgColor rgb="FF000000"/>
        </patternFill>
      </fill>
    </dxf>
    <dxf>
      <fill>
        <patternFill patternType="solid">
          <fgColor rgb="FF8E46AB"/>
          <bgColor rgb="FF000000"/>
        </patternFill>
      </fill>
    </dxf>
    <dxf>
      <fill>
        <patternFill patternType="solid">
          <fgColor rgb="FF9B59B6"/>
          <bgColor rgb="FF000000"/>
        </patternFill>
      </fill>
    </dxf>
    <dxf>
      <fill>
        <patternFill patternType="solid">
          <fgColor rgb="FFD35400"/>
          <bgColor rgb="FF000000"/>
        </patternFill>
      </fill>
    </dxf>
    <dxf>
      <fill>
        <patternFill patternType="solid">
          <fgColor rgb="FF1EB06C"/>
          <bgColor rgb="FF000000"/>
        </patternFill>
      </fill>
    </dxf>
  </dxfs>
  <colors>
    <indexedColors>
      <rgbColor rgb="FF000000"/>
      <rgbColor rgb="FFFFFFFF"/>
      <rgbColor rgb="FFC0392B"/>
      <rgbColor rgb="FF1EB06B"/>
      <rgbColor rgb="FF0000FF"/>
      <rgbColor rgb="FFFCF3CF"/>
      <rgbColor rgb="FFD35400"/>
      <rgbColor rgb="FF7F8C8D"/>
      <rgbColor rgb="FF9C0006"/>
      <rgbColor rgb="FF006100"/>
      <rgbColor rgb="FFEBF5FB"/>
      <rgbColor rgb="FF9C6500"/>
      <rgbColor rgb="FF8E46AB"/>
      <rgbColor rgb="FF147B4A"/>
      <rgbColor rgb="FFB7B7B7"/>
      <rgbColor rgb="FF818B8D"/>
      <rgbColor rgb="FF5BABE2"/>
      <rgbColor rgb="FFAB3126"/>
      <rgbColor rgb="FFFFF9C4"/>
      <rgbColor rgb="FFD5F4E6"/>
      <rgbColor rgb="FF59626B"/>
      <rgbColor rgb="FFE74C3C"/>
      <rgbColor rgb="FF2874A6"/>
      <rgbColor rgb="FFD5D8DC"/>
      <rgbColor rgb="FFFEF5E7"/>
      <rgbColor rgb="FFBC760E"/>
      <rgbColor rgb="FFFEF9E7"/>
      <rgbColor rgb="FFE9F7EF"/>
      <rgbColor rgb="FF9B59B6"/>
      <rgbColor rgb="FF9B1B2F"/>
      <rgbColor rgb="FF1E8449"/>
      <rgbColor rgb="FFEEF3F9"/>
      <rgbColor rgb="FF3498DB"/>
      <rgbColor rgb="FFD6EAF8"/>
      <rgbColor rgb="FFC6EFCE"/>
      <rgbColor rgb="FFFFEB9C"/>
      <rgbColor rgb="FFD5DBDB"/>
      <rgbColor rgb="FFFADBD8"/>
      <rgbColor rgb="FF808B96"/>
      <rgbColor rgb="FFFFC7CE"/>
      <rgbColor rgb="FF1F608C"/>
      <rgbColor rgb="FF1ABC9C"/>
      <rgbColor rgb="FFBA820C"/>
      <rgbColor rgb="FFFAE5D3"/>
      <rgbColor rgb="FFF39C12"/>
      <rgbColor rgb="FFE67E22"/>
      <rgbColor rgb="FF5D6D7E"/>
      <rgbColor rgb="FF999999"/>
      <rgbColor rgb="FF1A5276"/>
      <rgbColor rgb="FF16985C"/>
      <rgbColor rgb="FF2E5A88"/>
      <rgbColor rgb="FF1A1A1A"/>
      <rgbColor rgb="FFA9321E"/>
      <rgbColor rgb="FFAC3026"/>
      <rgbColor rgb="FF34495E"/>
      <rgbColor rgb="FF303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4.xml"/><Relationship Id="rId3" Type="http://schemas.openxmlformats.org/officeDocument/2006/relationships/vmlDrawing" Target="../drawings/vmlDrawing5.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5.xml"/><Relationship Id="rId3" Type="http://schemas.openxmlformats.org/officeDocument/2006/relationships/vmlDrawing" Target="../drawings/vmlDrawing6.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6.xml"/><Relationship Id="rId3" Type="http://schemas.openxmlformats.org/officeDocument/2006/relationships/vmlDrawing" Target="../drawings/vmlDrawing7.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7.xml"/><Relationship Id="rId3" Type="http://schemas.openxmlformats.org/officeDocument/2006/relationships/vmlDrawing" Target="../drawings/vmlDrawing8.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8.xml"/><Relationship Id="rId3" Type="http://schemas.openxmlformats.org/officeDocument/2006/relationships/vmlDrawing" Target="../drawings/vmlDrawing9.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9.xml"/><Relationship Id="rId3" Type="http://schemas.openxmlformats.org/officeDocument/2006/relationships/vmlDrawing" Target="../drawings/vmlDrawing10.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10.xml"/><Relationship Id="rId3" Type="http://schemas.openxmlformats.org/officeDocument/2006/relationships/vmlDrawing" Target="../drawings/vmlDrawing11.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11.xml"/><Relationship Id="rId3" Type="http://schemas.openxmlformats.org/officeDocument/2006/relationships/vmlDrawing" Target="../drawings/vmlDrawing12.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12.xml"/><Relationship Id="rId3" Type="http://schemas.openxmlformats.org/officeDocument/2006/relationships/vmlDrawing" Target="../drawings/vmlDrawing13.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13.xml"/><Relationship Id="rId3" Type="http://schemas.openxmlformats.org/officeDocument/2006/relationships/vmlDrawing" Target="../drawings/vmlDrawing14.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14.xml"/><Relationship Id="rId3" Type="http://schemas.openxmlformats.org/officeDocument/2006/relationships/vmlDrawing" Target="../drawings/vmlDrawing15.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15.xml"/><Relationship Id="rId3" Type="http://schemas.openxmlformats.org/officeDocument/2006/relationships/vmlDrawing" Target="../drawings/vmlDrawing16.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16.xml"/><Relationship Id="rId3" Type="http://schemas.openxmlformats.org/officeDocument/2006/relationships/vmlDrawing" Target="../drawings/vmlDrawing17.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17.xml"/><Relationship Id="rId3" Type="http://schemas.openxmlformats.org/officeDocument/2006/relationships/vmlDrawing" Target="../drawings/vmlDrawing18.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18.xml"/><Relationship Id="rId3" Type="http://schemas.openxmlformats.org/officeDocument/2006/relationships/vmlDrawing" Target="../drawings/vmlDrawing19.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0.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22.vml"/>
</Relationships>
</file>

<file path=xl/worksheets/_rels/sheet33.xml.rels><?xml version="1.0" encoding="UTF-8"?>
<Relationships xmlns="http://schemas.openxmlformats.org/package/2006/relationships"><Relationship Id="rId1" Type="http://schemas.openxmlformats.org/officeDocument/2006/relationships/comments" Target="../comments33.xml"/><Relationship Id="rId2" Type="http://schemas.openxmlformats.org/officeDocument/2006/relationships/vmlDrawing" Target="../drawings/vmlDrawing23.vml"/>
</Relationships>
</file>

<file path=xl/worksheets/_rels/sheet34.xml.rels><?xml version="1.0" encoding="UTF-8"?>
<Relationships xmlns="http://schemas.openxmlformats.org/package/2006/relationships"><Relationship Id="rId1" Type="http://schemas.openxmlformats.org/officeDocument/2006/relationships/comments" Target="../comments34.xml"/><Relationship Id="rId2" Type="http://schemas.openxmlformats.org/officeDocument/2006/relationships/vmlDrawing" Target="../drawings/vmlDrawing24.vml"/>
</Relationships>
</file>

<file path=xl/worksheets/_rels/sheet35.xml.rels><?xml version="1.0" encoding="UTF-8"?>
<Relationships xmlns="http://schemas.openxmlformats.org/package/2006/relationships"><Relationship Id="rId1" Type="http://schemas.openxmlformats.org/officeDocument/2006/relationships/comments" Target="../comments35.xml"/><Relationship Id="rId2" Type="http://schemas.openxmlformats.org/officeDocument/2006/relationships/vmlDrawing" Target="../drawings/vmlDrawing25.vml"/>
</Relationships>
</file>

<file path=xl/worksheets/_rels/sheet36.xml.rels><?xml version="1.0" encoding="UTF-8"?>
<Relationships xmlns="http://schemas.openxmlformats.org/package/2006/relationships"><Relationship Id="rId1" Type="http://schemas.openxmlformats.org/officeDocument/2006/relationships/comments" Target="../comments36.xml"/><Relationship Id="rId2" Type="http://schemas.openxmlformats.org/officeDocument/2006/relationships/vmlDrawing" Target="../drawings/vmlDrawing26.vml"/>
</Relationships>
</file>

<file path=xl/worksheets/_rels/sheet37.xml.rels><?xml version="1.0" encoding="UTF-8"?>
<Relationships xmlns="http://schemas.openxmlformats.org/package/2006/relationships"><Relationship Id="rId1" Type="http://schemas.openxmlformats.org/officeDocument/2006/relationships/comments" Target="../comments37.xml"/><Relationship Id="rId2" Type="http://schemas.openxmlformats.org/officeDocument/2006/relationships/hyperlink" Target="https://docs.google.com/spreadsheets/d/1OAJPbddbH3P62_oGNEZ0zuI5DCfJQM46VUyOex5GixE/edit" TargetMode="External"/><Relationship Id="rId3" Type="http://schemas.openxmlformats.org/officeDocument/2006/relationships/hyperlink" Target="https://docs.google.com/spreadsheets/d/1OAJPbddbH3P62_oGNEZ0zuI5DCfJQM46VUyOex5GixE/edit" TargetMode="External"/><Relationship Id="rId4" Type="http://schemas.openxmlformats.org/officeDocument/2006/relationships/vmlDrawing" Target="../drawings/vmlDrawing27.vml"/>
</Relationships>
</file>

<file path=xl/worksheets/_rels/sheet38.xml.rels><?xml version="1.0" encoding="UTF-8"?>
<Relationships xmlns="http://schemas.openxmlformats.org/package/2006/relationships"><Relationship Id="rId1" Type="http://schemas.openxmlformats.org/officeDocument/2006/relationships/comments" Target="../comments38.xml"/><Relationship Id="rId2" Type="http://schemas.openxmlformats.org/officeDocument/2006/relationships/vmlDrawing" Target="../drawings/vmlDrawing28.vml"/>
</Relationships>
</file>

<file path=xl/worksheets/_rels/sheet39.xml.rels><?xml version="1.0" encoding="UTF-8"?>
<Relationships xmlns="http://schemas.openxmlformats.org/package/2006/relationships"><Relationship Id="rId1" Type="http://schemas.openxmlformats.org/officeDocument/2006/relationships/comments" Target="../comments39.xml"/><Relationship Id="rId2" Type="http://schemas.openxmlformats.org/officeDocument/2006/relationships/hyperlink" Target="https://docs.google.com/spreadsheets/d/1OAJPbddbH3P62_oGNEZ0zuI5DCfJQM46VUyOex5GixE/edit" TargetMode="External"/><Relationship Id="rId3" Type="http://schemas.openxmlformats.org/officeDocument/2006/relationships/vmlDrawing" Target="../drawings/vmlDrawing29.vml"/>
</Relationships>
</file>

<file path=xl/worksheets/_rels/sheet40.xml.rels><?xml version="1.0" encoding="UTF-8"?>
<Relationships xmlns="http://schemas.openxmlformats.org/package/2006/relationships"><Relationship Id="rId1" Type="http://schemas.openxmlformats.org/officeDocument/2006/relationships/comments" Target="../comments40.xml"/><Relationship Id="rId2" Type="http://schemas.openxmlformats.org/officeDocument/2006/relationships/hyperlink" Target="https://docs.google.com/spreadsheets/d/1OAJPbddbH3P62_oGNEZ0zuI5DCfJQM46VUyOex5GixE/edit" TargetMode="External"/><Relationship Id="rId3" Type="http://schemas.openxmlformats.org/officeDocument/2006/relationships/hyperlink" Target="https://docs.google.com/spreadsheets/d/1OAJPbddbH3P62_oGNEZ0zuI5DCfJQM46VUyOex5GixE/edit" TargetMode="External"/><Relationship Id="rId4" Type="http://schemas.openxmlformats.org/officeDocument/2006/relationships/hyperlink" Target="https://docs.google.com/spreadsheets/d/1OAJPbddbH3P62_oGNEZ0zuI5DCfJQM46VUyOex5GixE/edit" TargetMode="External"/><Relationship Id="rId5" Type="http://schemas.openxmlformats.org/officeDocument/2006/relationships/hyperlink" Target="https://docs.google.com/spreadsheets/d/1OAJPbddbH3P62_oGNEZ0zuI5DCfJQM46VUyOex5GixE/edit" TargetMode="External"/><Relationship Id="rId6" Type="http://schemas.openxmlformats.org/officeDocument/2006/relationships/vmlDrawing" Target="../drawings/vmlDrawing30.vml"/>
</Relationships>
</file>

<file path=xl/worksheets/_rels/sheet41.xml.rels><?xml version="1.0" encoding="UTF-8"?>
<Relationships xmlns="http://schemas.openxmlformats.org/package/2006/relationships"><Relationship Id="rId1" Type="http://schemas.openxmlformats.org/officeDocument/2006/relationships/comments" Target="../comments41.xml"/><Relationship Id="rId2" Type="http://schemas.openxmlformats.org/officeDocument/2006/relationships/hyperlink" Target="https://docs.google.com/spreadsheets/d/1OAJPbddbH3P62_oGNEZ0zuI5DCfJQM46VUyOex5GixE/edit" TargetMode="External"/><Relationship Id="rId3" Type="http://schemas.openxmlformats.org/officeDocument/2006/relationships/hyperlink" Target="https://docs.google.com/spreadsheets/d/1OAJPbddbH3P62_oGNEZ0zuI5DCfJQM46VUyOex5GixE/edit" TargetMode="External"/><Relationship Id="rId4" Type="http://schemas.openxmlformats.org/officeDocument/2006/relationships/hyperlink" Target="https://docs.google.com/spreadsheets/d/1OAJPbddbH3P62_oGNEZ0zuI5DCfJQM46VUyOex5GixE/edit" TargetMode="External"/><Relationship Id="rId5" Type="http://schemas.openxmlformats.org/officeDocument/2006/relationships/hyperlink" Target="https://docs.google.com/spreadsheets/d/1OAJPbddbH3P62_oGNEZ0zuI5DCfJQM46VUyOex5GixE/edit" TargetMode="External"/><Relationship Id="rId6" Type="http://schemas.openxmlformats.org/officeDocument/2006/relationships/vmlDrawing" Target="../drawings/vmlDrawing31.vml"/>
</Relationships>
</file>

<file path=xl/worksheets/_rels/sheet42.xml.rels><?xml version="1.0" encoding="UTF-8"?>
<Relationships xmlns="http://schemas.openxmlformats.org/package/2006/relationships"><Relationship Id="rId1" Type="http://schemas.openxmlformats.org/officeDocument/2006/relationships/comments" Target="../comments42.xml"/><Relationship Id="rId2" Type="http://schemas.openxmlformats.org/officeDocument/2006/relationships/hyperlink" Target="https://docs.google.com/spreadsheets/d/1OAJPbddbH3P62_oGNEZ0zuI5DCfJQM46VUyOex5GixE/edit" TargetMode="External"/><Relationship Id="rId3" Type="http://schemas.openxmlformats.org/officeDocument/2006/relationships/hyperlink" Target="https://docs.google.com/spreadsheets/d/1OAJPbddbH3P62_oGNEZ0zuI5DCfJQM46VUyOex5GixE/edit" TargetMode="External"/><Relationship Id="rId4" Type="http://schemas.openxmlformats.org/officeDocument/2006/relationships/hyperlink" Target="https://docs.google.com/spreadsheets/d/1OAJPbddbH3P62_oGNEZ0zuI5DCfJQM46VUyOex5GixE/edit" TargetMode="External"/><Relationship Id="rId5" Type="http://schemas.openxmlformats.org/officeDocument/2006/relationships/hyperlink" Target="https://docs.google.com/spreadsheets/d/1OAJPbddbH3P62_oGNEZ0zuI5DCfJQM46VUyOex5GixE/edit" TargetMode="External"/><Relationship Id="rId6" Type="http://schemas.openxmlformats.org/officeDocument/2006/relationships/vmlDrawing" Target="../drawings/vmlDrawing32.vml"/>
</Relationships>
</file>

<file path=xl/worksheets/_rels/sheet43.xml.rels><?xml version="1.0" encoding="UTF-8"?>
<Relationships xmlns="http://schemas.openxmlformats.org/package/2006/relationships"><Relationship Id="rId1" Type="http://schemas.openxmlformats.org/officeDocument/2006/relationships/comments" Target="../comments43.xml"/><Relationship Id="rId2" Type="http://schemas.openxmlformats.org/officeDocument/2006/relationships/vmlDrawing" Target="../drawings/vmlDrawing33.vml"/>
</Relationships>
</file>

<file path=xl/worksheets/_rels/sheet44.xml.rels><?xml version="1.0" encoding="UTF-8"?>
<Relationships xmlns="http://schemas.openxmlformats.org/package/2006/relationships"><Relationship Id="rId1" Type="http://schemas.openxmlformats.org/officeDocument/2006/relationships/comments" Target="../comments44.xml"/><Relationship Id="rId2" Type="http://schemas.openxmlformats.org/officeDocument/2006/relationships/vmlDrawing" Target="../drawings/vmlDrawing34.vml"/>
</Relationships>
</file>

<file path=xl/worksheets/_rels/sheet45.xml.rels><?xml version="1.0" encoding="UTF-8"?>
<Relationships xmlns="http://schemas.openxmlformats.org/package/2006/relationships"><Relationship Id="rId1" Type="http://schemas.openxmlformats.org/officeDocument/2006/relationships/comments" Target="../comments45.xml"/><Relationship Id="rId2" Type="http://schemas.openxmlformats.org/officeDocument/2006/relationships/vmlDrawing" Target="../drawings/vmlDrawing35.vml"/>
</Relationships>
</file>

<file path=xl/worksheets/_rels/sheet46.xml.rels><?xml version="1.0" encoding="UTF-8"?>
<Relationships xmlns="http://schemas.openxmlformats.org/package/2006/relationships"><Relationship Id="rId1" Type="http://schemas.openxmlformats.org/officeDocument/2006/relationships/comments" Target="../comments46.xml"/><Relationship Id="rId2" Type="http://schemas.openxmlformats.org/officeDocument/2006/relationships/vmlDrawing" Target="../drawings/vmlDrawing36.vml"/>
</Relationships>
</file>

<file path=xl/worksheets/_rels/sheet47.xml.rels><?xml version="1.0" encoding="UTF-8"?>
<Relationships xmlns="http://schemas.openxmlformats.org/package/2006/relationships"><Relationship Id="rId1" Type="http://schemas.openxmlformats.org/officeDocument/2006/relationships/comments" Target="../comments47.xml"/><Relationship Id="rId2" Type="http://schemas.openxmlformats.org/officeDocument/2006/relationships/vmlDrawing" Target="../drawings/vmlDrawing37.vml"/>
</Relationships>
</file>

<file path=xl/worksheets/_rels/sheet48.xml.rels><?xml version="1.0" encoding="UTF-8"?>
<Relationships xmlns="http://schemas.openxmlformats.org/package/2006/relationships"><Relationship Id="rId1" Type="http://schemas.openxmlformats.org/officeDocument/2006/relationships/comments" Target="../comments48.xml"/><Relationship Id="rId2" Type="http://schemas.openxmlformats.org/officeDocument/2006/relationships/vmlDrawing" Target="../drawings/vmlDrawing38.vml"/>
</Relationships>
</file>

<file path=xl/worksheets/_rels/sheet49.xml.rels><?xml version="1.0" encoding="UTF-8"?>
<Relationships xmlns="http://schemas.openxmlformats.org/package/2006/relationships"><Relationship Id="rId1" Type="http://schemas.openxmlformats.org/officeDocument/2006/relationships/comments" Target="../comments49.xml"/><Relationship Id="rId2" Type="http://schemas.openxmlformats.org/officeDocument/2006/relationships/vmlDrawing" Target="../drawings/vmlDrawing39.vml"/>
</Relationships>
</file>

<file path=xl/worksheets/_rels/sheet50.xml.rels><?xml version="1.0" encoding="UTF-8"?>
<Relationships xmlns="http://schemas.openxmlformats.org/package/2006/relationships"><Relationship Id="rId1" Type="http://schemas.openxmlformats.org/officeDocument/2006/relationships/comments" Target="../comments50.xml"/><Relationship Id="rId2" Type="http://schemas.openxmlformats.org/officeDocument/2006/relationships/vmlDrawing" Target="../drawings/vmlDrawing40.vml"/>
</Relationships>
</file>

<file path=xl/worksheets/_rels/sheet51.xml.rels><?xml version="1.0" encoding="UTF-8"?>
<Relationships xmlns="http://schemas.openxmlformats.org/package/2006/relationships"><Relationship Id="rId1" Type="http://schemas.openxmlformats.org/officeDocument/2006/relationships/comments" Target="../comments51.xml"/><Relationship Id="rId2" Type="http://schemas.openxmlformats.org/officeDocument/2006/relationships/vmlDrawing" Target="../drawings/vmlDrawing41.vml"/>
</Relationships>
</file>

<file path=xl/worksheets/_rels/sheet52.xml.rels><?xml version="1.0" encoding="UTF-8"?>
<Relationships xmlns="http://schemas.openxmlformats.org/package/2006/relationships"><Relationship Id="rId1" Type="http://schemas.openxmlformats.org/officeDocument/2006/relationships/comments" Target="../comments52.xml"/><Relationship Id="rId2" Type="http://schemas.openxmlformats.org/officeDocument/2006/relationships/vmlDrawing" Target="../drawings/vmlDrawing4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B96"/>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8" min="1" style="1" width="29.14"/>
    <col collapsed="false" customWidth="true" hidden="false" outlineLevel="0" max="26" min="9" style="1" width="8.71"/>
  </cols>
  <sheetData>
    <row r="1" customFormat="false" ht="48"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3" customFormat="false" ht="15" hidden="false" customHeight="true" outlineLevel="0" collapsed="false">
      <c r="A3" s="4"/>
      <c r="B3" s="4"/>
      <c r="C3" s="4"/>
      <c r="D3" s="4"/>
      <c r="E3" s="4"/>
      <c r="F3" s="4"/>
      <c r="G3" s="4"/>
      <c r="H3" s="4"/>
    </row>
    <row r="4" customFormat="false" ht="25.5" hidden="false" customHeight="true" outlineLevel="0" collapsed="false">
      <c r="A4" s="5" t="s">
        <v>2</v>
      </c>
      <c r="B4" s="5"/>
      <c r="C4" s="5"/>
      <c r="D4" s="5"/>
      <c r="E4" s="5"/>
      <c r="F4" s="5"/>
      <c r="G4" s="5"/>
      <c r="H4" s="5"/>
    </row>
    <row r="5" customFormat="false" ht="24" hidden="false" customHeight="true" outlineLevel="0" collapsed="false">
      <c r="A5" s="6" t="s">
        <v>3</v>
      </c>
      <c r="B5" s="6"/>
      <c r="C5" s="7" t="s">
        <v>4</v>
      </c>
      <c r="D5" s="7"/>
      <c r="E5" s="8" t="s">
        <v>5</v>
      </c>
      <c r="F5" s="8"/>
      <c r="G5" s="9" t="s">
        <v>6</v>
      </c>
      <c r="H5" s="9"/>
    </row>
    <row r="6" customFormat="false" ht="43.5" hidden="false" customHeight="true" outlineLevel="0" collapsed="false">
      <c r="A6" s="10" t="n">
        <f aca="false">COUNTA('DL02. Khách tiềm năng'!A4:A500)</f>
        <v>20</v>
      </c>
      <c r="B6" s="10"/>
      <c r="C6" s="10" t="n">
        <f aca="false">COUNTIF('DL02. Khách tiềm năng'!P4:P500,"new*")</f>
        <v>2</v>
      </c>
      <c r="D6" s="10"/>
      <c r="E6" s="10" t="n">
        <f aca="false">COUNTIF('DL06. Đăng ký'!F4:F500,"confirmed*")</f>
        <v>14</v>
      </c>
      <c r="F6" s="10"/>
      <c r="G6" s="11" t="n">
        <f aca="false">SUM('DL07. Thanh toán'!H4:H500)</f>
        <v>218000000</v>
      </c>
      <c r="H6" s="11"/>
    </row>
    <row r="7" customFormat="false" ht="18" hidden="false" customHeight="true" outlineLevel="0" collapsed="false">
      <c r="A7" s="12" t="s">
        <v>7</v>
      </c>
      <c r="B7" s="12"/>
      <c r="C7" s="13" t="str">
        <f aca="false">HYPERLINK("#'CH2. Tham số &amp; Quy tắc'!A"&amp;MATCH("slaLRT_minutes",'CH2. Tham số &amp; Quy tắc'!$A:$A,0),"SLA gọi "&amp;slaLRT_minutes&amp;" phút")</f>
        <v>SLA gọi 15 phút</v>
      </c>
      <c r="D7" s="13"/>
      <c r="E7" s="12" t="s">
        <v>8</v>
      </c>
      <c r="F7" s="12"/>
      <c r="G7" s="12" t="s">
        <v>9</v>
      </c>
      <c r="H7" s="12"/>
    </row>
    <row r="8" customFormat="false" ht="25.5" hidden="false" customHeight="true" outlineLevel="0" collapsed="false">
      <c r="A8" s="14" t="s">
        <v>10</v>
      </c>
      <c r="B8" s="14"/>
      <c r="C8" s="14"/>
      <c r="D8" s="14"/>
      <c r="E8" s="14"/>
      <c r="F8" s="14"/>
      <c r="G8" s="14"/>
      <c r="H8" s="14"/>
    </row>
    <row r="9" customFormat="false" ht="24" hidden="false" customHeight="true" outlineLevel="0" collapsed="false">
      <c r="A9" s="15" t="s">
        <v>11</v>
      </c>
      <c r="B9" s="15"/>
      <c r="C9" s="16" t="s">
        <v>12</v>
      </c>
      <c r="D9" s="16"/>
      <c r="E9" s="17" t="s">
        <v>13</v>
      </c>
      <c r="F9" s="17"/>
      <c r="G9" s="18" t="s">
        <v>14</v>
      </c>
      <c r="H9" s="18"/>
    </row>
    <row r="10" customFormat="false" ht="43.5" hidden="false" customHeight="true" outlineLevel="0" collapsed="false">
      <c r="A10" s="10" t="n">
        <f aca="false">COUNTIF('DL09. Học viên'!O4:O500,"active*")</f>
        <v>11</v>
      </c>
      <c r="B10" s="10"/>
      <c r="C10" s="10" t="n">
        <f aca="false">COUNTIF('DL09. Học viên'!R4:R500,"at_risk*")+COUNTIF('DL09. Học viên'!R4:R500,"off_track*")+COUNTIF('DL09. Học viên'!S4:S500,"at_risk*")+COUNTIF('DL09. Học viên'!S4:S500,"off_track*")</f>
        <v>4</v>
      </c>
      <c r="D10" s="10"/>
      <c r="E10" s="10" t="n">
        <f aca="false">COUNTIF('DL10. Lớp học'!K4:K500,"in_progress*")</f>
        <v>4</v>
      </c>
      <c r="F10" s="10"/>
      <c r="G10" s="10" t="n">
        <f aca="false">COUNTIF('DL17. Khiếu nại'!J4:J500,"new*")+COUNTIF('DL17. Khiếu nại'!J4:J500,"assigned*")+COUNTIF('DL17. Khiếu nại'!J4:J500,"in_progress*")+COUNTIF('DL17. Khiếu nại'!J4:J500,"escalated*")</f>
        <v>4</v>
      </c>
      <c r="H10" s="10"/>
    </row>
    <row r="11" customFormat="false" ht="18" hidden="false" customHeight="true" outlineLevel="0" collapsed="false">
      <c r="A11" s="12" t="s">
        <v>11</v>
      </c>
      <c r="B11" s="12"/>
      <c r="C11" s="12" t="s">
        <v>15</v>
      </c>
      <c r="D11" s="12"/>
      <c r="E11" s="12" t="s">
        <v>13</v>
      </c>
      <c r="F11" s="12"/>
      <c r="G11" s="12" t="s">
        <v>16</v>
      </c>
      <c r="H11" s="12"/>
    </row>
    <row r="12" customFormat="false" ht="25.5" hidden="false" customHeight="true" outlineLevel="0" collapsed="false">
      <c r="A12" s="19" t="s">
        <v>17</v>
      </c>
      <c r="B12" s="19"/>
      <c r="C12" s="19"/>
      <c r="D12" s="19"/>
      <c r="E12" s="19"/>
      <c r="F12" s="19"/>
      <c r="G12" s="19"/>
      <c r="H12" s="19"/>
    </row>
    <row r="13" customFormat="false" ht="21.75" hidden="false" customHeight="true" outlineLevel="0" collapsed="false">
      <c r="A13" s="20" t="s">
        <v>18</v>
      </c>
      <c r="B13" s="20" t="s">
        <v>19</v>
      </c>
      <c r="C13" s="20" t="s">
        <v>20</v>
      </c>
      <c r="D13" s="20" t="s">
        <v>21</v>
      </c>
      <c r="E13" s="4"/>
      <c r="F13" s="4"/>
      <c r="G13" s="4"/>
      <c r="H13" s="4"/>
    </row>
    <row r="14" customFormat="false" ht="21.75" hidden="false" customHeight="true" outlineLevel="0" collapsed="false">
      <c r="A14" s="21" t="s">
        <v>22</v>
      </c>
      <c r="B14" s="21" t="s">
        <v>23</v>
      </c>
      <c r="C14" s="22" t="n">
        <f aca="true">COUNTIF('DL02. Khách tiềm năng'!Q4:Q500,"&lt;="&amp;TODAY()+1)</f>
        <v>3</v>
      </c>
      <c r="D14" s="23" t="str">
        <f aca="false">HYPERLINK("#'VH5. Việc - Chăm khách'!A1","Mở")</f>
        <v>Mở</v>
      </c>
      <c r="E14" s="4"/>
      <c r="F14" s="4"/>
      <c r="G14" s="4"/>
      <c r="H14" s="4"/>
    </row>
    <row r="15" customFormat="false" ht="21.75" hidden="false" customHeight="true" outlineLevel="0" collapsed="false">
      <c r="A15" s="21" t="s">
        <v>24</v>
      </c>
      <c r="B15" s="21" t="s">
        <v>25</v>
      </c>
      <c r="C15" s="22" t="n">
        <f aca="false">COUNTIF('DL09. Học viên'!R4:R500,"at_risk*")+COUNTIF('DL09. Học viên'!R4:R500,"off_track*")</f>
        <v>2</v>
      </c>
      <c r="D15" s="23" t="str">
        <f aca="false">HYPERLINK("#'VH6. Việc - Học viên nguy cơ'!A1","Mở")</f>
        <v>Mở</v>
      </c>
      <c r="E15" s="4"/>
      <c r="F15" s="4"/>
      <c r="G15" s="4"/>
      <c r="H15" s="4"/>
    </row>
    <row r="16" customFormat="false" ht="21.75" hidden="false" customHeight="true" outlineLevel="0" collapsed="false">
      <c r="A16" s="21" t="s">
        <v>26</v>
      </c>
      <c r="B16" s="21" t="s">
        <v>27</v>
      </c>
      <c r="C16" s="22" t="n">
        <f aca="false">COUNTIF('DL03. Đặt lịch test'!J4:J500,"pending*")</f>
        <v>1</v>
      </c>
      <c r="D16" s="23" t="str">
        <f aca="false">HYPERLINK("#'VH7. Việc - Test chờ chấm'!A1","Mở")</f>
        <v>Mở</v>
      </c>
      <c r="E16" s="4"/>
      <c r="F16" s="4"/>
      <c r="G16" s="4"/>
      <c r="H16" s="4"/>
    </row>
    <row r="17" customFormat="false" ht="21.75" hidden="false" customHeight="true" outlineLevel="0" collapsed="false">
      <c r="A17" s="21" t="s">
        <v>28</v>
      </c>
      <c r="B17" s="21" t="s">
        <v>29</v>
      </c>
      <c r="C17" s="22" t="n">
        <f aca="false">COUNTIF('DL06. Đăng ký'!P4:P500,"partial*")+COUNTIF('DL06. Đăng ký'!P4:P500,"unpaid*")</f>
        <v>4</v>
      </c>
      <c r="D17" s="23" t="str">
        <f aca="false">HYPERLINK("#'VH8. Việc - Thu học phí'!A1","Mở")</f>
        <v>Mở</v>
      </c>
      <c r="E17" s="4"/>
      <c r="F17" s="4"/>
      <c r="G17" s="4"/>
      <c r="H17" s="4"/>
    </row>
    <row r="18" customFormat="false" ht="21.75" hidden="false" customHeight="true" outlineLevel="0" collapsed="false">
      <c r="A18" s="21" t="s">
        <v>30</v>
      </c>
      <c r="B18" s="21" t="str">
        <f aca="false">HYPERLINK("#'CH2. Tham số &amp; Quy tắc'!A"&amp;MATCH("thresholdClassStart_days",'CH2. Tham số &amp; Quy tắc'!$A:$A,0),"Lớp khai giảng trong "&amp;thresholdClassStart_days&amp;" ngày")</f>
        <v>Lớp khai giảng trong 14 ngày</v>
      </c>
      <c r="C18" s="22" t="n">
        <f aca="true">COUNTIFS('DL10. Lớp học'!F4:F500,"&gt;="&amp;TODAY(),'DL10. Lớp học'!F4:F500,"&lt;="&amp;TODAY()+thresholdClassStart_days)</f>
        <v>2</v>
      </c>
      <c r="D18" s="23" t="str">
        <f aca="false">HYPERLINK("#'VH9. Việc - Lớp sắp khai giảng'!A1","Mở")</f>
        <v>Mở</v>
      </c>
      <c r="E18" s="4"/>
      <c r="F18" s="4"/>
      <c r="G18" s="4"/>
      <c r="H18" s="4"/>
    </row>
    <row r="19" customFormat="false" ht="21.75" hidden="false" customHeight="true" outlineLevel="0" collapsed="false">
      <c r="A19" s="21" t="s">
        <v>31</v>
      </c>
      <c r="B19" s="21" t="s">
        <v>16</v>
      </c>
      <c r="C19" s="22" t="n">
        <f aca="false">COUNTIF('DL17. Khiếu nại'!J4:J500,"&lt;&gt;resolved*")-COUNTBLANK('DL17. Khiếu nại'!J4:J500)</f>
        <v>4</v>
      </c>
      <c r="D19" s="23" t="str">
        <f aca="false">HYPERLINK("#'VH10. Việc - Khiếu nại'!A1","Mở")</f>
        <v>Mở</v>
      </c>
      <c r="E19" s="4"/>
      <c r="F19" s="4"/>
      <c r="G19" s="4"/>
      <c r="H19" s="4"/>
    </row>
    <row r="20" customFormat="false" ht="15" hidden="false" customHeight="true" outlineLevel="0" collapsed="false">
      <c r="A20" s="4"/>
      <c r="B20" s="4"/>
      <c r="C20" s="4"/>
      <c r="D20" s="4"/>
      <c r="E20" s="4"/>
      <c r="F20" s="4"/>
      <c r="G20" s="4"/>
      <c r="H20" s="4"/>
    </row>
    <row r="21" customFormat="false" ht="25.5" hidden="false" customHeight="true" outlineLevel="0" collapsed="false">
      <c r="A21" s="24" t="s">
        <v>32</v>
      </c>
      <c r="B21" s="24"/>
      <c r="C21" s="24"/>
      <c r="D21" s="24"/>
      <c r="E21" s="24"/>
      <c r="F21" s="24"/>
      <c r="G21" s="24"/>
      <c r="H21" s="24"/>
    </row>
    <row r="22" customFormat="false" ht="24" hidden="false" customHeight="true" outlineLevel="0" collapsed="false">
      <c r="A22" s="25" t="s">
        <v>33</v>
      </c>
      <c r="B22" s="23" t="str">
        <f aca="false">HYPERLINK("#'CH2. Tham số &amp; Quy tắc'!A1","Tham số hệ thống")</f>
        <v>Tham số hệ thống</v>
      </c>
      <c r="C22" s="23" t="str">
        <f aca="false">HYPERLINK("#'CH1. Danh mục lựa chọn'!A1","Enum")</f>
        <v>Enum</v>
      </c>
      <c r="D22" s="23" t="str">
        <f aca="false">HYPERLINK("#'CH3. Phân quyền'!A1","Phân quyền")</f>
        <v>Phân quyền</v>
      </c>
      <c r="E22" s="23" t="str">
        <f aca="false">HYPERLINK("#'CH6. Ngưỡng KPI'!A1","Ngưỡng KPI")</f>
        <v>Ngưỡng KPI</v>
      </c>
      <c r="F22" s="23" t="str">
        <f aca="false">HYPERLINK("#'HD3. Sổ trigger &amp; tự động'!A1","Tra cứu thông điệp")</f>
        <v>Tra cứu thông điệp</v>
      </c>
      <c r="G22" s="26"/>
      <c r="H22" s="26"/>
    </row>
    <row r="23" customFormat="false" ht="24" hidden="false" customHeight="true" outlineLevel="0" collapsed="false">
      <c r="A23" s="25" t="s">
        <v>34</v>
      </c>
      <c r="B23" s="23" t="str">
        <f aca="false">HYPERLINK("#'DL02. Khách tiềm năng'!A1","Lead")</f>
        <v>Lead</v>
      </c>
      <c r="C23" s="23" t="str">
        <f aca="false">HYPERLINK("#'DL06. Đăng ký'!A1","Đăng ký")</f>
        <v>Đăng ký</v>
      </c>
      <c r="D23" s="23" t="str">
        <f aca="false">HYPERLINK("#'DL09. Học viên'!A1","Học viên")</f>
        <v>Học viên</v>
      </c>
      <c r="E23" s="23" t="str">
        <f aca="false">HYPERLINK("#'DL10. Lớp học'!A1","Lớp")</f>
        <v>Lớp</v>
      </c>
      <c r="F23" s="26"/>
      <c r="G23" s="26"/>
      <c r="H23" s="26"/>
    </row>
    <row r="24" customFormat="false" ht="24" hidden="false" customHeight="true" outlineLevel="0" collapsed="false">
      <c r="A24" s="25" t="s">
        <v>35</v>
      </c>
      <c r="B24" s="23" t="str">
        <f aca="false">HYPERLINK("#'BC2. Chỉ số KPI'!A1","Chỉ số KPI")</f>
        <v>Chỉ số KPI</v>
      </c>
      <c r="C24" s="23" t="str">
        <f aca="false">HYPERLINK("#'BC4. Báo cáo tháng'!A1","Tháng")</f>
        <v>Tháng</v>
      </c>
      <c r="D24" s="23" t="str">
        <f aca="false">HYPERLINK("#'BC1. Học viên nguy cơ'!A1","HV nguy cơ")</f>
        <v>HV nguy cơ</v>
      </c>
      <c r="E24" s="23" t="str">
        <f aca="false">HYPERLINK("#'BC9. Bảng Quản lý'!A1","Bảng Quản lý")</f>
        <v>Bảng Quản lý</v>
      </c>
      <c r="F24" s="26"/>
      <c r="G24" s="26"/>
      <c r="H24" s="26"/>
    </row>
    <row r="25" customFormat="false" ht="24" hidden="false" customHeight="true" outlineLevel="0" collapsed="false">
      <c r="A25" s="25" t="s">
        <v>36</v>
      </c>
      <c r="B25" s="23" t="str">
        <f aca="false">HYPERLINK("#'VH2. Tra cứu Học viên'!A1","1 HV")</f>
        <v>1 HV</v>
      </c>
      <c r="C25" s="23" t="str">
        <f aca="false">HYPERLINK("#'VH4. Tra cứu Khách tiềm năng'!A1","1 Lead")</f>
        <v>1 Lead</v>
      </c>
      <c r="D25" s="23" t="str">
        <f aca="false">HYPERLINK("#'VH1. Tra cứu Lớp'!A1","1 Lớp")</f>
        <v>1 Lớp</v>
      </c>
      <c r="E25" s="26"/>
      <c r="F25" s="26"/>
      <c r="G25" s="26"/>
      <c r="H25" s="26"/>
    </row>
    <row r="26" customFormat="false" ht="15" hidden="false" customHeight="true" outlineLevel="0" collapsed="false">
      <c r="A26" s="4"/>
      <c r="B26" s="4"/>
      <c r="C26" s="4"/>
      <c r="D26" s="4"/>
      <c r="E26" s="4"/>
      <c r="F26" s="4"/>
      <c r="G26" s="4"/>
      <c r="H26" s="4"/>
    </row>
    <row r="27" customFormat="false" ht="30" hidden="false" customHeight="true" outlineLevel="0" collapsed="false">
      <c r="A27" s="27" t="str">
        <f aca="false">HYPERLINK("#'VH0. Tìm kiếm'!A1","TÌM KIẾM NHANH (theo tên / SĐT) - bấm vào đây")</f>
        <v>TÌM KIẾM NHANH (theo tên / SĐT) - bấm vào đây</v>
      </c>
      <c r="B27" s="27"/>
      <c r="C27" s="27"/>
      <c r="D27" s="27"/>
      <c r="E27" s="27"/>
      <c r="F27" s="27"/>
      <c r="G27" s="27"/>
      <c r="H27" s="27"/>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1">
    <mergeCell ref="A1:H1"/>
    <mergeCell ref="A2:H2"/>
    <mergeCell ref="A4:H4"/>
    <mergeCell ref="A5:B5"/>
    <mergeCell ref="C5:D5"/>
    <mergeCell ref="E5:F5"/>
    <mergeCell ref="G5:H5"/>
    <mergeCell ref="A6:B6"/>
    <mergeCell ref="C6:D6"/>
    <mergeCell ref="E6:F6"/>
    <mergeCell ref="G6:H6"/>
    <mergeCell ref="A7:B7"/>
    <mergeCell ref="C7:D7"/>
    <mergeCell ref="E7:F7"/>
    <mergeCell ref="G7:H7"/>
    <mergeCell ref="A8:H8"/>
    <mergeCell ref="A9:B9"/>
    <mergeCell ref="C9:D9"/>
    <mergeCell ref="E9:F9"/>
    <mergeCell ref="G9:H9"/>
    <mergeCell ref="A10:B10"/>
    <mergeCell ref="C10:D10"/>
    <mergeCell ref="E10:F10"/>
    <mergeCell ref="G10:H10"/>
    <mergeCell ref="A11:B11"/>
    <mergeCell ref="C11:D11"/>
    <mergeCell ref="E11:F11"/>
    <mergeCell ref="G11:H11"/>
    <mergeCell ref="A12:H12"/>
    <mergeCell ref="A21:H21"/>
    <mergeCell ref="A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B96"/>
    <pageSetUpPr fitToPage="false"/>
  </sheetPr>
  <dimension ref="A1:Z9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3"/>
    <col collapsed="false" customWidth="true" hidden="false" outlineLevel="0" max="2" min="2" style="1" width="29.86"/>
    <col collapsed="false" customWidth="true" hidden="false" outlineLevel="0" max="5" min="3" style="1" width="34"/>
    <col collapsed="false" customWidth="true" hidden="false" outlineLevel="0" max="6" min="6" style="1" width="22"/>
    <col collapsed="false" customWidth="true" hidden="false" outlineLevel="0" max="7" min="7" style="1" width="3"/>
    <col collapsed="false" customWidth="true" hidden="false" outlineLevel="0" max="26" min="8" style="1" width="8.71"/>
  </cols>
  <sheetData>
    <row r="1" customFormat="false" ht="33.75" hidden="false" customHeight="true" outlineLevel="0" collapsed="false">
      <c r="A1" s="28" t="s">
        <v>37</v>
      </c>
      <c r="B1" s="28"/>
      <c r="C1" s="28"/>
      <c r="D1" s="28"/>
      <c r="E1" s="28"/>
      <c r="F1" s="28"/>
      <c r="G1" s="28"/>
      <c r="H1" s="4"/>
      <c r="I1" s="4"/>
      <c r="J1" s="4"/>
      <c r="K1" s="4"/>
      <c r="L1" s="4"/>
      <c r="M1" s="4"/>
      <c r="N1" s="4"/>
      <c r="O1" s="4"/>
      <c r="P1" s="4"/>
      <c r="Q1" s="4"/>
      <c r="R1" s="4"/>
      <c r="S1" s="4"/>
      <c r="T1" s="4"/>
      <c r="U1" s="4"/>
      <c r="V1" s="4"/>
      <c r="W1" s="4"/>
      <c r="X1" s="4"/>
      <c r="Y1" s="4"/>
      <c r="Z1" s="4"/>
    </row>
    <row r="2" customFormat="false" ht="25.5" hidden="false" customHeight="true" outlineLevel="0" collapsed="false">
      <c r="A2" s="29" t="s">
        <v>38</v>
      </c>
      <c r="B2" s="29"/>
      <c r="C2" s="29"/>
      <c r="D2" s="29"/>
      <c r="E2" s="29"/>
      <c r="F2" s="29"/>
      <c r="G2" s="29"/>
      <c r="H2" s="4"/>
      <c r="I2" s="4"/>
      <c r="J2" s="4"/>
      <c r="K2" s="4"/>
      <c r="L2" s="4"/>
      <c r="M2" s="4"/>
      <c r="N2" s="4"/>
      <c r="O2" s="4"/>
      <c r="P2" s="4"/>
      <c r="Q2" s="4"/>
      <c r="R2" s="4"/>
      <c r="S2" s="4"/>
      <c r="T2" s="4"/>
      <c r="U2" s="4"/>
      <c r="V2" s="4"/>
      <c r="W2" s="4"/>
      <c r="X2" s="4"/>
      <c r="Y2" s="4"/>
      <c r="Z2" s="4"/>
    </row>
    <row r="3" customFormat="false" ht="15" hidden="false" customHeight="true" outlineLevel="0" collapsed="false">
      <c r="A3" s="4"/>
      <c r="B3" s="4"/>
      <c r="C3" s="4"/>
      <c r="D3" s="4"/>
      <c r="E3" s="4"/>
      <c r="F3" s="4"/>
      <c r="G3" s="4"/>
      <c r="H3" s="4"/>
      <c r="I3" s="4"/>
      <c r="J3" s="4"/>
      <c r="K3" s="4"/>
      <c r="L3" s="4"/>
      <c r="M3" s="4"/>
      <c r="N3" s="4"/>
      <c r="O3" s="4"/>
      <c r="P3" s="4"/>
      <c r="Q3" s="4"/>
      <c r="R3" s="4"/>
      <c r="S3" s="4"/>
      <c r="T3" s="4"/>
      <c r="U3" s="4"/>
      <c r="V3" s="4"/>
      <c r="W3" s="4"/>
      <c r="X3" s="4"/>
      <c r="Y3" s="4"/>
      <c r="Z3" s="4"/>
    </row>
    <row r="4" customFormat="false" ht="31.5" hidden="false" customHeight="true" outlineLevel="0" collapsed="false">
      <c r="A4" s="30" t="s">
        <v>39</v>
      </c>
      <c r="B4" s="30"/>
      <c r="C4" s="30"/>
      <c r="D4" s="30"/>
      <c r="E4" s="30"/>
      <c r="F4" s="30"/>
      <c r="G4" s="30"/>
      <c r="H4" s="4"/>
      <c r="I4" s="4"/>
      <c r="J4" s="4"/>
      <c r="K4" s="4"/>
      <c r="L4" s="4"/>
      <c r="M4" s="4"/>
      <c r="N4" s="4"/>
      <c r="O4" s="4"/>
      <c r="P4" s="4"/>
      <c r="Q4" s="4"/>
      <c r="R4" s="4"/>
      <c r="S4" s="4"/>
      <c r="T4" s="4"/>
      <c r="U4" s="4"/>
      <c r="V4" s="4"/>
      <c r="W4" s="4"/>
      <c r="X4" s="4"/>
      <c r="Y4" s="4"/>
      <c r="Z4" s="4"/>
    </row>
    <row r="5" customFormat="false" ht="24" hidden="false" customHeight="true" outlineLevel="0" collapsed="false">
      <c r="A5" s="4"/>
      <c r="B5" s="31" t="s">
        <v>40</v>
      </c>
      <c r="C5" s="31" t="s">
        <v>41</v>
      </c>
      <c r="D5" s="31" t="s">
        <v>42</v>
      </c>
      <c r="E5" s="31" t="s">
        <v>43</v>
      </c>
      <c r="F5" s="31" t="s">
        <v>21</v>
      </c>
      <c r="G5" s="4"/>
      <c r="H5" s="4"/>
      <c r="I5" s="4"/>
      <c r="J5" s="4"/>
      <c r="K5" s="4"/>
      <c r="L5" s="4"/>
      <c r="M5" s="4"/>
      <c r="N5" s="4"/>
      <c r="O5" s="4"/>
      <c r="P5" s="4"/>
      <c r="Q5" s="4"/>
      <c r="R5" s="4"/>
      <c r="S5" s="4"/>
      <c r="T5" s="4"/>
      <c r="U5" s="4"/>
      <c r="V5" s="4"/>
      <c r="W5" s="4"/>
      <c r="X5" s="4"/>
      <c r="Y5" s="4"/>
      <c r="Z5" s="4"/>
    </row>
    <row r="6" customFormat="false" ht="30" hidden="false" customHeight="true" outlineLevel="0" collapsed="false">
      <c r="A6" s="4"/>
      <c r="B6" s="32" t="s">
        <v>44</v>
      </c>
      <c r="C6" s="33" t="s">
        <v>45</v>
      </c>
      <c r="D6" s="33" t="s">
        <v>46</v>
      </c>
      <c r="E6" s="33" t="s">
        <v>47</v>
      </c>
      <c r="F6" s="34" t="str">
        <f aca="false">HYPERLINK("#'HD0. Trang chủ'!A1","HD0")</f>
        <v>HD0</v>
      </c>
      <c r="G6" s="4"/>
      <c r="H6" s="4"/>
      <c r="I6" s="4"/>
      <c r="J6" s="4"/>
      <c r="K6" s="4"/>
      <c r="L6" s="4"/>
      <c r="M6" s="4"/>
      <c r="N6" s="4"/>
      <c r="O6" s="4"/>
      <c r="P6" s="4"/>
      <c r="Q6" s="4"/>
      <c r="R6" s="4"/>
      <c r="S6" s="4"/>
      <c r="T6" s="4"/>
      <c r="U6" s="4"/>
      <c r="V6" s="4"/>
      <c r="W6" s="4"/>
      <c r="X6" s="4"/>
      <c r="Y6" s="4"/>
      <c r="Z6" s="4"/>
    </row>
    <row r="7" customFormat="false" ht="30" hidden="false" customHeight="true" outlineLevel="0" collapsed="false">
      <c r="A7" s="4"/>
      <c r="B7" s="35" t="s">
        <v>48</v>
      </c>
      <c r="C7" s="36" t="s">
        <v>49</v>
      </c>
      <c r="D7" s="36" t="s">
        <v>50</v>
      </c>
      <c r="E7" s="36" t="s">
        <v>51</v>
      </c>
      <c r="F7" s="37" t="str">
        <f aca="false">HYPERLINK("#'CH2. Tham số &amp; Quy tắc'!A1","CH2")</f>
        <v>CH2</v>
      </c>
      <c r="G7" s="4"/>
      <c r="H7" s="4"/>
      <c r="I7" s="4"/>
      <c r="J7" s="4"/>
      <c r="K7" s="4"/>
      <c r="L7" s="4"/>
      <c r="M7" s="4"/>
      <c r="N7" s="4"/>
      <c r="O7" s="4"/>
      <c r="P7" s="4"/>
      <c r="Q7" s="4"/>
      <c r="R7" s="4"/>
      <c r="S7" s="4"/>
      <c r="T7" s="4"/>
      <c r="U7" s="4"/>
      <c r="V7" s="4"/>
      <c r="W7" s="4"/>
      <c r="X7" s="4"/>
      <c r="Y7" s="4"/>
      <c r="Z7" s="4"/>
    </row>
    <row r="8" customFormat="false" ht="30" hidden="false" customHeight="true" outlineLevel="0" collapsed="false">
      <c r="A8" s="4"/>
      <c r="B8" s="38" t="s">
        <v>52</v>
      </c>
      <c r="C8" s="33" t="s">
        <v>53</v>
      </c>
      <c r="D8" s="33" t="s">
        <v>54</v>
      </c>
      <c r="E8" s="33" t="s">
        <v>55</v>
      </c>
      <c r="F8" s="34" t="str">
        <f aca="false">HYPERLINK("#'DL02. Khách tiềm năng'!A1","DL02")</f>
        <v>DL02</v>
      </c>
      <c r="G8" s="4"/>
      <c r="H8" s="4"/>
      <c r="I8" s="4"/>
      <c r="J8" s="4"/>
      <c r="K8" s="4"/>
      <c r="L8" s="4"/>
      <c r="M8" s="4"/>
      <c r="N8" s="4"/>
      <c r="O8" s="4"/>
      <c r="P8" s="4"/>
      <c r="Q8" s="4"/>
      <c r="R8" s="4"/>
      <c r="S8" s="4"/>
      <c r="T8" s="4"/>
      <c r="U8" s="4"/>
      <c r="V8" s="4"/>
      <c r="W8" s="4"/>
      <c r="X8" s="4"/>
      <c r="Y8" s="4"/>
      <c r="Z8" s="4"/>
    </row>
    <row r="9" customFormat="false" ht="30" hidden="false" customHeight="true" outlineLevel="0" collapsed="false">
      <c r="A9" s="4"/>
      <c r="B9" s="39" t="s">
        <v>56</v>
      </c>
      <c r="C9" s="36" t="s">
        <v>57</v>
      </c>
      <c r="D9" s="36" t="s">
        <v>58</v>
      </c>
      <c r="E9" s="36" t="s">
        <v>59</v>
      </c>
      <c r="F9" s="37" t="str">
        <f aca="false">HYPERLINK("#'VH5. Việc - Chăm khách'!A1","VH5")</f>
        <v>VH5</v>
      </c>
      <c r="G9" s="4"/>
      <c r="H9" s="4"/>
      <c r="I9" s="4"/>
      <c r="J9" s="4"/>
      <c r="K9" s="4"/>
      <c r="L9" s="4"/>
      <c r="M9" s="4"/>
      <c r="N9" s="4"/>
      <c r="O9" s="4"/>
      <c r="P9" s="4"/>
      <c r="Q9" s="4"/>
      <c r="R9" s="4"/>
      <c r="S9" s="4"/>
      <c r="T9" s="4"/>
      <c r="U9" s="4"/>
      <c r="V9" s="4"/>
      <c r="W9" s="4"/>
      <c r="X9" s="4"/>
      <c r="Y9" s="4"/>
      <c r="Z9" s="4"/>
    </row>
    <row r="10" customFormat="false" ht="30" hidden="false" customHeight="true" outlineLevel="0" collapsed="false">
      <c r="A10" s="4"/>
      <c r="B10" s="40" t="s">
        <v>60</v>
      </c>
      <c r="C10" s="33" t="s">
        <v>61</v>
      </c>
      <c r="D10" s="33" t="s">
        <v>62</v>
      </c>
      <c r="E10" s="33" t="s">
        <v>63</v>
      </c>
      <c r="F10" s="34" t="str">
        <f aca="false">HYPERLINK("#'BC2. Chỉ số KPI'!A1","BC2")</f>
        <v>BC2</v>
      </c>
      <c r="G10" s="4"/>
      <c r="H10" s="4"/>
      <c r="I10" s="4"/>
      <c r="J10" s="4"/>
      <c r="K10" s="4"/>
      <c r="L10" s="4"/>
      <c r="M10" s="4"/>
      <c r="N10" s="4"/>
      <c r="O10" s="4"/>
      <c r="P10" s="4"/>
      <c r="Q10" s="4"/>
      <c r="R10" s="4"/>
      <c r="S10" s="4"/>
      <c r="T10" s="4"/>
      <c r="U10" s="4"/>
      <c r="V10" s="4"/>
      <c r="W10" s="4"/>
      <c r="X10" s="4"/>
      <c r="Y10" s="4"/>
      <c r="Z10" s="4"/>
    </row>
    <row r="11" customFormat="false" ht="15" hidden="false" customHeight="true" outlineLevel="0" collapsed="false">
      <c r="A11" s="4"/>
      <c r="B11" s="4"/>
      <c r="C11" s="4"/>
      <c r="D11" s="4"/>
      <c r="E11" s="4"/>
      <c r="F11" s="4"/>
      <c r="G11" s="4"/>
      <c r="H11" s="4"/>
      <c r="I11" s="4"/>
      <c r="J11" s="4"/>
      <c r="K11" s="4"/>
      <c r="L11" s="4"/>
      <c r="M11" s="4"/>
      <c r="N11" s="4"/>
      <c r="O11" s="4"/>
      <c r="P11" s="4"/>
      <c r="Q11" s="4"/>
      <c r="R11" s="4"/>
      <c r="S11" s="4"/>
      <c r="T11" s="4"/>
      <c r="U11" s="4"/>
      <c r="V11" s="4"/>
      <c r="W11" s="4"/>
      <c r="X11" s="4"/>
      <c r="Y11" s="4"/>
      <c r="Z11" s="4"/>
    </row>
    <row r="12" customFormat="false" ht="15" hidden="false" customHeight="true" outlineLevel="0" collapsed="false">
      <c r="A12" s="4"/>
      <c r="B12" s="4"/>
      <c r="C12" s="4"/>
      <c r="D12" s="4"/>
      <c r="E12" s="4"/>
      <c r="F12" s="4"/>
      <c r="G12" s="4"/>
      <c r="H12" s="4"/>
      <c r="I12" s="4"/>
      <c r="J12" s="4"/>
      <c r="K12" s="4"/>
      <c r="L12" s="4"/>
      <c r="M12" s="4"/>
      <c r="N12" s="4"/>
      <c r="O12" s="4"/>
      <c r="P12" s="4"/>
      <c r="Q12" s="4"/>
      <c r="R12" s="4"/>
      <c r="S12" s="4"/>
      <c r="T12" s="4"/>
      <c r="U12" s="4"/>
      <c r="V12" s="4"/>
      <c r="W12" s="4"/>
      <c r="X12" s="4"/>
      <c r="Y12" s="4"/>
      <c r="Z12" s="4"/>
    </row>
    <row r="13" customFormat="false" ht="31.5" hidden="false" customHeight="true" outlineLevel="0" collapsed="false">
      <c r="A13" s="30" t="s">
        <v>64</v>
      </c>
      <c r="B13" s="30"/>
      <c r="C13" s="30"/>
      <c r="D13" s="30"/>
      <c r="E13" s="30"/>
      <c r="F13" s="30"/>
      <c r="G13" s="30"/>
      <c r="H13" s="4"/>
      <c r="I13" s="4"/>
      <c r="J13" s="4"/>
      <c r="K13" s="4"/>
      <c r="L13" s="4"/>
      <c r="M13" s="4"/>
      <c r="N13" s="4"/>
      <c r="O13" s="4"/>
      <c r="P13" s="4"/>
      <c r="Q13" s="4"/>
      <c r="R13" s="4"/>
      <c r="S13" s="4"/>
      <c r="T13" s="4"/>
      <c r="U13" s="4"/>
      <c r="V13" s="4"/>
      <c r="W13" s="4"/>
      <c r="X13" s="4"/>
      <c r="Y13" s="4"/>
      <c r="Z13" s="4"/>
    </row>
    <row r="14" customFormat="false" ht="24" hidden="false" customHeight="true" outlineLevel="0" collapsed="false">
      <c r="A14" s="4"/>
      <c r="B14" s="31" t="s">
        <v>65</v>
      </c>
      <c r="C14" s="31" t="s">
        <v>66</v>
      </c>
      <c r="D14" s="31"/>
      <c r="E14" s="31"/>
      <c r="F14" s="31"/>
      <c r="G14" s="4"/>
      <c r="H14" s="4"/>
      <c r="I14" s="4"/>
      <c r="J14" s="4"/>
      <c r="K14" s="4"/>
      <c r="L14" s="4"/>
      <c r="M14" s="4"/>
      <c r="N14" s="4"/>
      <c r="O14" s="4"/>
      <c r="P14" s="4"/>
      <c r="Q14" s="4"/>
      <c r="R14" s="4"/>
      <c r="S14" s="4"/>
      <c r="T14" s="4"/>
      <c r="U14" s="4"/>
      <c r="V14" s="4"/>
      <c r="W14" s="4"/>
      <c r="X14" s="4"/>
      <c r="Y14" s="4"/>
      <c r="Z14" s="4"/>
    </row>
    <row r="15" customFormat="false" ht="21.75" hidden="false" customHeight="true" outlineLevel="0" collapsed="false">
      <c r="A15" s="4"/>
      <c r="B15" s="41" t="s">
        <v>67</v>
      </c>
      <c r="C15" s="33" t="s">
        <v>68</v>
      </c>
      <c r="D15" s="33"/>
      <c r="E15" s="33"/>
      <c r="F15" s="33"/>
      <c r="G15" s="4"/>
      <c r="H15" s="4"/>
      <c r="I15" s="4"/>
      <c r="J15" s="4"/>
      <c r="K15" s="4"/>
      <c r="L15" s="4"/>
      <c r="M15" s="4"/>
      <c r="N15" s="4"/>
      <c r="O15" s="4"/>
      <c r="P15" s="4"/>
      <c r="Q15" s="4"/>
      <c r="R15" s="4"/>
      <c r="S15" s="4"/>
      <c r="T15" s="4"/>
      <c r="U15" s="4"/>
      <c r="V15" s="4"/>
      <c r="W15" s="4"/>
      <c r="X15" s="4"/>
      <c r="Y15" s="4"/>
      <c r="Z15" s="4"/>
    </row>
    <row r="16" customFormat="false" ht="21.75" hidden="false" customHeight="true" outlineLevel="0" collapsed="false">
      <c r="A16" s="4"/>
      <c r="B16" s="42" t="s">
        <v>69</v>
      </c>
      <c r="C16" s="36" t="s">
        <v>70</v>
      </c>
      <c r="D16" s="36"/>
      <c r="E16" s="36"/>
      <c r="F16" s="36"/>
      <c r="G16" s="4"/>
      <c r="H16" s="4"/>
      <c r="I16" s="4"/>
      <c r="J16" s="4"/>
      <c r="K16" s="4"/>
      <c r="L16" s="4"/>
      <c r="M16" s="4"/>
      <c r="N16" s="4"/>
      <c r="O16" s="4"/>
      <c r="P16" s="4"/>
      <c r="Q16" s="4"/>
      <c r="R16" s="4"/>
      <c r="S16" s="4"/>
      <c r="T16" s="4"/>
      <c r="U16" s="4"/>
      <c r="V16" s="4"/>
      <c r="W16" s="4"/>
      <c r="X16" s="4"/>
      <c r="Y16" s="4"/>
      <c r="Z16" s="4"/>
    </row>
    <row r="17" customFormat="false" ht="21.75" hidden="false" customHeight="true" outlineLevel="0" collapsed="false">
      <c r="A17" s="4"/>
      <c r="B17" s="41" t="s">
        <v>71</v>
      </c>
      <c r="C17" s="33" t="s">
        <v>72</v>
      </c>
      <c r="D17" s="33"/>
      <c r="E17" s="33"/>
      <c r="F17" s="33"/>
      <c r="G17" s="4"/>
      <c r="H17" s="4"/>
      <c r="I17" s="4"/>
      <c r="J17" s="4"/>
      <c r="K17" s="4"/>
      <c r="L17" s="4"/>
      <c r="M17" s="4"/>
      <c r="N17" s="4"/>
      <c r="O17" s="4"/>
      <c r="P17" s="4"/>
      <c r="Q17" s="4"/>
      <c r="R17" s="4"/>
      <c r="S17" s="4"/>
      <c r="T17" s="4"/>
      <c r="U17" s="4"/>
      <c r="V17" s="4"/>
      <c r="W17" s="4"/>
      <c r="X17" s="4"/>
      <c r="Y17" s="4"/>
      <c r="Z17" s="4"/>
    </row>
    <row r="18" customFormat="false" ht="21.75" hidden="false" customHeight="true" outlineLevel="0" collapsed="false">
      <c r="A18" s="4"/>
      <c r="B18" s="42" t="s">
        <v>73</v>
      </c>
      <c r="C18" s="36" t="s">
        <v>74</v>
      </c>
      <c r="D18" s="36"/>
      <c r="E18" s="36"/>
      <c r="F18" s="36"/>
      <c r="G18" s="4"/>
      <c r="H18" s="4"/>
      <c r="I18" s="4"/>
      <c r="J18" s="4"/>
      <c r="K18" s="4"/>
      <c r="L18" s="4"/>
      <c r="M18" s="4"/>
      <c r="N18" s="4"/>
      <c r="O18" s="4"/>
      <c r="P18" s="4"/>
      <c r="Q18" s="4"/>
      <c r="R18" s="4"/>
      <c r="S18" s="4"/>
      <c r="T18" s="4"/>
      <c r="U18" s="4"/>
      <c r="V18" s="4"/>
      <c r="W18" s="4"/>
      <c r="X18" s="4"/>
      <c r="Y18" s="4"/>
      <c r="Z18" s="4"/>
    </row>
    <row r="19" customFormat="false" ht="21.75" hidden="false" customHeight="true" outlineLevel="0" collapsed="false">
      <c r="A19" s="4"/>
      <c r="B19" s="41" t="s">
        <v>75</v>
      </c>
      <c r="C19" s="33" t="s">
        <v>76</v>
      </c>
      <c r="D19" s="33"/>
      <c r="E19" s="33"/>
      <c r="F19" s="33"/>
      <c r="G19" s="4"/>
      <c r="H19" s="4"/>
      <c r="I19" s="4"/>
      <c r="J19" s="4"/>
      <c r="K19" s="4"/>
      <c r="L19" s="4"/>
      <c r="M19" s="4"/>
      <c r="N19" s="4"/>
      <c r="O19" s="4"/>
      <c r="P19" s="4"/>
      <c r="Q19" s="4"/>
      <c r="R19" s="4"/>
      <c r="S19" s="4"/>
      <c r="T19" s="4"/>
      <c r="U19" s="4"/>
      <c r="V19" s="4"/>
      <c r="W19" s="4"/>
      <c r="X19" s="4"/>
      <c r="Y19" s="4"/>
      <c r="Z19" s="4"/>
    </row>
    <row r="20" customFormat="false" ht="21.75" hidden="false" customHeight="true" outlineLevel="0" collapsed="false">
      <c r="A20" s="4"/>
      <c r="B20" s="42" t="s">
        <v>77</v>
      </c>
      <c r="C20" s="36" t="s">
        <v>78</v>
      </c>
      <c r="D20" s="36"/>
      <c r="E20" s="36"/>
      <c r="F20" s="36"/>
      <c r="G20" s="4"/>
      <c r="H20" s="4"/>
      <c r="I20" s="4"/>
      <c r="J20" s="4"/>
      <c r="K20" s="4"/>
      <c r="L20" s="4"/>
      <c r="M20" s="4"/>
      <c r="N20" s="4"/>
      <c r="O20" s="4"/>
      <c r="P20" s="4"/>
      <c r="Q20" s="4"/>
      <c r="R20" s="4"/>
      <c r="S20" s="4"/>
      <c r="T20" s="4"/>
      <c r="U20" s="4"/>
      <c r="V20" s="4"/>
      <c r="W20" s="4"/>
      <c r="X20" s="4"/>
      <c r="Y20" s="4"/>
      <c r="Z20" s="4"/>
    </row>
    <row r="21" customFormat="false" ht="1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31.5" hidden="false" customHeight="true" outlineLevel="0" collapsed="false">
      <c r="A22" s="30" t="s">
        <v>79</v>
      </c>
      <c r="B22" s="30"/>
      <c r="C22" s="30"/>
      <c r="D22" s="30"/>
      <c r="E22" s="30"/>
      <c r="F22" s="30"/>
      <c r="G22" s="30"/>
      <c r="H22" s="4"/>
      <c r="I22" s="4"/>
      <c r="J22" s="4"/>
      <c r="K22" s="4"/>
      <c r="L22" s="4"/>
      <c r="M22" s="4"/>
      <c r="N22" s="4"/>
      <c r="O22" s="4"/>
      <c r="P22" s="4"/>
      <c r="Q22" s="4"/>
      <c r="R22" s="4"/>
      <c r="S22" s="4"/>
      <c r="T22" s="4"/>
      <c r="U22" s="4"/>
      <c r="V22" s="4"/>
      <c r="W22" s="4"/>
      <c r="X22" s="4"/>
      <c r="Y22" s="4"/>
      <c r="Z22" s="4"/>
    </row>
    <row r="23" customFormat="false" ht="24" hidden="false" customHeight="true" outlineLevel="0" collapsed="false">
      <c r="A23" s="4"/>
      <c r="B23" s="31" t="s">
        <v>41</v>
      </c>
      <c r="C23" s="31" t="s">
        <v>80</v>
      </c>
      <c r="D23" s="31" t="s">
        <v>81</v>
      </c>
      <c r="E23" s="31" t="s">
        <v>82</v>
      </c>
      <c r="F23" s="31" t="s">
        <v>83</v>
      </c>
      <c r="G23" s="4"/>
      <c r="H23" s="4"/>
      <c r="I23" s="4"/>
      <c r="J23" s="4"/>
      <c r="K23" s="4"/>
      <c r="L23" s="4"/>
      <c r="M23" s="4"/>
      <c r="N23" s="4"/>
      <c r="O23" s="4"/>
      <c r="P23" s="4"/>
      <c r="Q23" s="4"/>
      <c r="R23" s="4"/>
      <c r="S23" s="4"/>
      <c r="T23" s="4"/>
      <c r="U23" s="4"/>
      <c r="V23" s="4"/>
      <c r="W23" s="4"/>
      <c r="X23" s="4"/>
      <c r="Y23" s="4"/>
      <c r="Z23" s="4"/>
    </row>
    <row r="24" customFormat="false" ht="25.5" hidden="false" customHeight="true" outlineLevel="0" collapsed="false">
      <c r="A24" s="4"/>
      <c r="B24" s="41" t="s">
        <v>84</v>
      </c>
      <c r="C24" s="33" t="s">
        <v>85</v>
      </c>
      <c r="D24" s="33" t="s">
        <v>86</v>
      </c>
      <c r="E24" s="33" t="s">
        <v>87</v>
      </c>
      <c r="F24" s="34" t="str">
        <f aca="false">HYPERLINK("#'VH5. Việc - Chăm khách'!A1","VH5")</f>
        <v>VH5</v>
      </c>
      <c r="G24" s="4"/>
      <c r="H24" s="4"/>
      <c r="I24" s="4"/>
      <c r="J24" s="4"/>
      <c r="K24" s="4"/>
      <c r="L24" s="4"/>
      <c r="M24" s="4"/>
      <c r="N24" s="4"/>
      <c r="O24" s="4"/>
      <c r="P24" s="4"/>
      <c r="Q24" s="4"/>
      <c r="R24" s="4"/>
      <c r="S24" s="4"/>
      <c r="T24" s="4"/>
      <c r="U24" s="4"/>
      <c r="V24" s="4"/>
      <c r="W24" s="4"/>
      <c r="X24" s="4"/>
      <c r="Y24" s="4"/>
      <c r="Z24" s="4"/>
    </row>
    <row r="25" customFormat="false" ht="25.5" hidden="false" customHeight="true" outlineLevel="0" collapsed="false">
      <c r="A25" s="4"/>
      <c r="B25" s="42" t="s">
        <v>88</v>
      </c>
      <c r="C25" s="36" t="s">
        <v>89</v>
      </c>
      <c r="D25" s="36" t="s">
        <v>90</v>
      </c>
      <c r="E25" s="36" t="s">
        <v>91</v>
      </c>
      <c r="F25" s="37" t="str">
        <f aca="false">HYPERLINK("#'VH6. Việc - Học viên nguy cơ'!A1","VH6")</f>
        <v>VH6</v>
      </c>
      <c r="G25" s="4"/>
      <c r="H25" s="4"/>
      <c r="I25" s="4"/>
      <c r="J25" s="4"/>
      <c r="K25" s="4"/>
      <c r="L25" s="4"/>
      <c r="M25" s="4"/>
      <c r="N25" s="4"/>
      <c r="O25" s="4"/>
      <c r="P25" s="4"/>
      <c r="Q25" s="4"/>
      <c r="R25" s="4"/>
      <c r="S25" s="4"/>
      <c r="T25" s="4"/>
      <c r="U25" s="4"/>
      <c r="V25" s="4"/>
      <c r="W25" s="4"/>
      <c r="X25" s="4"/>
      <c r="Y25" s="4"/>
      <c r="Z25" s="4"/>
    </row>
    <row r="26" customFormat="false" ht="25.5" hidden="false" customHeight="true" outlineLevel="0" collapsed="false">
      <c r="A26" s="4"/>
      <c r="B26" s="41" t="s">
        <v>92</v>
      </c>
      <c r="C26" s="33" t="s">
        <v>93</v>
      </c>
      <c r="D26" s="33" t="s">
        <v>94</v>
      </c>
      <c r="E26" s="33" t="s">
        <v>95</v>
      </c>
      <c r="F26" s="34" t="str">
        <f aca="false">HYPERLINK("#'BC7. Bảng Giảng viên'!A1","BC7")</f>
        <v>BC7</v>
      </c>
      <c r="G26" s="4"/>
      <c r="H26" s="4"/>
      <c r="I26" s="4"/>
      <c r="J26" s="4"/>
      <c r="K26" s="4"/>
      <c r="L26" s="4"/>
      <c r="M26" s="4"/>
      <c r="N26" s="4"/>
      <c r="O26" s="4"/>
      <c r="P26" s="4"/>
      <c r="Q26" s="4"/>
      <c r="R26" s="4"/>
      <c r="S26" s="4"/>
      <c r="T26" s="4"/>
      <c r="U26" s="4"/>
      <c r="V26" s="4"/>
      <c r="W26" s="4"/>
      <c r="X26" s="4"/>
      <c r="Y26" s="4"/>
      <c r="Z26" s="4"/>
    </row>
    <row r="27" customFormat="false" ht="25.5" hidden="false" customHeight="true" outlineLevel="0" collapsed="false">
      <c r="A27" s="4"/>
      <c r="B27" s="42" t="s">
        <v>96</v>
      </c>
      <c r="C27" s="36" t="s">
        <v>97</v>
      </c>
      <c r="D27" s="36" t="s">
        <v>98</v>
      </c>
      <c r="E27" s="36" t="s">
        <v>99</v>
      </c>
      <c r="F27" s="37" t="str">
        <f aca="false">HYPERLINK("#'VH7. Việc - Test chờ chấm'!A1","VH7")</f>
        <v>VH7</v>
      </c>
      <c r="G27" s="4"/>
      <c r="H27" s="4"/>
      <c r="I27" s="4"/>
      <c r="J27" s="4"/>
      <c r="K27" s="4"/>
      <c r="L27" s="4"/>
      <c r="M27" s="4"/>
      <c r="N27" s="4"/>
      <c r="O27" s="4"/>
      <c r="P27" s="4"/>
      <c r="Q27" s="4"/>
      <c r="R27" s="4"/>
      <c r="S27" s="4"/>
      <c r="T27" s="4"/>
      <c r="U27" s="4"/>
      <c r="V27" s="4"/>
      <c r="W27" s="4"/>
      <c r="X27" s="4"/>
      <c r="Y27" s="4"/>
      <c r="Z27" s="4"/>
    </row>
    <row r="28" customFormat="false" ht="25.5" hidden="false" customHeight="true" outlineLevel="0" collapsed="false">
      <c r="A28" s="4"/>
      <c r="B28" s="41" t="s">
        <v>100</v>
      </c>
      <c r="C28" s="33" t="s">
        <v>101</v>
      </c>
      <c r="D28" s="33" t="s">
        <v>102</v>
      </c>
      <c r="E28" s="33" t="s">
        <v>103</v>
      </c>
      <c r="F28" s="34" t="str">
        <f aca="false">HYPERLINK("#'VH8. Việc - Thu học phí'!A1","VH8")</f>
        <v>VH8</v>
      </c>
      <c r="G28" s="4"/>
      <c r="H28" s="4"/>
      <c r="I28" s="4"/>
      <c r="J28" s="4"/>
      <c r="K28" s="4"/>
      <c r="L28" s="4"/>
      <c r="M28" s="4"/>
      <c r="N28" s="4"/>
      <c r="O28" s="4"/>
      <c r="P28" s="4"/>
      <c r="Q28" s="4"/>
      <c r="R28" s="4"/>
      <c r="S28" s="4"/>
      <c r="T28" s="4"/>
      <c r="U28" s="4"/>
      <c r="V28" s="4"/>
      <c r="W28" s="4"/>
      <c r="X28" s="4"/>
      <c r="Y28" s="4"/>
      <c r="Z28" s="4"/>
    </row>
    <row r="29" customFormat="false" ht="25.5" hidden="false" customHeight="true" outlineLevel="0" collapsed="false">
      <c r="A29" s="4"/>
      <c r="B29" s="42" t="s">
        <v>62</v>
      </c>
      <c r="C29" s="36" t="s">
        <v>104</v>
      </c>
      <c r="D29" s="36" t="s">
        <v>105</v>
      </c>
      <c r="E29" s="36" t="s">
        <v>106</v>
      </c>
      <c r="F29" s="37" t="str">
        <f aca="false">HYPERLINK("#'BC9. Bảng Quản lý'!A1","BC9")</f>
        <v>BC9</v>
      </c>
      <c r="G29" s="4"/>
      <c r="H29" s="4"/>
      <c r="I29" s="4"/>
      <c r="J29" s="4"/>
      <c r="K29" s="4"/>
      <c r="L29" s="4"/>
      <c r="M29" s="4"/>
      <c r="N29" s="4"/>
      <c r="O29" s="4"/>
      <c r="P29" s="4"/>
      <c r="Q29" s="4"/>
      <c r="R29" s="4"/>
      <c r="S29" s="4"/>
      <c r="T29" s="4"/>
      <c r="U29" s="4"/>
      <c r="V29" s="4"/>
      <c r="W29" s="4"/>
      <c r="X29" s="4"/>
      <c r="Y29" s="4"/>
      <c r="Z29" s="4"/>
    </row>
    <row r="30" customFormat="false" ht="1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31.5" hidden="false" customHeight="true" outlineLevel="0" collapsed="false">
      <c r="A31" s="30" t="s">
        <v>107</v>
      </c>
      <c r="B31" s="30"/>
      <c r="C31" s="30"/>
      <c r="D31" s="30"/>
      <c r="E31" s="30"/>
      <c r="F31" s="30"/>
      <c r="G31" s="30"/>
      <c r="H31" s="4"/>
      <c r="I31" s="4"/>
      <c r="J31" s="4"/>
      <c r="K31" s="4"/>
      <c r="L31" s="4"/>
      <c r="M31" s="4"/>
      <c r="N31" s="4"/>
      <c r="O31" s="4"/>
      <c r="P31" s="4"/>
      <c r="Q31" s="4"/>
      <c r="R31" s="4"/>
      <c r="S31" s="4"/>
      <c r="T31" s="4"/>
      <c r="U31" s="4"/>
      <c r="V31" s="4"/>
      <c r="W31" s="4"/>
      <c r="X31" s="4"/>
      <c r="Y31" s="4"/>
      <c r="Z31" s="4"/>
    </row>
    <row r="32" customFormat="false" ht="21.75" hidden="false" customHeight="true" outlineLevel="0" collapsed="false">
      <c r="A32" s="4"/>
      <c r="B32" s="43" t="s">
        <v>108</v>
      </c>
      <c r="C32" s="43"/>
      <c r="D32" s="43"/>
      <c r="E32" s="43"/>
      <c r="F32" s="43"/>
      <c r="G32" s="4"/>
      <c r="H32" s="4"/>
      <c r="I32" s="4"/>
      <c r="J32" s="4"/>
      <c r="K32" s="4"/>
      <c r="L32" s="4"/>
      <c r="M32" s="4"/>
      <c r="N32" s="4"/>
      <c r="O32" s="4"/>
      <c r="P32" s="4"/>
      <c r="Q32" s="4"/>
      <c r="R32" s="4"/>
      <c r="S32" s="4"/>
      <c r="T32" s="4"/>
      <c r="U32" s="4"/>
      <c r="V32" s="4"/>
      <c r="W32" s="4"/>
      <c r="X32" s="4"/>
      <c r="Y32" s="4"/>
      <c r="Z32" s="4"/>
    </row>
    <row r="33" customFormat="false" ht="24" hidden="false" customHeight="true" outlineLevel="0" collapsed="false">
      <c r="A33" s="4"/>
      <c r="B33" s="31" t="s">
        <v>109</v>
      </c>
      <c r="C33" s="31" t="s">
        <v>110</v>
      </c>
      <c r="D33" s="31" t="s">
        <v>111</v>
      </c>
      <c r="E33" s="31" t="s">
        <v>112</v>
      </c>
      <c r="F33" s="31"/>
      <c r="G33" s="4"/>
      <c r="H33" s="4"/>
      <c r="I33" s="4"/>
      <c r="J33" s="4"/>
      <c r="K33" s="4"/>
      <c r="L33" s="4"/>
      <c r="M33" s="4"/>
      <c r="N33" s="4"/>
      <c r="O33" s="4"/>
      <c r="P33" s="4"/>
      <c r="Q33" s="4"/>
      <c r="R33" s="4"/>
      <c r="S33" s="4"/>
      <c r="T33" s="4"/>
      <c r="U33" s="4"/>
      <c r="V33" s="4"/>
      <c r="W33" s="4"/>
      <c r="X33" s="4"/>
      <c r="Y33" s="4"/>
      <c r="Z33" s="4"/>
    </row>
    <row r="34" customFormat="false" ht="24" hidden="false" customHeight="true" outlineLevel="0" collapsed="false">
      <c r="A34" s="4"/>
      <c r="B34" s="44" t="s">
        <v>113</v>
      </c>
      <c r="C34" s="34" t="str">
        <f aca="false">HYPERLINK("#'DL02. Khách tiềm năng'!A1","DL02. Khách tiềm năng")</f>
        <v>DL02. Khách tiềm năng</v>
      </c>
      <c r="D34" s="45" t="s">
        <v>114</v>
      </c>
      <c r="E34" s="33" t="s">
        <v>115</v>
      </c>
      <c r="F34" s="33"/>
      <c r="G34" s="4"/>
      <c r="H34" s="4"/>
      <c r="I34" s="4"/>
      <c r="J34" s="4"/>
      <c r="K34" s="4"/>
      <c r="L34" s="4"/>
      <c r="M34" s="4"/>
      <c r="N34" s="4"/>
      <c r="O34" s="4"/>
      <c r="P34" s="4"/>
      <c r="Q34" s="4"/>
      <c r="R34" s="4"/>
      <c r="S34" s="4"/>
      <c r="T34" s="4"/>
      <c r="U34" s="4"/>
      <c r="V34" s="4"/>
      <c r="W34" s="4"/>
      <c r="X34" s="4"/>
      <c r="Y34" s="4"/>
      <c r="Z34" s="4"/>
    </row>
    <row r="35" customFormat="false" ht="24" hidden="false" customHeight="true" outlineLevel="0" collapsed="false">
      <c r="A35" s="4"/>
      <c r="B35" s="46" t="s">
        <v>116</v>
      </c>
      <c r="C35" s="37" t="str">
        <f aca="false">HYPERLINK("#'DL03. Đặt lịch test'!A1","DL03. Đặt lịch test")</f>
        <v>DL03. Đặt lịch test</v>
      </c>
      <c r="D35" s="47" t="s">
        <v>117</v>
      </c>
      <c r="E35" s="36" t="s">
        <v>118</v>
      </c>
      <c r="F35" s="36"/>
      <c r="G35" s="4"/>
      <c r="H35" s="4"/>
      <c r="I35" s="4"/>
      <c r="J35" s="4"/>
      <c r="K35" s="4"/>
      <c r="L35" s="4"/>
      <c r="M35" s="4"/>
      <c r="N35" s="4"/>
      <c r="O35" s="4"/>
      <c r="P35" s="4"/>
      <c r="Q35" s="4"/>
      <c r="R35" s="4"/>
      <c r="S35" s="4"/>
      <c r="T35" s="4"/>
      <c r="U35" s="4"/>
      <c r="V35" s="4"/>
      <c r="W35" s="4"/>
      <c r="X35" s="4"/>
      <c r="Y35" s="4"/>
      <c r="Z35" s="4"/>
    </row>
    <row r="36" customFormat="false" ht="24" hidden="false" customHeight="true" outlineLevel="0" collapsed="false">
      <c r="A36" s="4"/>
      <c r="B36" s="44" t="s">
        <v>119</v>
      </c>
      <c r="C36" s="34" t="str">
        <f aca="false">HYPERLINK("#'DL04. Tư vấn'!A1","DL04. Tư vấn")</f>
        <v>DL04. Tư vấn</v>
      </c>
      <c r="D36" s="45" t="s">
        <v>120</v>
      </c>
      <c r="E36" s="33" t="s">
        <v>121</v>
      </c>
      <c r="F36" s="33"/>
      <c r="G36" s="4"/>
      <c r="H36" s="4"/>
      <c r="I36" s="4"/>
      <c r="J36" s="4"/>
      <c r="K36" s="4"/>
      <c r="L36" s="4"/>
      <c r="M36" s="4"/>
      <c r="N36" s="4"/>
      <c r="O36" s="4"/>
      <c r="P36" s="4"/>
      <c r="Q36" s="4"/>
      <c r="R36" s="4"/>
      <c r="S36" s="4"/>
      <c r="T36" s="4"/>
      <c r="U36" s="4"/>
      <c r="V36" s="4"/>
      <c r="W36" s="4"/>
      <c r="X36" s="4"/>
      <c r="Y36" s="4"/>
      <c r="Z36" s="4"/>
    </row>
    <row r="37" customFormat="false" ht="24" hidden="false" customHeight="true" outlineLevel="0" collapsed="false">
      <c r="A37" s="4"/>
      <c r="B37" s="46" t="s">
        <v>122</v>
      </c>
      <c r="C37" s="37" t="str">
        <f aca="false">HYPERLINK("#'DL06. Đăng ký'!A1","DL06. Đăng ký")</f>
        <v>DL06. Đăng ký</v>
      </c>
      <c r="D37" s="47" t="s">
        <v>123</v>
      </c>
      <c r="E37" s="36" t="s">
        <v>124</v>
      </c>
      <c r="F37" s="36"/>
      <c r="G37" s="4"/>
      <c r="H37" s="4"/>
      <c r="I37" s="4"/>
      <c r="J37" s="4"/>
      <c r="K37" s="4"/>
      <c r="L37" s="4"/>
      <c r="M37" s="4"/>
      <c r="N37" s="4"/>
      <c r="O37" s="4"/>
      <c r="P37" s="4"/>
      <c r="Q37" s="4"/>
      <c r="R37" s="4"/>
      <c r="S37" s="4"/>
      <c r="T37" s="4"/>
      <c r="U37" s="4"/>
      <c r="V37" s="4"/>
      <c r="W37" s="4"/>
      <c r="X37" s="4"/>
      <c r="Y37" s="4"/>
      <c r="Z37" s="4"/>
    </row>
    <row r="38" customFormat="false" ht="24" hidden="false" customHeight="true" outlineLevel="0" collapsed="false">
      <c r="A38" s="4"/>
      <c r="B38" s="44" t="s">
        <v>125</v>
      </c>
      <c r="C38" s="34" t="str">
        <f aca="false">HYPERLINK("#'DL07. Thanh toán'!A1","DL07. Thanh toán")</f>
        <v>DL07. Thanh toán</v>
      </c>
      <c r="D38" s="45" t="s">
        <v>126</v>
      </c>
      <c r="E38" s="33" t="s">
        <v>127</v>
      </c>
      <c r="F38" s="33"/>
      <c r="G38" s="4"/>
      <c r="H38" s="4"/>
      <c r="I38" s="4"/>
      <c r="J38" s="4"/>
      <c r="K38" s="4"/>
      <c r="L38" s="4"/>
      <c r="M38" s="4"/>
      <c r="N38" s="4"/>
      <c r="O38" s="4"/>
      <c r="P38" s="4"/>
      <c r="Q38" s="4"/>
      <c r="R38" s="4"/>
      <c r="S38" s="4"/>
      <c r="T38" s="4"/>
      <c r="U38" s="4"/>
      <c r="V38" s="4"/>
      <c r="W38" s="4"/>
      <c r="X38" s="4"/>
      <c r="Y38" s="4"/>
      <c r="Z38" s="4"/>
    </row>
    <row r="39" customFormat="false" ht="24" hidden="false" customHeight="true" outlineLevel="0" collapsed="false">
      <c r="A39" s="4"/>
      <c r="B39" s="46" t="s">
        <v>128</v>
      </c>
      <c r="C39" s="37" t="str">
        <f aca="false">HYPERLINK("#'DL09. Học viên'!A1","DL09. Học viên")</f>
        <v>DL09. Học viên</v>
      </c>
      <c r="D39" s="47" t="s">
        <v>129</v>
      </c>
      <c r="E39" s="36" t="s">
        <v>130</v>
      </c>
      <c r="F39" s="36"/>
      <c r="G39" s="4"/>
      <c r="H39" s="4"/>
      <c r="I39" s="4"/>
      <c r="J39" s="4"/>
      <c r="K39" s="4"/>
      <c r="L39" s="4"/>
      <c r="M39" s="4"/>
      <c r="N39" s="4"/>
      <c r="O39" s="4"/>
      <c r="P39" s="4"/>
      <c r="Q39" s="4"/>
      <c r="R39" s="4"/>
      <c r="S39" s="4"/>
      <c r="T39" s="4"/>
      <c r="U39" s="4"/>
      <c r="V39" s="4"/>
      <c r="W39" s="4"/>
      <c r="X39" s="4"/>
      <c r="Y39" s="4"/>
      <c r="Z39" s="4"/>
    </row>
    <row r="40" customFormat="false" ht="24" hidden="false" customHeight="true" outlineLevel="0" collapsed="false">
      <c r="A40" s="4"/>
      <c r="B40" s="44" t="s">
        <v>131</v>
      </c>
      <c r="C40" s="34" t="str">
        <f aca="false">HYPERLINK("#'DL08. Xếp lớp &amp; Nhập học'!A1","DL08. Xếp lớp &amp; Nhập học")</f>
        <v>DL08. Xếp lớp &amp; Nhập học</v>
      </c>
      <c r="D40" s="45" t="s">
        <v>132</v>
      </c>
      <c r="E40" s="33" t="s">
        <v>133</v>
      </c>
      <c r="F40" s="33"/>
      <c r="G40" s="4"/>
      <c r="H40" s="4"/>
      <c r="I40" s="4"/>
      <c r="J40" s="4"/>
      <c r="K40" s="4"/>
      <c r="L40" s="4"/>
      <c r="M40" s="4"/>
      <c r="N40" s="4"/>
      <c r="O40" s="4"/>
      <c r="P40" s="4"/>
      <c r="Q40" s="4"/>
      <c r="R40" s="4"/>
      <c r="S40" s="4"/>
      <c r="T40" s="4"/>
      <c r="U40" s="4"/>
      <c r="V40" s="4"/>
      <c r="W40" s="4"/>
      <c r="X40" s="4"/>
      <c r="Y40" s="4"/>
      <c r="Z40" s="4"/>
    </row>
    <row r="41" customFormat="false" ht="24" hidden="false" customHeight="true" outlineLevel="0" collapsed="false">
      <c r="A41" s="4"/>
      <c r="B41" s="46" t="s">
        <v>134</v>
      </c>
      <c r="C41" s="37" t="str">
        <f aca="false">HYPERLINK("#'DL10. Lớp học'!A1","DL10. Lớp học")</f>
        <v>DL10. Lớp học</v>
      </c>
      <c r="D41" s="47" t="s">
        <v>135</v>
      </c>
      <c r="E41" s="36" t="s">
        <v>136</v>
      </c>
      <c r="F41" s="36"/>
      <c r="G41" s="4"/>
      <c r="H41" s="4"/>
      <c r="I41" s="4"/>
      <c r="J41" s="4"/>
      <c r="K41" s="4"/>
      <c r="L41" s="4"/>
      <c r="M41" s="4"/>
      <c r="N41" s="4"/>
      <c r="O41" s="4"/>
      <c r="P41" s="4"/>
      <c r="Q41" s="4"/>
      <c r="R41" s="4"/>
      <c r="S41" s="4"/>
      <c r="T41" s="4"/>
      <c r="U41" s="4"/>
      <c r="V41" s="4"/>
      <c r="W41" s="4"/>
      <c r="X41" s="4"/>
      <c r="Y41" s="4"/>
      <c r="Z41" s="4"/>
    </row>
    <row r="42" customFormat="false" ht="19.5" hidden="false" customHeight="true" outlineLevel="0" collapsed="false">
      <c r="A42" s="4"/>
      <c r="B42" s="48"/>
      <c r="C42" s="48"/>
      <c r="D42" s="48"/>
      <c r="E42" s="48"/>
      <c r="F42" s="48"/>
      <c r="G42" s="4"/>
      <c r="H42" s="4"/>
      <c r="I42" s="4"/>
      <c r="J42" s="4"/>
      <c r="K42" s="4"/>
      <c r="L42" s="4"/>
      <c r="M42" s="4"/>
      <c r="N42" s="4"/>
      <c r="O42" s="4"/>
      <c r="P42" s="4"/>
      <c r="Q42" s="4"/>
      <c r="R42" s="4"/>
      <c r="S42" s="4"/>
      <c r="T42" s="4"/>
      <c r="U42" s="4"/>
      <c r="V42" s="4"/>
      <c r="W42" s="4"/>
      <c r="X42" s="4"/>
      <c r="Y42" s="4"/>
      <c r="Z42" s="4"/>
    </row>
    <row r="43" customFormat="false" ht="1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31.5" hidden="false" customHeight="true" outlineLevel="0" collapsed="false">
      <c r="A44" s="30" t="s">
        <v>137</v>
      </c>
      <c r="B44" s="30"/>
      <c r="C44" s="30"/>
      <c r="D44" s="30"/>
      <c r="E44" s="30"/>
      <c r="F44" s="30"/>
      <c r="G44" s="30"/>
      <c r="H44" s="4"/>
      <c r="I44" s="4"/>
      <c r="J44" s="4"/>
      <c r="K44" s="4"/>
      <c r="L44" s="4"/>
      <c r="M44" s="4"/>
      <c r="N44" s="4"/>
      <c r="O44" s="4"/>
      <c r="P44" s="4"/>
      <c r="Q44" s="4"/>
      <c r="R44" s="4"/>
      <c r="S44" s="4"/>
      <c r="T44" s="4"/>
      <c r="U44" s="4"/>
      <c r="V44" s="4"/>
      <c r="W44" s="4"/>
      <c r="X44" s="4"/>
      <c r="Y44" s="4"/>
      <c r="Z44" s="4"/>
    </row>
    <row r="45" customFormat="false" ht="19.5" hidden="false" customHeight="true" outlineLevel="0" collapsed="false">
      <c r="A45" s="4"/>
      <c r="B45" s="49" t="s">
        <v>138</v>
      </c>
      <c r="C45" s="49"/>
      <c r="D45" s="49"/>
      <c r="E45" s="49"/>
      <c r="F45" s="49"/>
      <c r="G45" s="4"/>
      <c r="H45" s="4"/>
      <c r="I45" s="4"/>
      <c r="J45" s="4"/>
      <c r="K45" s="4"/>
      <c r="L45" s="4"/>
      <c r="M45" s="4"/>
      <c r="N45" s="4"/>
      <c r="O45" s="4"/>
      <c r="P45" s="4"/>
      <c r="Q45" s="4"/>
      <c r="R45" s="4"/>
      <c r="S45" s="4"/>
      <c r="T45" s="4"/>
      <c r="U45" s="4"/>
      <c r="V45" s="4"/>
      <c r="W45" s="4"/>
      <c r="X45" s="4"/>
      <c r="Y45" s="4"/>
      <c r="Z45" s="4"/>
    </row>
    <row r="46" customFormat="false" ht="18" hidden="false" customHeight="true" outlineLevel="0" collapsed="false">
      <c r="A46" s="4"/>
      <c r="B46" s="50" t="str">
        <f aca="false">HYPERLINK("#'HD0. Trang chủ'!A1","HD0. Trang chủ")</f>
        <v>HD0. Trang chủ</v>
      </c>
      <c r="C46" s="33" t="s">
        <v>139</v>
      </c>
      <c r="D46" s="33"/>
      <c r="E46" s="33"/>
      <c r="F46" s="33"/>
      <c r="G46" s="4"/>
      <c r="H46" s="4"/>
      <c r="I46" s="4"/>
      <c r="J46" s="4"/>
      <c r="K46" s="4"/>
      <c r="L46" s="4"/>
      <c r="M46" s="4"/>
      <c r="N46" s="4"/>
      <c r="O46" s="4"/>
      <c r="P46" s="4"/>
      <c r="Q46" s="4"/>
      <c r="R46" s="4"/>
      <c r="S46" s="4"/>
      <c r="T46" s="4"/>
      <c r="U46" s="4"/>
      <c r="V46" s="4"/>
      <c r="W46" s="4"/>
      <c r="X46" s="4"/>
      <c r="Y46" s="4"/>
      <c r="Z46" s="4"/>
    </row>
    <row r="47" customFormat="false" ht="18" hidden="false" customHeight="true" outlineLevel="0" collapsed="false">
      <c r="A47" s="4"/>
      <c r="B47" s="51" t="str">
        <f aca="false">HYPERLINK("#'HD1. Hướng dẫn sử dụng'!A1","HD1. Hướng dẫn sử dụng")</f>
        <v>HD1. Hướng dẫn sử dụng</v>
      </c>
      <c r="C47" s="36" t="s">
        <v>140</v>
      </c>
      <c r="D47" s="36"/>
      <c r="E47" s="36"/>
      <c r="F47" s="36"/>
      <c r="G47" s="4"/>
      <c r="H47" s="4"/>
      <c r="I47" s="4"/>
      <c r="J47" s="4"/>
      <c r="K47" s="4"/>
      <c r="L47" s="4"/>
      <c r="M47" s="4"/>
      <c r="N47" s="4"/>
      <c r="O47" s="4"/>
      <c r="P47" s="4"/>
      <c r="Q47" s="4"/>
      <c r="R47" s="4"/>
      <c r="S47" s="4"/>
      <c r="T47" s="4"/>
      <c r="U47" s="4"/>
      <c r="V47" s="4"/>
      <c r="W47" s="4"/>
      <c r="X47" s="4"/>
      <c r="Y47" s="4"/>
      <c r="Z47" s="4"/>
    </row>
    <row r="48" customFormat="false" ht="18" hidden="false" customHeight="true" outlineLevel="0" collapsed="false">
      <c r="A48" s="4"/>
      <c r="B48" s="50" t="str">
        <f aca="false">HYPERLINK("#'HD2. Quy trình nghiệp vụ'!A1","HD2. Quy trình nghiệp vụ")</f>
        <v>HD2. Quy trình nghiệp vụ</v>
      </c>
      <c r="C48" s="33" t="s">
        <v>141</v>
      </c>
      <c r="D48" s="33"/>
      <c r="E48" s="33"/>
      <c r="F48" s="33"/>
      <c r="G48" s="4"/>
      <c r="H48" s="4"/>
      <c r="I48" s="4"/>
      <c r="J48" s="4"/>
      <c r="K48" s="4"/>
      <c r="L48" s="4"/>
      <c r="M48" s="4"/>
      <c r="N48" s="4"/>
      <c r="O48" s="4"/>
      <c r="P48" s="4"/>
      <c r="Q48" s="4"/>
      <c r="R48" s="4"/>
      <c r="S48" s="4"/>
      <c r="T48" s="4"/>
      <c r="U48" s="4"/>
      <c r="V48" s="4"/>
      <c r="W48" s="4"/>
      <c r="X48" s="4"/>
      <c r="Y48" s="4"/>
      <c r="Z48" s="4"/>
    </row>
    <row r="49" customFormat="false" ht="18" hidden="false" customHeight="true" outlineLevel="0" collapsed="false">
      <c r="A49" s="4"/>
      <c r="B49" s="51" t="str">
        <f aca="false">HYPERLINK("#'HD3. Sổ trigger &amp; tự động'!A1","HD3. Sổ trigger &amp; tự động")</f>
        <v>HD3. Sổ trigger &amp; tự động</v>
      </c>
      <c r="C49" s="36" t="s">
        <v>142</v>
      </c>
      <c r="D49" s="36"/>
      <c r="E49" s="36"/>
      <c r="F49" s="36"/>
      <c r="G49" s="4"/>
      <c r="H49" s="4"/>
      <c r="I49" s="4"/>
      <c r="J49" s="4"/>
      <c r="K49" s="4"/>
      <c r="L49" s="4"/>
      <c r="M49" s="4"/>
      <c r="N49" s="4"/>
      <c r="O49" s="4"/>
      <c r="P49" s="4"/>
      <c r="Q49" s="4"/>
      <c r="R49" s="4"/>
      <c r="S49" s="4"/>
      <c r="T49" s="4"/>
      <c r="U49" s="4"/>
      <c r="V49" s="4"/>
      <c r="W49" s="4"/>
      <c r="X49" s="4"/>
      <c r="Y49" s="4"/>
      <c r="Z49" s="4"/>
    </row>
    <row r="50" customFormat="false" ht="19.5" hidden="false" customHeight="true" outlineLevel="0" collapsed="false">
      <c r="A50" s="4"/>
      <c r="B50" s="52" t="s">
        <v>143</v>
      </c>
      <c r="C50" s="52"/>
      <c r="D50" s="52"/>
      <c r="E50" s="52"/>
      <c r="F50" s="52"/>
      <c r="G50" s="4"/>
      <c r="H50" s="4"/>
      <c r="I50" s="4"/>
      <c r="J50" s="4"/>
      <c r="K50" s="4"/>
      <c r="L50" s="4"/>
      <c r="M50" s="4"/>
      <c r="N50" s="4"/>
      <c r="O50" s="4"/>
      <c r="P50" s="4"/>
      <c r="Q50" s="4"/>
      <c r="R50" s="4"/>
      <c r="S50" s="4"/>
      <c r="T50" s="4"/>
      <c r="U50" s="4"/>
      <c r="V50" s="4"/>
      <c r="W50" s="4"/>
      <c r="X50" s="4"/>
      <c r="Y50" s="4"/>
      <c r="Z50" s="4"/>
    </row>
    <row r="51" customFormat="false" ht="18" hidden="false" customHeight="true" outlineLevel="0" collapsed="false">
      <c r="A51" s="4"/>
      <c r="B51" s="53" t="str">
        <f aca="false">HYPERLINK("#'CH1. Danh mục lựa chọn'!A1","CH1. Danh mục lựa chọn")</f>
        <v>CH1. Danh mục lựa chọn</v>
      </c>
      <c r="C51" s="33" t="s">
        <v>144</v>
      </c>
      <c r="D51" s="33"/>
      <c r="E51" s="33"/>
      <c r="F51" s="33"/>
      <c r="G51" s="4"/>
      <c r="H51" s="4"/>
      <c r="I51" s="4"/>
      <c r="J51" s="4"/>
      <c r="K51" s="4"/>
      <c r="L51" s="4"/>
      <c r="M51" s="4"/>
      <c r="N51" s="4"/>
      <c r="O51" s="4"/>
      <c r="P51" s="4"/>
      <c r="Q51" s="4"/>
      <c r="R51" s="4"/>
      <c r="S51" s="4"/>
      <c r="T51" s="4"/>
      <c r="U51" s="4"/>
      <c r="V51" s="4"/>
      <c r="W51" s="4"/>
      <c r="X51" s="4"/>
      <c r="Y51" s="4"/>
      <c r="Z51" s="4"/>
    </row>
    <row r="52" customFormat="false" ht="18" hidden="false" customHeight="true" outlineLevel="0" collapsed="false">
      <c r="A52" s="4"/>
      <c r="B52" s="54" t="str">
        <f aca="false">HYPERLINK("#'CH2. Tham số &amp; Quy tắc'!A1","CH2. Tham số &amp; Quy tắc")</f>
        <v>CH2. Tham số &amp; Quy tắc</v>
      </c>
      <c r="C52" s="36" t="s">
        <v>145</v>
      </c>
      <c r="D52" s="36"/>
      <c r="E52" s="36"/>
      <c r="F52" s="36"/>
      <c r="G52" s="4"/>
      <c r="H52" s="4"/>
      <c r="I52" s="4"/>
      <c r="J52" s="4"/>
      <c r="K52" s="4"/>
      <c r="L52" s="4"/>
      <c r="M52" s="4"/>
      <c r="N52" s="4"/>
      <c r="O52" s="4"/>
      <c r="P52" s="4"/>
      <c r="Q52" s="4"/>
      <c r="R52" s="4"/>
      <c r="S52" s="4"/>
      <c r="T52" s="4"/>
      <c r="U52" s="4"/>
      <c r="V52" s="4"/>
      <c r="W52" s="4"/>
      <c r="X52" s="4"/>
      <c r="Y52" s="4"/>
      <c r="Z52" s="4"/>
    </row>
    <row r="53" customFormat="false" ht="18" hidden="false" customHeight="true" outlineLevel="0" collapsed="false">
      <c r="A53" s="4"/>
      <c r="B53" s="53" t="str">
        <f aca="false">HYPERLINK("#'CH3. Phân quyền'!A1","CH3. Phân quyền")</f>
        <v>CH3. Phân quyền</v>
      </c>
      <c r="C53" s="33" t="s">
        <v>146</v>
      </c>
      <c r="D53" s="33"/>
      <c r="E53" s="33"/>
      <c r="F53" s="33"/>
      <c r="G53" s="4"/>
      <c r="H53" s="4"/>
      <c r="I53" s="4"/>
      <c r="J53" s="4"/>
      <c r="K53" s="4"/>
      <c r="L53" s="4"/>
      <c r="M53" s="4"/>
      <c r="N53" s="4"/>
      <c r="O53" s="4"/>
      <c r="P53" s="4"/>
      <c r="Q53" s="4"/>
      <c r="R53" s="4"/>
      <c r="S53" s="4"/>
      <c r="T53" s="4"/>
      <c r="U53" s="4"/>
      <c r="V53" s="4"/>
      <c r="W53" s="4"/>
      <c r="X53" s="4"/>
      <c r="Y53" s="4"/>
      <c r="Z53" s="4"/>
    </row>
    <row r="54" customFormat="false" ht="18" hidden="false" customHeight="true" outlineLevel="0" collapsed="false">
      <c r="A54" s="4"/>
      <c r="B54" s="54" t="str">
        <f aca="false">HYPERLINK("#'CH4. Thông điệp nhắc việc'!A1","CH4. Thông điệp nhắc việc")</f>
        <v>CH4. Thông điệp nhắc việc</v>
      </c>
      <c r="C54" s="36" t="s">
        <v>147</v>
      </c>
      <c r="D54" s="36"/>
      <c r="E54" s="36"/>
      <c r="F54" s="36"/>
      <c r="G54" s="4"/>
      <c r="H54" s="4"/>
      <c r="I54" s="4"/>
      <c r="J54" s="4"/>
      <c r="K54" s="4"/>
      <c r="L54" s="4"/>
      <c r="M54" s="4"/>
      <c r="N54" s="4"/>
      <c r="O54" s="4"/>
      <c r="P54" s="4"/>
      <c r="Q54" s="4"/>
      <c r="R54" s="4"/>
      <c r="S54" s="4"/>
      <c r="T54" s="4"/>
      <c r="U54" s="4"/>
      <c r="V54" s="4"/>
      <c r="W54" s="4"/>
      <c r="X54" s="4"/>
      <c r="Y54" s="4"/>
      <c r="Z54" s="4"/>
    </row>
    <row r="55" customFormat="false" ht="18" hidden="false" customHeight="true" outlineLevel="0" collapsed="false">
      <c r="A55" s="4"/>
      <c r="B55" s="53" t="str">
        <f aca="false">HYPERLINK("#'CH5. Thuật ngữ'!A1","CH5. Thuật ngữ")</f>
        <v>CH5. Thuật ngữ</v>
      </c>
      <c r="C55" s="33" t="s">
        <v>148</v>
      </c>
      <c r="D55" s="33"/>
      <c r="E55" s="33"/>
      <c r="F55" s="33"/>
      <c r="G55" s="4"/>
      <c r="H55" s="4"/>
      <c r="I55" s="4"/>
      <c r="J55" s="4"/>
      <c r="K55" s="4"/>
      <c r="L55" s="4"/>
      <c r="M55" s="4"/>
      <c r="N55" s="4"/>
      <c r="O55" s="4"/>
      <c r="P55" s="4"/>
      <c r="Q55" s="4"/>
      <c r="R55" s="4"/>
      <c r="S55" s="4"/>
      <c r="T55" s="4"/>
      <c r="U55" s="4"/>
      <c r="V55" s="4"/>
      <c r="W55" s="4"/>
      <c r="X55" s="4"/>
      <c r="Y55" s="4"/>
      <c r="Z55" s="4"/>
    </row>
    <row r="56" customFormat="false" ht="18" hidden="false" customHeight="true" outlineLevel="0" collapsed="false">
      <c r="A56" s="4"/>
      <c r="B56" s="54" t="str">
        <f aca="false">HYPERLINK("#'CH6. Ngưỡng KPI'!A1","CH6. Ngưỡng KPI")</f>
        <v>CH6. Ngưỡng KPI</v>
      </c>
      <c r="C56" s="36" t="s">
        <v>149</v>
      </c>
      <c r="D56" s="36"/>
      <c r="E56" s="36"/>
      <c r="F56" s="36"/>
      <c r="G56" s="4"/>
      <c r="H56" s="4"/>
      <c r="I56" s="4"/>
      <c r="J56" s="4"/>
      <c r="K56" s="4"/>
      <c r="L56" s="4"/>
      <c r="M56" s="4"/>
      <c r="N56" s="4"/>
      <c r="O56" s="4"/>
      <c r="P56" s="4"/>
      <c r="Q56" s="4"/>
      <c r="R56" s="4"/>
      <c r="S56" s="4"/>
      <c r="T56" s="4"/>
      <c r="U56" s="4"/>
      <c r="V56" s="4"/>
      <c r="W56" s="4"/>
      <c r="X56" s="4"/>
      <c r="Y56" s="4"/>
      <c r="Z56" s="4"/>
    </row>
    <row r="57" customFormat="false" ht="19.5" hidden="false" customHeight="true" outlineLevel="0" collapsed="false">
      <c r="A57" s="4"/>
      <c r="B57" s="55" t="s">
        <v>150</v>
      </c>
      <c r="C57" s="55"/>
      <c r="D57" s="55"/>
      <c r="E57" s="55"/>
      <c r="F57" s="55"/>
      <c r="G57" s="4"/>
      <c r="H57" s="4"/>
      <c r="I57" s="4"/>
      <c r="J57" s="4"/>
      <c r="K57" s="4"/>
      <c r="L57" s="4"/>
      <c r="M57" s="4"/>
      <c r="N57" s="4"/>
      <c r="O57" s="4"/>
      <c r="P57" s="4"/>
      <c r="Q57" s="4"/>
      <c r="R57" s="4"/>
      <c r="S57" s="4"/>
      <c r="T57" s="4"/>
      <c r="U57" s="4"/>
      <c r="V57" s="4"/>
      <c r="W57" s="4"/>
      <c r="X57" s="4"/>
      <c r="Y57" s="4"/>
      <c r="Z57" s="4"/>
    </row>
    <row r="58" customFormat="false" ht="18" hidden="false" customHeight="true" outlineLevel="0" collapsed="false">
      <c r="A58" s="4"/>
      <c r="B58" s="56" t="str">
        <f aca="false">HYPERLINK("#'DL01. Nhân viên'!A1","DL01. Nhân viên")</f>
        <v>DL01. Nhân viên</v>
      </c>
      <c r="C58" s="33" t="s">
        <v>58</v>
      </c>
      <c r="D58" s="33"/>
      <c r="E58" s="33"/>
      <c r="F58" s="33"/>
      <c r="G58" s="4"/>
      <c r="H58" s="4"/>
      <c r="I58" s="4"/>
      <c r="J58" s="4"/>
      <c r="K58" s="4"/>
      <c r="L58" s="4"/>
      <c r="M58" s="4"/>
      <c r="N58" s="4"/>
      <c r="O58" s="4"/>
      <c r="P58" s="4"/>
      <c r="Q58" s="4"/>
      <c r="R58" s="4"/>
      <c r="S58" s="4"/>
      <c r="T58" s="4"/>
      <c r="U58" s="4"/>
      <c r="V58" s="4"/>
      <c r="W58" s="4"/>
      <c r="X58" s="4"/>
      <c r="Y58" s="4"/>
      <c r="Z58" s="4"/>
    </row>
    <row r="59" customFormat="false" ht="18" hidden="false" customHeight="true" outlineLevel="0" collapsed="false">
      <c r="A59" s="4"/>
      <c r="B59" s="57" t="str">
        <f aca="false">HYPERLINK("#'DL02. Khách tiềm năng'!A1","DL02. Khách tiềm năng")</f>
        <v>DL02. Khách tiềm năng</v>
      </c>
      <c r="C59" s="36" t="s">
        <v>151</v>
      </c>
      <c r="D59" s="36"/>
      <c r="E59" s="36"/>
      <c r="F59" s="36"/>
      <c r="G59" s="4"/>
      <c r="H59" s="4"/>
      <c r="I59" s="4"/>
      <c r="J59" s="4"/>
      <c r="K59" s="4"/>
      <c r="L59" s="4"/>
      <c r="M59" s="4"/>
      <c r="N59" s="4"/>
      <c r="O59" s="4"/>
      <c r="P59" s="4"/>
      <c r="Q59" s="4"/>
      <c r="R59" s="4"/>
      <c r="S59" s="4"/>
      <c r="T59" s="4"/>
      <c r="U59" s="4"/>
      <c r="V59" s="4"/>
      <c r="W59" s="4"/>
      <c r="X59" s="4"/>
      <c r="Y59" s="4"/>
      <c r="Z59" s="4"/>
    </row>
    <row r="60" customFormat="false" ht="18" hidden="false" customHeight="true" outlineLevel="0" collapsed="false">
      <c r="A60" s="4"/>
      <c r="B60" s="56" t="str">
        <f aca="false">HYPERLINK("#'DL02b. Lịch sử liên hệ'!A1","DL02b. Lịch sử liên hệ")</f>
        <v>DL02b. Lịch sử liên hệ</v>
      </c>
      <c r="C60" s="33" t="s">
        <v>152</v>
      </c>
      <c r="D60" s="33"/>
      <c r="E60" s="33"/>
      <c r="F60" s="33"/>
      <c r="G60" s="4"/>
      <c r="H60" s="4"/>
      <c r="I60" s="4"/>
      <c r="J60" s="4"/>
      <c r="K60" s="4"/>
      <c r="L60" s="4"/>
      <c r="M60" s="4"/>
      <c r="N60" s="4"/>
      <c r="O60" s="4"/>
      <c r="P60" s="4"/>
      <c r="Q60" s="4"/>
      <c r="R60" s="4"/>
      <c r="S60" s="4"/>
      <c r="T60" s="4"/>
      <c r="U60" s="4"/>
      <c r="V60" s="4"/>
      <c r="W60" s="4"/>
      <c r="X60" s="4"/>
      <c r="Y60" s="4"/>
      <c r="Z60" s="4"/>
    </row>
    <row r="61" customFormat="false" ht="18" hidden="false" customHeight="true" outlineLevel="0" collapsed="false">
      <c r="A61" s="4"/>
      <c r="B61" s="57" t="str">
        <f aca="false">HYPERLINK("#'DL03. Đặt lịch test'!A1","DL03. Đặt lịch test")</f>
        <v>DL03. Đặt lịch test</v>
      </c>
      <c r="C61" s="36" t="s">
        <v>153</v>
      </c>
      <c r="D61" s="36"/>
      <c r="E61" s="36"/>
      <c r="F61" s="36"/>
      <c r="G61" s="4"/>
      <c r="H61" s="4"/>
      <c r="I61" s="4"/>
      <c r="J61" s="4"/>
      <c r="K61" s="4"/>
      <c r="L61" s="4"/>
      <c r="M61" s="4"/>
      <c r="N61" s="4"/>
      <c r="O61" s="4"/>
      <c r="P61" s="4"/>
      <c r="Q61" s="4"/>
      <c r="R61" s="4"/>
      <c r="S61" s="4"/>
      <c r="T61" s="4"/>
      <c r="U61" s="4"/>
      <c r="V61" s="4"/>
      <c r="W61" s="4"/>
      <c r="X61" s="4"/>
      <c r="Y61" s="4"/>
      <c r="Z61" s="4"/>
    </row>
    <row r="62" customFormat="false" ht="18" hidden="false" customHeight="true" outlineLevel="0" collapsed="false">
      <c r="A62" s="4"/>
      <c r="B62" s="56" t="str">
        <f aca="false">HYPERLINK("#'DL04. Tư vấn'!A1","DL04. Tư vấn")</f>
        <v>DL04. Tư vấn</v>
      </c>
      <c r="C62" s="33" t="s">
        <v>154</v>
      </c>
      <c r="D62" s="33"/>
      <c r="E62" s="33"/>
      <c r="F62" s="33"/>
      <c r="G62" s="4"/>
      <c r="H62" s="4"/>
      <c r="I62" s="4"/>
      <c r="J62" s="4"/>
      <c r="K62" s="4"/>
      <c r="L62" s="4"/>
      <c r="M62" s="4"/>
      <c r="N62" s="4"/>
      <c r="O62" s="4"/>
      <c r="P62" s="4"/>
      <c r="Q62" s="4"/>
      <c r="R62" s="4"/>
      <c r="S62" s="4"/>
      <c r="T62" s="4"/>
      <c r="U62" s="4"/>
      <c r="V62" s="4"/>
      <c r="W62" s="4"/>
      <c r="X62" s="4"/>
      <c r="Y62" s="4"/>
      <c r="Z62" s="4"/>
    </row>
    <row r="63" customFormat="false" ht="18" hidden="false" customHeight="true" outlineLevel="0" collapsed="false">
      <c r="A63" s="4"/>
      <c r="B63" s="57" t="str">
        <f aca="false">HYPERLINK("#'DL05. Khóa học'!A1","DL05. Khóa học")</f>
        <v>DL05. Khóa học</v>
      </c>
      <c r="C63" s="36" t="s">
        <v>155</v>
      </c>
      <c r="D63" s="36"/>
      <c r="E63" s="36"/>
      <c r="F63" s="36"/>
      <c r="G63" s="4"/>
      <c r="H63" s="4"/>
      <c r="I63" s="4"/>
      <c r="J63" s="4"/>
      <c r="K63" s="4"/>
      <c r="L63" s="4"/>
      <c r="M63" s="4"/>
      <c r="N63" s="4"/>
      <c r="O63" s="4"/>
      <c r="P63" s="4"/>
      <c r="Q63" s="4"/>
      <c r="R63" s="4"/>
      <c r="S63" s="4"/>
      <c r="T63" s="4"/>
      <c r="U63" s="4"/>
      <c r="V63" s="4"/>
      <c r="W63" s="4"/>
      <c r="X63" s="4"/>
      <c r="Y63" s="4"/>
      <c r="Z63" s="4"/>
    </row>
    <row r="64" customFormat="false" ht="18" hidden="false" customHeight="true" outlineLevel="0" collapsed="false">
      <c r="A64" s="4"/>
      <c r="B64" s="56" t="str">
        <f aca="false">HYPERLINK("#'DL06. Đăng ký'!A1","DL06. Đăng ký")</f>
        <v>DL06. Đăng ký</v>
      </c>
      <c r="C64" s="33" t="s">
        <v>156</v>
      </c>
      <c r="D64" s="33"/>
      <c r="E64" s="33"/>
      <c r="F64" s="33"/>
      <c r="G64" s="4"/>
      <c r="H64" s="4"/>
      <c r="I64" s="4"/>
      <c r="J64" s="4"/>
      <c r="K64" s="4"/>
      <c r="L64" s="4"/>
      <c r="M64" s="4"/>
      <c r="N64" s="4"/>
      <c r="O64" s="4"/>
      <c r="P64" s="4"/>
      <c r="Q64" s="4"/>
      <c r="R64" s="4"/>
      <c r="S64" s="4"/>
      <c r="T64" s="4"/>
      <c r="U64" s="4"/>
      <c r="V64" s="4"/>
      <c r="W64" s="4"/>
      <c r="X64" s="4"/>
      <c r="Y64" s="4"/>
      <c r="Z64" s="4"/>
    </row>
    <row r="65" customFormat="false" ht="18" hidden="false" customHeight="true" outlineLevel="0" collapsed="false">
      <c r="A65" s="4"/>
      <c r="B65" s="57" t="str">
        <f aca="false">HYPERLINK("#'DL07. Thanh toán'!A1","DL07. Thanh toán")</f>
        <v>DL07. Thanh toán</v>
      </c>
      <c r="C65" s="36" t="s">
        <v>157</v>
      </c>
      <c r="D65" s="36"/>
      <c r="E65" s="36"/>
      <c r="F65" s="36"/>
      <c r="G65" s="4"/>
      <c r="H65" s="4"/>
      <c r="I65" s="4"/>
      <c r="J65" s="4"/>
      <c r="K65" s="4"/>
      <c r="L65" s="4"/>
      <c r="M65" s="4"/>
      <c r="N65" s="4"/>
      <c r="O65" s="4"/>
      <c r="P65" s="4"/>
      <c r="Q65" s="4"/>
      <c r="R65" s="4"/>
      <c r="S65" s="4"/>
      <c r="T65" s="4"/>
      <c r="U65" s="4"/>
      <c r="V65" s="4"/>
      <c r="W65" s="4"/>
      <c r="X65" s="4"/>
      <c r="Y65" s="4"/>
      <c r="Z65" s="4"/>
    </row>
    <row r="66" customFormat="false" ht="18" hidden="false" customHeight="true" outlineLevel="0" collapsed="false">
      <c r="A66" s="4"/>
      <c r="B66" s="56" t="str">
        <f aca="false">HYPERLINK("#'DL08. Xếp lớp &amp; Nhập học'!A1","DL08. Xếp lớp &amp; Nhập học")</f>
        <v>DL08. Xếp lớp &amp; Nhập học</v>
      </c>
      <c r="C66" s="33" t="s">
        <v>158</v>
      </c>
      <c r="D66" s="33"/>
      <c r="E66" s="33"/>
      <c r="F66" s="33"/>
      <c r="G66" s="4"/>
      <c r="H66" s="4"/>
      <c r="I66" s="4"/>
      <c r="J66" s="4"/>
      <c r="K66" s="4"/>
      <c r="L66" s="4"/>
      <c r="M66" s="4"/>
      <c r="N66" s="4"/>
      <c r="O66" s="4"/>
      <c r="P66" s="4"/>
      <c r="Q66" s="4"/>
      <c r="R66" s="4"/>
      <c r="S66" s="4"/>
      <c r="T66" s="4"/>
      <c r="U66" s="4"/>
      <c r="V66" s="4"/>
      <c r="W66" s="4"/>
      <c r="X66" s="4"/>
      <c r="Y66" s="4"/>
      <c r="Z66" s="4"/>
    </row>
    <row r="67" customFormat="false" ht="18" hidden="false" customHeight="true" outlineLevel="0" collapsed="false">
      <c r="A67" s="4"/>
      <c r="B67" s="57" t="str">
        <f aca="false">HYPERLINK("#'DL09. Học viên'!A1","DL09. Học viên")</f>
        <v>DL09. Học viên</v>
      </c>
      <c r="C67" s="36" t="s">
        <v>159</v>
      </c>
      <c r="D67" s="36"/>
      <c r="E67" s="36"/>
      <c r="F67" s="36"/>
      <c r="G67" s="4"/>
      <c r="H67" s="4"/>
      <c r="I67" s="4"/>
      <c r="J67" s="4"/>
      <c r="K67" s="4"/>
      <c r="L67" s="4"/>
      <c r="M67" s="4"/>
      <c r="N67" s="4"/>
      <c r="O67" s="4"/>
      <c r="P67" s="4"/>
      <c r="Q67" s="4"/>
      <c r="R67" s="4"/>
      <c r="S67" s="4"/>
      <c r="T67" s="4"/>
      <c r="U67" s="4"/>
      <c r="V67" s="4"/>
      <c r="W67" s="4"/>
      <c r="X67" s="4"/>
      <c r="Y67" s="4"/>
      <c r="Z67" s="4"/>
    </row>
    <row r="68" customFormat="false" ht="18" hidden="false" customHeight="true" outlineLevel="0" collapsed="false">
      <c r="A68" s="4"/>
      <c r="B68" s="56" t="str">
        <f aca="false">HYPERLINK("#'DL10. Lớp học'!A1","DL10. Lớp học")</f>
        <v>DL10. Lớp học</v>
      </c>
      <c r="C68" s="33" t="s">
        <v>160</v>
      </c>
      <c r="D68" s="33"/>
      <c r="E68" s="33"/>
      <c r="F68" s="33"/>
      <c r="G68" s="4"/>
      <c r="H68" s="4"/>
      <c r="I68" s="4"/>
      <c r="J68" s="4"/>
      <c r="K68" s="4"/>
      <c r="L68" s="4"/>
      <c r="M68" s="4"/>
      <c r="N68" s="4"/>
      <c r="O68" s="4"/>
      <c r="P68" s="4"/>
      <c r="Q68" s="4"/>
      <c r="R68" s="4"/>
      <c r="S68" s="4"/>
      <c r="T68" s="4"/>
      <c r="U68" s="4"/>
      <c r="V68" s="4"/>
      <c r="W68" s="4"/>
      <c r="X68" s="4"/>
      <c r="Y68" s="4"/>
      <c r="Z68" s="4"/>
    </row>
    <row r="69" customFormat="false" ht="18" hidden="false" customHeight="true" outlineLevel="0" collapsed="false">
      <c r="A69" s="4"/>
      <c r="B69" s="57" t="str">
        <f aca="false">HYPERLINK("#'DL11. Buổi học'!A1","DL11. Buổi học")</f>
        <v>DL11. Buổi học</v>
      </c>
      <c r="C69" s="36" t="s">
        <v>161</v>
      </c>
      <c r="D69" s="36"/>
      <c r="E69" s="36"/>
      <c r="F69" s="36"/>
      <c r="G69" s="4"/>
      <c r="H69" s="4"/>
      <c r="I69" s="4"/>
      <c r="J69" s="4"/>
      <c r="K69" s="4"/>
      <c r="L69" s="4"/>
      <c r="M69" s="4"/>
      <c r="N69" s="4"/>
      <c r="O69" s="4"/>
      <c r="P69" s="4"/>
      <c r="Q69" s="4"/>
      <c r="R69" s="4"/>
      <c r="S69" s="4"/>
      <c r="T69" s="4"/>
      <c r="U69" s="4"/>
      <c r="V69" s="4"/>
      <c r="W69" s="4"/>
      <c r="X69" s="4"/>
      <c r="Y69" s="4"/>
      <c r="Z69" s="4"/>
    </row>
    <row r="70" customFormat="false" ht="18" hidden="false" customHeight="true" outlineLevel="0" collapsed="false">
      <c r="A70" s="4"/>
      <c r="B70" s="56" t="str">
        <f aca="false">HYPERLINK("#'DL12. Điểm danh'!A1","DL12. Điểm danh")</f>
        <v>DL12. Điểm danh</v>
      </c>
      <c r="C70" s="33" t="s">
        <v>162</v>
      </c>
      <c r="D70" s="33"/>
      <c r="E70" s="33"/>
      <c r="F70" s="33"/>
      <c r="G70" s="4"/>
      <c r="H70" s="4"/>
      <c r="I70" s="4"/>
      <c r="J70" s="4"/>
      <c r="K70" s="4"/>
      <c r="L70" s="4"/>
      <c r="M70" s="4"/>
      <c r="N70" s="4"/>
      <c r="O70" s="4"/>
      <c r="P70" s="4"/>
      <c r="Q70" s="4"/>
      <c r="R70" s="4"/>
      <c r="S70" s="4"/>
      <c r="T70" s="4"/>
      <c r="U70" s="4"/>
      <c r="V70" s="4"/>
      <c r="W70" s="4"/>
      <c r="X70" s="4"/>
      <c r="Y70" s="4"/>
      <c r="Z70" s="4"/>
    </row>
    <row r="71" customFormat="false" ht="18" hidden="false" customHeight="true" outlineLevel="0" collapsed="false">
      <c r="A71" s="4"/>
      <c r="B71" s="57" t="str">
        <f aca="false">HYPERLINK("#'DL13. Bài tập'!A1","DL13. Bài tập")</f>
        <v>DL13. Bài tập</v>
      </c>
      <c r="C71" s="36" t="s">
        <v>163</v>
      </c>
      <c r="D71" s="36"/>
      <c r="E71" s="36"/>
      <c r="F71" s="36"/>
      <c r="G71" s="4"/>
      <c r="H71" s="4"/>
      <c r="I71" s="4"/>
      <c r="J71" s="4"/>
      <c r="K71" s="4"/>
      <c r="L71" s="4"/>
      <c r="M71" s="4"/>
      <c r="N71" s="4"/>
      <c r="O71" s="4"/>
      <c r="P71" s="4"/>
      <c r="Q71" s="4"/>
      <c r="R71" s="4"/>
      <c r="S71" s="4"/>
      <c r="T71" s="4"/>
      <c r="U71" s="4"/>
      <c r="V71" s="4"/>
      <c r="W71" s="4"/>
      <c r="X71" s="4"/>
      <c r="Y71" s="4"/>
      <c r="Z71" s="4"/>
    </row>
    <row r="72" customFormat="false" ht="18" hidden="false" customHeight="true" outlineLevel="0" collapsed="false">
      <c r="A72" s="4"/>
      <c r="B72" s="56" t="str">
        <f aca="false">HYPERLINK("#'DL14. Buổi WOW 1-1'!A1","DL14. Buổi WOW 1-1")</f>
        <v>DL14. Buổi WOW 1-1</v>
      </c>
      <c r="C72" s="33" t="s">
        <v>164</v>
      </c>
      <c r="D72" s="33"/>
      <c r="E72" s="33"/>
      <c r="F72" s="33"/>
      <c r="G72" s="4"/>
      <c r="H72" s="4"/>
      <c r="I72" s="4"/>
      <c r="J72" s="4"/>
      <c r="K72" s="4"/>
      <c r="L72" s="4"/>
      <c r="M72" s="4"/>
      <c r="N72" s="4"/>
      <c r="O72" s="4"/>
      <c r="P72" s="4"/>
      <c r="Q72" s="4"/>
      <c r="R72" s="4"/>
      <c r="S72" s="4"/>
      <c r="T72" s="4"/>
      <c r="U72" s="4"/>
      <c r="V72" s="4"/>
      <c r="W72" s="4"/>
      <c r="X72" s="4"/>
      <c r="Y72" s="4"/>
      <c r="Z72" s="4"/>
    </row>
    <row r="73" customFormat="false" ht="18" hidden="false" customHeight="true" outlineLevel="0" collapsed="false">
      <c r="A73" s="4"/>
      <c r="B73" s="57" t="str">
        <f aca="false">HYPERLINK("#'DL15. Khảo sát'!A1","DL15. Khảo sát")</f>
        <v>DL15. Khảo sát</v>
      </c>
      <c r="C73" s="36" t="s">
        <v>165</v>
      </c>
      <c r="D73" s="36"/>
      <c r="E73" s="36"/>
      <c r="F73" s="36"/>
      <c r="G73" s="4"/>
      <c r="H73" s="4"/>
      <c r="I73" s="4"/>
      <c r="J73" s="4"/>
      <c r="K73" s="4"/>
      <c r="L73" s="4"/>
      <c r="M73" s="4"/>
      <c r="N73" s="4"/>
      <c r="O73" s="4"/>
      <c r="P73" s="4"/>
      <c r="Q73" s="4"/>
      <c r="R73" s="4"/>
      <c r="S73" s="4"/>
      <c r="T73" s="4"/>
      <c r="U73" s="4"/>
      <c r="V73" s="4"/>
      <c r="W73" s="4"/>
      <c r="X73" s="4"/>
      <c r="Y73" s="4"/>
      <c r="Z73" s="4"/>
    </row>
    <row r="74" customFormat="false" ht="18" hidden="false" customHeight="true" outlineLevel="0" collapsed="false">
      <c r="A74" s="4"/>
      <c r="B74" s="56" t="str">
        <f aca="false">HYPERLINK("#'DL16. Phản hồi'!A1","DL16. Phản hồi")</f>
        <v>DL16. Phản hồi</v>
      </c>
      <c r="C74" s="33" t="s">
        <v>166</v>
      </c>
      <c r="D74" s="33"/>
      <c r="E74" s="33"/>
      <c r="F74" s="33"/>
      <c r="G74" s="4"/>
      <c r="H74" s="4"/>
      <c r="I74" s="4"/>
      <c r="J74" s="4"/>
      <c r="K74" s="4"/>
      <c r="L74" s="4"/>
      <c r="M74" s="4"/>
      <c r="N74" s="4"/>
      <c r="O74" s="4"/>
      <c r="P74" s="4"/>
      <c r="Q74" s="4"/>
      <c r="R74" s="4"/>
      <c r="S74" s="4"/>
      <c r="T74" s="4"/>
      <c r="U74" s="4"/>
      <c r="V74" s="4"/>
      <c r="W74" s="4"/>
      <c r="X74" s="4"/>
      <c r="Y74" s="4"/>
      <c r="Z74" s="4"/>
    </row>
    <row r="75" customFormat="false" ht="18" hidden="false" customHeight="true" outlineLevel="0" collapsed="false">
      <c r="A75" s="4"/>
      <c r="B75" s="57" t="str">
        <f aca="false">HYPERLINK("#'DL17. Khiếu nại'!A1","DL17. Khiếu nại")</f>
        <v>DL17. Khiếu nại</v>
      </c>
      <c r="C75" s="36" t="s">
        <v>167</v>
      </c>
      <c r="D75" s="36"/>
      <c r="E75" s="36"/>
      <c r="F75" s="36"/>
      <c r="G75" s="4"/>
      <c r="H75" s="4"/>
      <c r="I75" s="4"/>
      <c r="J75" s="4"/>
      <c r="K75" s="4"/>
      <c r="L75" s="4"/>
      <c r="M75" s="4"/>
      <c r="N75" s="4"/>
      <c r="O75" s="4"/>
      <c r="P75" s="4"/>
      <c r="Q75" s="4"/>
      <c r="R75" s="4"/>
      <c r="S75" s="4"/>
      <c r="T75" s="4"/>
      <c r="U75" s="4"/>
      <c r="V75" s="4"/>
      <c r="W75" s="4"/>
      <c r="X75" s="4"/>
      <c r="Y75" s="4"/>
      <c r="Z75" s="4"/>
    </row>
    <row r="76" customFormat="false" ht="18" hidden="false" customHeight="true" outlineLevel="0" collapsed="false">
      <c r="A76" s="4"/>
      <c r="B76" s="56" t="str">
        <f aca="false">HYPERLINK("#'DL18. Kết thúc khóa'!A1","DL18. Kết thúc khóa")</f>
        <v>DL18. Kết thúc khóa</v>
      </c>
      <c r="C76" s="33" t="s">
        <v>168</v>
      </c>
      <c r="D76" s="33"/>
      <c r="E76" s="33"/>
      <c r="F76" s="33"/>
      <c r="G76" s="4"/>
      <c r="H76" s="4"/>
      <c r="I76" s="4"/>
      <c r="J76" s="4"/>
      <c r="K76" s="4"/>
      <c r="L76" s="4"/>
      <c r="M76" s="4"/>
      <c r="N76" s="4"/>
      <c r="O76" s="4"/>
      <c r="P76" s="4"/>
      <c r="Q76" s="4"/>
      <c r="R76" s="4"/>
      <c r="S76" s="4"/>
      <c r="T76" s="4"/>
      <c r="U76" s="4"/>
      <c r="V76" s="4"/>
      <c r="W76" s="4"/>
      <c r="X76" s="4"/>
      <c r="Y76" s="4"/>
      <c r="Z76" s="4"/>
    </row>
    <row r="77" customFormat="false" ht="18" hidden="false" customHeight="true" outlineLevel="0" collapsed="false">
      <c r="A77" s="4"/>
      <c r="B77" s="57" t="str">
        <f aca="false">HYPERLINK("#'DL19. Lịch làm việc WOW'!A1","DL19. Lịch làm việc WOW")</f>
        <v>DL19. Lịch làm việc WOW</v>
      </c>
      <c r="C77" s="36" t="s">
        <v>169</v>
      </c>
      <c r="D77" s="36"/>
      <c r="E77" s="36"/>
      <c r="F77" s="36"/>
      <c r="G77" s="4"/>
      <c r="H77" s="4"/>
      <c r="I77" s="4"/>
      <c r="J77" s="4"/>
      <c r="K77" s="4"/>
      <c r="L77" s="4"/>
      <c r="M77" s="4"/>
      <c r="N77" s="4"/>
      <c r="O77" s="4"/>
      <c r="P77" s="4"/>
      <c r="Q77" s="4"/>
      <c r="R77" s="4"/>
      <c r="S77" s="4"/>
      <c r="T77" s="4"/>
      <c r="U77" s="4"/>
      <c r="V77" s="4"/>
      <c r="W77" s="4"/>
      <c r="X77" s="4"/>
      <c r="Y77" s="4"/>
      <c r="Z77" s="4"/>
    </row>
    <row r="78" customFormat="false" ht="19.5" hidden="false" customHeight="true" outlineLevel="0" collapsed="false">
      <c r="A78" s="4"/>
      <c r="B78" s="58" t="s">
        <v>170</v>
      </c>
      <c r="C78" s="58"/>
      <c r="D78" s="58"/>
      <c r="E78" s="58"/>
      <c r="F78" s="58"/>
      <c r="G78" s="4"/>
      <c r="H78" s="4"/>
      <c r="I78" s="4"/>
      <c r="J78" s="4"/>
      <c r="K78" s="4"/>
      <c r="L78" s="4"/>
      <c r="M78" s="4"/>
      <c r="N78" s="4"/>
      <c r="O78" s="4"/>
      <c r="P78" s="4"/>
      <c r="Q78" s="4"/>
      <c r="R78" s="4"/>
      <c r="S78" s="4"/>
      <c r="T78" s="4"/>
      <c r="U78" s="4"/>
      <c r="V78" s="4"/>
      <c r="W78" s="4"/>
      <c r="X78" s="4"/>
      <c r="Y78" s="4"/>
      <c r="Z78" s="4"/>
    </row>
    <row r="79" customFormat="false" ht="18" hidden="false" customHeight="true" outlineLevel="0" collapsed="false">
      <c r="A79" s="4"/>
      <c r="B79" s="59" t="str">
        <f aca="false">HYPERLINK("#'VH0. Tìm kiếm'!A1","VH0. Tìm kiếm")</f>
        <v>VH0. Tìm kiếm</v>
      </c>
      <c r="C79" s="33" t="s">
        <v>171</v>
      </c>
      <c r="D79" s="33"/>
      <c r="E79" s="33"/>
      <c r="F79" s="33"/>
      <c r="G79" s="4"/>
      <c r="H79" s="4"/>
      <c r="I79" s="4"/>
      <c r="J79" s="4"/>
      <c r="K79" s="4"/>
      <c r="L79" s="4"/>
      <c r="M79" s="4"/>
      <c r="N79" s="4"/>
      <c r="O79" s="4"/>
      <c r="P79" s="4"/>
      <c r="Q79" s="4"/>
      <c r="R79" s="4"/>
      <c r="S79" s="4"/>
      <c r="T79" s="4"/>
      <c r="U79" s="4"/>
      <c r="V79" s="4"/>
      <c r="W79" s="4"/>
      <c r="X79" s="4"/>
      <c r="Y79" s="4"/>
      <c r="Z79" s="4"/>
    </row>
    <row r="80" customFormat="false" ht="18" hidden="false" customHeight="true" outlineLevel="0" collapsed="false">
      <c r="A80" s="4"/>
      <c r="B80" s="60" t="str">
        <f aca="false">HYPERLINK("#'VH1. Tra cứu Lớp'!A1","VH1. Tra cứu Lớp")</f>
        <v>VH1. Tra cứu Lớp</v>
      </c>
      <c r="C80" s="36" t="s">
        <v>172</v>
      </c>
      <c r="D80" s="36"/>
      <c r="E80" s="36"/>
      <c r="F80" s="36"/>
      <c r="G80" s="4"/>
      <c r="H80" s="4"/>
      <c r="I80" s="4"/>
      <c r="J80" s="4"/>
      <c r="K80" s="4"/>
      <c r="L80" s="4"/>
      <c r="M80" s="4"/>
      <c r="N80" s="4"/>
      <c r="O80" s="4"/>
      <c r="P80" s="4"/>
      <c r="Q80" s="4"/>
      <c r="R80" s="4"/>
      <c r="S80" s="4"/>
      <c r="T80" s="4"/>
      <c r="U80" s="4"/>
      <c r="V80" s="4"/>
      <c r="W80" s="4"/>
      <c r="X80" s="4"/>
      <c r="Y80" s="4"/>
      <c r="Z80" s="4"/>
    </row>
    <row r="81" customFormat="false" ht="18" hidden="false" customHeight="true" outlineLevel="0" collapsed="false">
      <c r="A81" s="4"/>
      <c r="B81" s="59" t="str">
        <f aca="false">HYPERLINK("#'VH2. Tra cứu Học viên'!A1","VH2. Tra cứu Học viên")</f>
        <v>VH2. Tra cứu Học viên</v>
      </c>
      <c r="C81" s="33" t="s">
        <v>173</v>
      </c>
      <c r="D81" s="33"/>
      <c r="E81" s="33"/>
      <c r="F81" s="33"/>
      <c r="G81" s="4"/>
      <c r="H81" s="4"/>
      <c r="I81" s="4"/>
      <c r="J81" s="4"/>
      <c r="K81" s="4"/>
      <c r="L81" s="4"/>
      <c r="M81" s="4"/>
      <c r="N81" s="4"/>
      <c r="O81" s="4"/>
      <c r="P81" s="4"/>
      <c r="Q81" s="4"/>
      <c r="R81" s="4"/>
      <c r="S81" s="4"/>
      <c r="T81" s="4"/>
      <c r="U81" s="4"/>
      <c r="V81" s="4"/>
      <c r="W81" s="4"/>
      <c r="X81" s="4"/>
      <c r="Y81" s="4"/>
      <c r="Z81" s="4"/>
    </row>
    <row r="82" customFormat="false" ht="18" hidden="false" customHeight="true" outlineLevel="0" collapsed="false">
      <c r="A82" s="4"/>
      <c r="B82" s="60" t="str">
        <f aca="false">HYPERLINK("#'VH3. Tra cứu Giảng viên'!A1","VH3. Tra cứu Giảng viên")</f>
        <v>VH3. Tra cứu Giảng viên</v>
      </c>
      <c r="C82" s="36" t="s">
        <v>174</v>
      </c>
      <c r="D82" s="36"/>
      <c r="E82" s="36"/>
      <c r="F82" s="36"/>
      <c r="G82" s="4"/>
      <c r="H82" s="4"/>
      <c r="I82" s="4"/>
      <c r="J82" s="4"/>
      <c r="K82" s="4"/>
      <c r="L82" s="4"/>
      <c r="M82" s="4"/>
      <c r="N82" s="4"/>
      <c r="O82" s="4"/>
      <c r="P82" s="4"/>
      <c r="Q82" s="4"/>
      <c r="R82" s="4"/>
      <c r="S82" s="4"/>
      <c r="T82" s="4"/>
      <c r="U82" s="4"/>
      <c r="V82" s="4"/>
      <c r="W82" s="4"/>
      <c r="X82" s="4"/>
      <c r="Y82" s="4"/>
      <c r="Z82" s="4"/>
    </row>
    <row r="83" customFormat="false" ht="18" hidden="false" customHeight="true" outlineLevel="0" collapsed="false">
      <c r="A83" s="4"/>
      <c r="B83" s="59" t="str">
        <f aca="false">HYPERLINK("#'VH3b. Tra cứu NV WOW'!A1","VH3b. Tra cứu NV WOW")</f>
        <v>VH3b. Tra cứu NV WOW</v>
      </c>
      <c r="C83" s="33" t="s">
        <v>175</v>
      </c>
      <c r="D83" s="33"/>
      <c r="E83" s="33"/>
      <c r="F83" s="33"/>
      <c r="G83" s="4"/>
      <c r="H83" s="4"/>
      <c r="I83" s="4"/>
      <c r="J83" s="4"/>
      <c r="K83" s="4"/>
      <c r="L83" s="4"/>
      <c r="M83" s="4"/>
      <c r="N83" s="4"/>
      <c r="O83" s="4"/>
      <c r="P83" s="4"/>
      <c r="Q83" s="4"/>
      <c r="R83" s="4"/>
      <c r="S83" s="4"/>
      <c r="T83" s="4"/>
      <c r="U83" s="4"/>
      <c r="V83" s="4"/>
      <c r="W83" s="4"/>
      <c r="X83" s="4"/>
      <c r="Y83" s="4"/>
      <c r="Z83" s="4"/>
    </row>
    <row r="84" customFormat="false" ht="18" hidden="false" customHeight="true" outlineLevel="0" collapsed="false">
      <c r="A84" s="4"/>
      <c r="B84" s="60" t="str">
        <f aca="false">HYPERLINK("#'VH4. Tra cứu Khách tiềm năng'!A1","VH4. Tra cứu Khách tiềm năng")</f>
        <v>VH4. Tra cứu Khách tiềm năng</v>
      </c>
      <c r="C84" s="36" t="s">
        <v>176</v>
      </c>
      <c r="D84" s="36"/>
      <c r="E84" s="36"/>
      <c r="F84" s="36"/>
      <c r="G84" s="4"/>
      <c r="H84" s="4"/>
      <c r="I84" s="4"/>
      <c r="J84" s="4"/>
      <c r="K84" s="4"/>
      <c r="L84" s="4"/>
      <c r="M84" s="4"/>
      <c r="N84" s="4"/>
      <c r="O84" s="4"/>
      <c r="P84" s="4"/>
      <c r="Q84" s="4"/>
      <c r="R84" s="4"/>
      <c r="S84" s="4"/>
      <c r="T84" s="4"/>
      <c r="U84" s="4"/>
      <c r="V84" s="4"/>
      <c r="W84" s="4"/>
      <c r="X84" s="4"/>
      <c r="Y84" s="4"/>
      <c r="Z84" s="4"/>
    </row>
    <row r="85" customFormat="false" ht="18" hidden="false" customHeight="true" outlineLevel="0" collapsed="false">
      <c r="A85" s="4"/>
      <c r="B85" s="59" t="str">
        <f aca="false">HYPERLINK("#'VH5. Việc - Chăm khách'!A1","VH5. Việc - Chăm khách")</f>
        <v>VH5. Việc - Chăm khách</v>
      </c>
      <c r="C85" s="33" t="s">
        <v>177</v>
      </c>
      <c r="D85" s="33"/>
      <c r="E85" s="33"/>
      <c r="F85" s="33"/>
      <c r="G85" s="4"/>
      <c r="H85" s="4"/>
      <c r="I85" s="4"/>
      <c r="J85" s="4"/>
      <c r="K85" s="4"/>
      <c r="L85" s="4"/>
      <c r="M85" s="4"/>
      <c r="N85" s="4"/>
      <c r="O85" s="4"/>
      <c r="P85" s="4"/>
      <c r="Q85" s="4"/>
      <c r="R85" s="4"/>
      <c r="S85" s="4"/>
      <c r="T85" s="4"/>
      <c r="U85" s="4"/>
      <c r="V85" s="4"/>
      <c r="W85" s="4"/>
      <c r="X85" s="4"/>
      <c r="Y85" s="4"/>
      <c r="Z85" s="4"/>
    </row>
    <row r="86" customFormat="false" ht="18" hidden="false" customHeight="true" outlineLevel="0" collapsed="false">
      <c r="A86" s="4"/>
      <c r="B86" s="60" t="str">
        <f aca="false">HYPERLINK("#'VH6. Việc - Học viên nguy cơ'!A1","VH6. Việc - Học viên nguy cơ")</f>
        <v>VH6. Việc - Học viên nguy cơ</v>
      </c>
      <c r="C86" s="36" t="s">
        <v>178</v>
      </c>
      <c r="D86" s="36"/>
      <c r="E86" s="36"/>
      <c r="F86" s="36"/>
      <c r="G86" s="4"/>
      <c r="H86" s="4"/>
      <c r="I86" s="4"/>
      <c r="J86" s="4"/>
      <c r="K86" s="4"/>
      <c r="L86" s="4"/>
      <c r="M86" s="4"/>
      <c r="N86" s="4"/>
      <c r="O86" s="4"/>
      <c r="P86" s="4"/>
      <c r="Q86" s="4"/>
      <c r="R86" s="4"/>
      <c r="S86" s="4"/>
      <c r="T86" s="4"/>
      <c r="U86" s="4"/>
      <c r="V86" s="4"/>
      <c r="W86" s="4"/>
      <c r="X86" s="4"/>
      <c r="Y86" s="4"/>
      <c r="Z86" s="4"/>
    </row>
    <row r="87" customFormat="false" ht="18" hidden="false" customHeight="true" outlineLevel="0" collapsed="false">
      <c r="A87" s="4"/>
      <c r="B87" s="59" t="str">
        <f aca="false">HYPERLINK("#'VH7. Việc - Test chờ chấm'!A1","VH7. Việc - Test chờ chấm")</f>
        <v>VH7. Việc - Test chờ chấm</v>
      </c>
      <c r="C87" s="33" t="s">
        <v>179</v>
      </c>
      <c r="D87" s="33"/>
      <c r="E87" s="33"/>
      <c r="F87" s="33"/>
      <c r="G87" s="4"/>
      <c r="H87" s="4"/>
      <c r="I87" s="4"/>
      <c r="J87" s="4"/>
      <c r="K87" s="4"/>
      <c r="L87" s="4"/>
      <c r="M87" s="4"/>
      <c r="N87" s="4"/>
      <c r="O87" s="4"/>
      <c r="P87" s="4"/>
      <c r="Q87" s="4"/>
      <c r="R87" s="4"/>
      <c r="S87" s="4"/>
      <c r="T87" s="4"/>
      <c r="U87" s="4"/>
      <c r="V87" s="4"/>
      <c r="W87" s="4"/>
      <c r="X87" s="4"/>
      <c r="Y87" s="4"/>
      <c r="Z87" s="4"/>
    </row>
    <row r="88" customFormat="false" ht="18" hidden="false" customHeight="true" outlineLevel="0" collapsed="false">
      <c r="A88" s="4"/>
      <c r="B88" s="60" t="str">
        <f aca="false">HYPERLINK("#'VH8. Việc - Thu học phí'!A1","VH8. Việc - Thu học phí")</f>
        <v>VH8. Việc - Thu học phí</v>
      </c>
      <c r="C88" s="36" t="s">
        <v>180</v>
      </c>
      <c r="D88" s="36"/>
      <c r="E88" s="36"/>
      <c r="F88" s="36"/>
      <c r="G88" s="4"/>
      <c r="H88" s="4"/>
      <c r="I88" s="4"/>
      <c r="J88" s="4"/>
      <c r="K88" s="4"/>
      <c r="L88" s="4"/>
      <c r="M88" s="4"/>
      <c r="N88" s="4"/>
      <c r="O88" s="4"/>
      <c r="P88" s="4"/>
      <c r="Q88" s="4"/>
      <c r="R88" s="4"/>
      <c r="S88" s="4"/>
      <c r="T88" s="4"/>
      <c r="U88" s="4"/>
      <c r="V88" s="4"/>
      <c r="W88" s="4"/>
      <c r="X88" s="4"/>
      <c r="Y88" s="4"/>
      <c r="Z88" s="4"/>
    </row>
    <row r="89" customFormat="false" ht="18" hidden="false" customHeight="true" outlineLevel="0" collapsed="false">
      <c r="A89" s="4"/>
      <c r="B89" s="59" t="str">
        <f aca="false">HYPERLINK("#'VH9. Việc - Lớp sắp khai giảng'!A1","VH9. Việc - Lớp sắp khai giảng")</f>
        <v>VH9. Việc - Lớp sắp khai giảng</v>
      </c>
      <c r="C89" s="33" t="s">
        <v>181</v>
      </c>
      <c r="D89" s="33"/>
      <c r="E89" s="33"/>
      <c r="F89" s="33"/>
      <c r="G89" s="4"/>
      <c r="H89" s="4"/>
      <c r="I89" s="4"/>
      <c r="J89" s="4"/>
      <c r="K89" s="4"/>
      <c r="L89" s="4"/>
      <c r="M89" s="4"/>
      <c r="N89" s="4"/>
      <c r="O89" s="4"/>
      <c r="P89" s="4"/>
      <c r="Q89" s="4"/>
      <c r="R89" s="4"/>
      <c r="S89" s="4"/>
      <c r="T89" s="4"/>
      <c r="U89" s="4"/>
      <c r="V89" s="4"/>
      <c r="W89" s="4"/>
      <c r="X89" s="4"/>
      <c r="Y89" s="4"/>
      <c r="Z89" s="4"/>
    </row>
    <row r="90" customFormat="false" ht="18" hidden="false" customHeight="true" outlineLevel="0" collapsed="false">
      <c r="A90" s="4"/>
      <c r="B90" s="60" t="str">
        <f aca="false">HYPERLINK("#'VH10. Việc - Khiếu nại'!A1","VH10. Việc - Khiếu nại")</f>
        <v>VH10. Việc - Khiếu nại</v>
      </c>
      <c r="C90" s="36" t="s">
        <v>182</v>
      </c>
      <c r="D90" s="36"/>
      <c r="E90" s="36"/>
      <c r="F90" s="36"/>
      <c r="G90" s="4"/>
      <c r="H90" s="4"/>
      <c r="I90" s="4"/>
      <c r="J90" s="4"/>
      <c r="K90" s="4"/>
      <c r="L90" s="4"/>
      <c r="M90" s="4"/>
      <c r="N90" s="4"/>
      <c r="O90" s="4"/>
      <c r="P90" s="4"/>
      <c r="Q90" s="4"/>
      <c r="R90" s="4"/>
      <c r="S90" s="4"/>
      <c r="T90" s="4"/>
      <c r="U90" s="4"/>
      <c r="V90" s="4"/>
      <c r="W90" s="4"/>
      <c r="X90" s="4"/>
      <c r="Y90" s="4"/>
      <c r="Z90" s="4"/>
    </row>
    <row r="91" customFormat="false" ht="18" hidden="false" customHeight="true" outlineLevel="0" collapsed="false">
      <c r="A91" s="4"/>
      <c r="B91" s="59" t="str">
        <f aca="false">HYPERLINK("#'VH11. Khối lượng việc theo NV'!A1","VH11. Khối lượng việc theo NV")</f>
        <v>VH11. Khối lượng việc theo NV</v>
      </c>
      <c r="C91" s="33" t="s">
        <v>183</v>
      </c>
      <c r="D91" s="33"/>
      <c r="E91" s="33"/>
      <c r="F91" s="33"/>
      <c r="G91" s="4"/>
      <c r="H91" s="4"/>
      <c r="I91" s="4"/>
      <c r="J91" s="4"/>
      <c r="K91" s="4"/>
      <c r="L91" s="4"/>
      <c r="M91" s="4"/>
      <c r="N91" s="4"/>
      <c r="O91" s="4"/>
      <c r="P91" s="4"/>
      <c r="Q91" s="4"/>
      <c r="R91" s="4"/>
      <c r="S91" s="4"/>
      <c r="T91" s="4"/>
      <c r="U91" s="4"/>
      <c r="V91" s="4"/>
      <c r="W91" s="4"/>
      <c r="X91" s="4"/>
      <c r="Y91" s="4"/>
      <c r="Z91" s="4"/>
    </row>
    <row r="92" customFormat="false" ht="19.5" hidden="false" customHeight="true" outlineLevel="0" collapsed="false">
      <c r="A92" s="4"/>
      <c r="B92" s="61" t="s">
        <v>184</v>
      </c>
      <c r="C92" s="61"/>
      <c r="D92" s="61"/>
      <c r="E92" s="61"/>
      <c r="F92" s="61"/>
      <c r="G92" s="4"/>
      <c r="H92" s="4"/>
      <c r="I92" s="4"/>
      <c r="J92" s="4"/>
      <c r="K92" s="4"/>
      <c r="L92" s="4"/>
      <c r="M92" s="4"/>
      <c r="N92" s="4"/>
      <c r="O92" s="4"/>
      <c r="P92" s="4"/>
      <c r="Q92" s="4"/>
      <c r="R92" s="4"/>
      <c r="S92" s="4"/>
      <c r="T92" s="4"/>
      <c r="U92" s="4"/>
      <c r="V92" s="4"/>
      <c r="W92" s="4"/>
      <c r="X92" s="4"/>
      <c r="Y92" s="4"/>
      <c r="Z92" s="4"/>
    </row>
    <row r="93" customFormat="false" ht="18" hidden="false" customHeight="true" outlineLevel="0" collapsed="false">
      <c r="A93" s="4"/>
      <c r="B93" s="62" t="str">
        <f aca="false">HYPERLINK("#'BC1. Học viên nguy cơ'!A1","BC1. Học viên nguy cơ")</f>
        <v>BC1. Học viên nguy cơ</v>
      </c>
      <c r="C93" s="33" t="s">
        <v>185</v>
      </c>
      <c r="D93" s="33"/>
      <c r="E93" s="33"/>
      <c r="F93" s="33"/>
      <c r="G93" s="4"/>
      <c r="H93" s="4"/>
      <c r="I93" s="4"/>
      <c r="J93" s="4"/>
      <c r="K93" s="4"/>
      <c r="L93" s="4"/>
      <c r="M93" s="4"/>
      <c r="N93" s="4"/>
      <c r="O93" s="4"/>
      <c r="P93" s="4"/>
      <c r="Q93" s="4"/>
      <c r="R93" s="4"/>
      <c r="S93" s="4"/>
      <c r="T93" s="4"/>
      <c r="U93" s="4"/>
      <c r="V93" s="4"/>
      <c r="W93" s="4"/>
      <c r="X93" s="4"/>
      <c r="Y93" s="4"/>
      <c r="Z93" s="4"/>
    </row>
    <row r="94" customFormat="false" ht="18" hidden="false" customHeight="true" outlineLevel="0" collapsed="false">
      <c r="A94" s="4"/>
      <c r="B94" s="63" t="str">
        <f aca="false">HYPERLINK("#'BC2. Chỉ số KPI'!A1","BC2. Chỉ số KPI")</f>
        <v>BC2. Chỉ số KPI</v>
      </c>
      <c r="C94" s="36" t="s">
        <v>186</v>
      </c>
      <c r="D94" s="36"/>
      <c r="E94" s="36"/>
      <c r="F94" s="36"/>
      <c r="G94" s="4"/>
      <c r="H94" s="4"/>
      <c r="I94" s="4"/>
      <c r="J94" s="4"/>
      <c r="K94" s="4"/>
      <c r="L94" s="4"/>
      <c r="M94" s="4"/>
      <c r="N94" s="4"/>
      <c r="O94" s="4"/>
      <c r="P94" s="4"/>
      <c r="Q94" s="4"/>
      <c r="R94" s="4"/>
      <c r="S94" s="4"/>
      <c r="T94" s="4"/>
      <c r="U94" s="4"/>
      <c r="V94" s="4"/>
      <c r="W94" s="4"/>
      <c r="X94" s="4"/>
      <c r="Y94" s="4"/>
      <c r="Z94" s="4"/>
    </row>
    <row r="95" customFormat="false" ht="18" hidden="false" customHeight="true" outlineLevel="0" collapsed="false">
      <c r="A95" s="4"/>
      <c r="B95" s="62" t="str">
        <f aca="false">HYPERLINK("#'BC3. Phễu khách tiềm năng'!A1","BC3. Phễu khách tiềm năng")</f>
        <v>BC3. Phễu khách tiềm năng</v>
      </c>
      <c r="C95" s="33" t="s">
        <v>187</v>
      </c>
      <c r="D95" s="33"/>
      <c r="E95" s="33"/>
      <c r="F95" s="33"/>
      <c r="G95" s="4"/>
      <c r="H95" s="4"/>
      <c r="I95" s="4"/>
      <c r="J95" s="4"/>
      <c r="K95" s="4"/>
      <c r="L95" s="4"/>
      <c r="M95" s="4"/>
      <c r="N95" s="4"/>
      <c r="O95" s="4"/>
      <c r="P95" s="4"/>
      <c r="Q95" s="4"/>
      <c r="R95" s="4"/>
      <c r="S95" s="4"/>
      <c r="T95" s="4"/>
      <c r="U95" s="4"/>
      <c r="V95" s="4"/>
      <c r="W95" s="4"/>
      <c r="X95" s="4"/>
      <c r="Y95" s="4"/>
      <c r="Z95" s="4"/>
    </row>
    <row r="96" customFormat="false" ht="18" hidden="false" customHeight="true" outlineLevel="0" collapsed="false">
      <c r="A96" s="4"/>
      <c r="B96" s="63" t="str">
        <f aca="false">HYPERLINK("#'BC4. Báo cáo tháng'!A1","BC4. Báo cáo tháng")</f>
        <v>BC4. Báo cáo tháng</v>
      </c>
      <c r="C96" s="36" t="s">
        <v>188</v>
      </c>
      <c r="D96" s="36"/>
      <c r="E96" s="36"/>
      <c r="F96" s="36"/>
      <c r="G96" s="4"/>
      <c r="H96" s="4"/>
      <c r="I96" s="4"/>
      <c r="J96" s="4"/>
      <c r="K96" s="4"/>
      <c r="L96" s="4"/>
      <c r="M96" s="4"/>
      <c r="N96" s="4"/>
      <c r="O96" s="4"/>
      <c r="P96" s="4"/>
      <c r="Q96" s="4"/>
      <c r="R96" s="4"/>
      <c r="S96" s="4"/>
      <c r="T96" s="4"/>
      <c r="U96" s="4"/>
      <c r="V96" s="4"/>
      <c r="W96" s="4"/>
      <c r="X96" s="4"/>
      <c r="Y96" s="4"/>
      <c r="Z96" s="4"/>
    </row>
    <row r="97" customFormat="false" ht="18" hidden="false" customHeight="true" outlineLevel="0" collapsed="false">
      <c r="A97" s="4"/>
      <c r="B97" s="62" t="str">
        <f aca="false">HYPERLINK("#'BC5. Bảng NV Tư vấn'!A1","BC5. Bảng NV Tư vấn")</f>
        <v>BC5. Bảng NV Tư vấn</v>
      </c>
      <c r="C97" s="33" t="s">
        <v>189</v>
      </c>
      <c r="D97" s="33"/>
      <c r="E97" s="33"/>
      <c r="F97" s="33"/>
      <c r="G97" s="4"/>
      <c r="H97" s="4"/>
      <c r="I97" s="4"/>
      <c r="J97" s="4"/>
      <c r="K97" s="4"/>
      <c r="L97" s="4"/>
      <c r="M97" s="4"/>
      <c r="N97" s="4"/>
      <c r="O97" s="4"/>
      <c r="P97" s="4"/>
      <c r="Q97" s="4"/>
      <c r="R97" s="4"/>
      <c r="S97" s="4"/>
      <c r="T97" s="4"/>
      <c r="U97" s="4"/>
      <c r="V97" s="4"/>
      <c r="W97" s="4"/>
      <c r="X97" s="4"/>
      <c r="Y97" s="4"/>
      <c r="Z97" s="4"/>
    </row>
    <row r="98" customFormat="false" ht="18" hidden="false" customHeight="true" outlineLevel="0" collapsed="false">
      <c r="A98" s="4"/>
      <c r="B98" s="63" t="str">
        <f aca="false">HYPERLINK("#'BC6. Bảng NV WOW'!A1","BC6. Bảng NV WOW")</f>
        <v>BC6. Bảng NV WOW</v>
      </c>
      <c r="C98" s="36" t="s">
        <v>190</v>
      </c>
      <c r="D98" s="36"/>
      <c r="E98" s="36"/>
      <c r="F98" s="36"/>
      <c r="G98" s="4"/>
      <c r="H98" s="4"/>
      <c r="I98" s="4"/>
      <c r="J98" s="4"/>
      <c r="K98" s="4"/>
      <c r="L98" s="4"/>
      <c r="M98" s="4"/>
      <c r="N98" s="4"/>
      <c r="O98" s="4"/>
      <c r="P98" s="4"/>
      <c r="Q98" s="4"/>
      <c r="R98" s="4"/>
      <c r="S98" s="4"/>
      <c r="T98" s="4"/>
      <c r="U98" s="4"/>
      <c r="V98" s="4"/>
      <c r="W98" s="4"/>
      <c r="X98" s="4"/>
      <c r="Y98" s="4"/>
      <c r="Z98" s="4"/>
    </row>
    <row r="99" customFormat="false" ht="18" hidden="false" customHeight="true" outlineLevel="0" collapsed="false">
      <c r="A99" s="4"/>
      <c r="B99" s="62" t="str">
        <f aca="false">HYPERLINK("#'BC7. Bảng Giảng viên'!A1","BC7. Bảng Giảng viên")</f>
        <v>BC7. Bảng Giảng viên</v>
      </c>
      <c r="C99" s="33" t="s">
        <v>191</v>
      </c>
      <c r="D99" s="33"/>
      <c r="E99" s="33"/>
      <c r="F99" s="33"/>
      <c r="G99" s="4"/>
      <c r="H99" s="4"/>
      <c r="I99" s="4"/>
      <c r="J99" s="4"/>
      <c r="K99" s="4"/>
      <c r="L99" s="4"/>
      <c r="M99" s="4"/>
      <c r="N99" s="4"/>
      <c r="O99" s="4"/>
      <c r="P99" s="4"/>
      <c r="Q99" s="4"/>
      <c r="R99" s="4"/>
      <c r="S99" s="4"/>
      <c r="T99" s="4"/>
      <c r="U99" s="4"/>
      <c r="V99" s="4"/>
      <c r="W99" s="4"/>
      <c r="X99" s="4"/>
      <c r="Y99" s="4"/>
      <c r="Z99" s="4"/>
    </row>
    <row r="100" customFormat="false" ht="18" hidden="false" customHeight="true" outlineLevel="0" collapsed="false">
      <c r="A100" s="4"/>
      <c r="B100" s="63" t="str">
        <f aca="false">HYPERLINK("#'BC8. Bảng Học vụ'!A1","BC8. Bảng Học vụ")</f>
        <v>BC8. Bảng Học vụ</v>
      </c>
      <c r="C100" s="36" t="s">
        <v>192</v>
      </c>
      <c r="D100" s="36"/>
      <c r="E100" s="36"/>
      <c r="F100" s="36"/>
      <c r="G100" s="4"/>
      <c r="H100" s="4"/>
      <c r="I100" s="4"/>
      <c r="J100" s="4"/>
      <c r="K100" s="4"/>
      <c r="L100" s="4"/>
      <c r="M100" s="4"/>
      <c r="N100" s="4"/>
      <c r="O100" s="4"/>
      <c r="P100" s="4"/>
      <c r="Q100" s="4"/>
      <c r="R100" s="4"/>
      <c r="S100" s="4"/>
      <c r="T100" s="4"/>
      <c r="U100" s="4"/>
      <c r="V100" s="4"/>
      <c r="W100" s="4"/>
      <c r="X100" s="4"/>
      <c r="Y100" s="4"/>
      <c r="Z100" s="4"/>
    </row>
    <row r="101" customFormat="false" ht="18" hidden="false" customHeight="true" outlineLevel="0" collapsed="false">
      <c r="A101" s="4"/>
      <c r="B101" s="62" t="str">
        <f aca="false">HYPERLINK("#'BC9. Bảng Quản lý'!A1","BC9. Bảng Quản lý")</f>
        <v>BC9. Bảng Quản lý</v>
      </c>
      <c r="C101" s="33" t="s">
        <v>193</v>
      </c>
      <c r="D101" s="33"/>
      <c r="E101" s="33"/>
      <c r="F101" s="33"/>
      <c r="G101" s="4"/>
      <c r="H101" s="4"/>
      <c r="I101" s="4"/>
      <c r="J101" s="4"/>
      <c r="K101" s="4"/>
      <c r="L101" s="4"/>
      <c r="M101" s="4"/>
      <c r="N101" s="4"/>
      <c r="O101" s="4"/>
      <c r="P101" s="4"/>
      <c r="Q101" s="4"/>
      <c r="R101" s="4"/>
      <c r="S101" s="4"/>
      <c r="T101" s="4"/>
      <c r="U101" s="4"/>
      <c r="V101" s="4"/>
      <c r="W101" s="4"/>
      <c r="X101" s="4"/>
      <c r="Y101" s="4"/>
      <c r="Z101" s="4"/>
    </row>
    <row r="102" customFormat="false" ht="1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21.75" hidden="false" customHeight="true" outlineLevel="0" collapsed="false">
      <c r="A103" s="64" t="s">
        <v>194</v>
      </c>
      <c r="B103" s="64"/>
      <c r="C103" s="64"/>
      <c r="D103" s="64"/>
      <c r="E103" s="64"/>
      <c r="F103" s="64"/>
      <c r="G103" s="6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sheetData>
  <mergeCells count="83">
    <mergeCell ref="A1:G1"/>
    <mergeCell ref="A2:G2"/>
    <mergeCell ref="A4:G4"/>
    <mergeCell ref="A13:G13"/>
    <mergeCell ref="C14:F14"/>
    <mergeCell ref="C15:F15"/>
    <mergeCell ref="C16:F16"/>
    <mergeCell ref="C17:F17"/>
    <mergeCell ref="C18:F18"/>
    <mergeCell ref="C19:F19"/>
    <mergeCell ref="C20:F20"/>
    <mergeCell ref="A22:G22"/>
    <mergeCell ref="A31:G31"/>
    <mergeCell ref="B32:F32"/>
    <mergeCell ref="E33:F33"/>
    <mergeCell ref="E34:F34"/>
    <mergeCell ref="E35:F35"/>
    <mergeCell ref="E36:F36"/>
    <mergeCell ref="E37:F37"/>
    <mergeCell ref="E38:F38"/>
    <mergeCell ref="E39:F39"/>
    <mergeCell ref="E40:F40"/>
    <mergeCell ref="E41:F41"/>
    <mergeCell ref="B42:F42"/>
    <mergeCell ref="A44:G44"/>
    <mergeCell ref="B45:F45"/>
    <mergeCell ref="C46:F46"/>
    <mergeCell ref="C47:F47"/>
    <mergeCell ref="C48:F48"/>
    <mergeCell ref="C49:F49"/>
    <mergeCell ref="B50:F50"/>
    <mergeCell ref="C51:F51"/>
    <mergeCell ref="C52:F52"/>
    <mergeCell ref="C53:F53"/>
    <mergeCell ref="C54:F54"/>
    <mergeCell ref="C55:F55"/>
    <mergeCell ref="C56:F56"/>
    <mergeCell ref="B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B78:F78"/>
    <mergeCell ref="C79:F79"/>
    <mergeCell ref="C80:F80"/>
    <mergeCell ref="C81:F81"/>
    <mergeCell ref="C82:F82"/>
    <mergeCell ref="C83:F83"/>
    <mergeCell ref="C84:F84"/>
    <mergeCell ref="C85:F85"/>
    <mergeCell ref="C86:F86"/>
    <mergeCell ref="C87:F87"/>
    <mergeCell ref="C88:F88"/>
    <mergeCell ref="C89:F89"/>
    <mergeCell ref="C90:F90"/>
    <mergeCell ref="C91:F91"/>
    <mergeCell ref="B92:F92"/>
    <mergeCell ref="C93:F93"/>
    <mergeCell ref="C94:F94"/>
    <mergeCell ref="C95:F95"/>
    <mergeCell ref="C96:F96"/>
    <mergeCell ref="C97:F97"/>
    <mergeCell ref="C98:F98"/>
    <mergeCell ref="C99:F99"/>
    <mergeCell ref="C100:F100"/>
    <mergeCell ref="C101:F101"/>
    <mergeCell ref="A103:G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B9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9.29"/>
    <col collapsed="false" customWidth="true" hidden="false" outlineLevel="0" max="2" min="2" style="1" width="36.15"/>
    <col collapsed="false" customWidth="true" hidden="false" outlineLevel="0" max="3" min="3" style="1" width="48"/>
    <col collapsed="false" customWidth="true" hidden="false" outlineLevel="0" max="4" min="4" style="1" width="23.86"/>
    <col collapsed="false" customWidth="true" hidden="false" outlineLevel="0" max="5" min="5" style="1" width="17.15"/>
    <col collapsed="false" customWidth="true" hidden="false" outlineLevel="0" max="6" min="6" style="1" width="54"/>
    <col collapsed="false" customWidth="true" hidden="false" outlineLevel="0" max="7" min="7" style="1" width="83.71"/>
    <col collapsed="false" customWidth="true" hidden="false" outlineLevel="0" max="26" min="8" style="1" width="8.71"/>
  </cols>
  <sheetData>
    <row r="1" customFormat="false" ht="39.75" hidden="false" customHeight="true" outlineLevel="0" collapsed="false">
      <c r="A1" s="65" t="s">
        <v>195</v>
      </c>
      <c r="B1" s="65"/>
      <c r="C1" s="65"/>
      <c r="D1" s="65"/>
      <c r="E1" s="65"/>
      <c r="F1" s="65"/>
      <c r="G1" s="66"/>
      <c r="H1" s="4"/>
      <c r="I1" s="4"/>
      <c r="J1" s="4"/>
      <c r="K1" s="4"/>
      <c r="L1" s="4"/>
      <c r="M1" s="4"/>
      <c r="N1" s="4"/>
      <c r="O1" s="4"/>
      <c r="P1" s="4"/>
      <c r="Q1" s="4"/>
      <c r="R1" s="4"/>
      <c r="S1" s="4"/>
      <c r="T1" s="4"/>
      <c r="U1" s="4"/>
      <c r="V1" s="4"/>
      <c r="W1" s="4"/>
      <c r="X1" s="4"/>
      <c r="Y1" s="4"/>
      <c r="Z1" s="4"/>
    </row>
    <row r="2" customFormat="false" ht="21.75" hidden="false" customHeight="true" outlineLevel="0" collapsed="false">
      <c r="A2" s="3" t="s">
        <v>196</v>
      </c>
      <c r="B2" s="3"/>
      <c r="C2" s="3"/>
      <c r="D2" s="3"/>
      <c r="E2" s="3"/>
      <c r="F2" s="3"/>
      <c r="G2" s="67"/>
      <c r="H2" s="4"/>
      <c r="I2" s="4"/>
      <c r="J2" s="4"/>
      <c r="K2" s="4"/>
      <c r="L2" s="4"/>
      <c r="M2" s="4"/>
      <c r="N2" s="4"/>
      <c r="O2" s="4"/>
      <c r="P2" s="4"/>
      <c r="Q2" s="4"/>
      <c r="R2" s="4"/>
      <c r="S2" s="4"/>
      <c r="T2" s="4"/>
      <c r="U2" s="4"/>
      <c r="V2" s="4"/>
      <c r="W2" s="4"/>
      <c r="X2" s="4"/>
      <c r="Y2" s="4"/>
      <c r="Z2" s="4"/>
    </row>
    <row r="3" customFormat="false" ht="31.5" hidden="false" customHeight="true" outlineLevel="0" collapsed="false">
      <c r="A3" s="68" t="s">
        <v>197</v>
      </c>
      <c r="B3" s="68"/>
      <c r="C3" s="68"/>
      <c r="D3" s="68"/>
      <c r="E3" s="68"/>
      <c r="F3" s="68"/>
      <c r="G3" s="69"/>
      <c r="H3" s="4"/>
      <c r="I3" s="4"/>
      <c r="J3" s="4"/>
      <c r="K3" s="4"/>
      <c r="L3" s="4"/>
      <c r="M3" s="4"/>
      <c r="N3" s="4"/>
      <c r="O3" s="4"/>
      <c r="P3" s="4"/>
      <c r="Q3" s="4"/>
      <c r="R3" s="4"/>
      <c r="S3" s="4"/>
      <c r="T3" s="4"/>
      <c r="U3" s="4"/>
      <c r="V3" s="4"/>
      <c r="W3" s="4"/>
      <c r="X3" s="4"/>
      <c r="Y3" s="4"/>
      <c r="Z3" s="4"/>
    </row>
    <row r="4" customFormat="false" ht="51.75" hidden="false" customHeight="true" outlineLevel="0" collapsed="false">
      <c r="A4" s="70" t="s">
        <v>198</v>
      </c>
      <c r="B4" s="70"/>
      <c r="C4" s="70"/>
      <c r="D4" s="70"/>
      <c r="E4" s="70"/>
      <c r="F4" s="70"/>
      <c r="G4" s="71"/>
      <c r="H4" s="4"/>
      <c r="I4" s="4"/>
      <c r="J4" s="4"/>
      <c r="K4" s="4"/>
      <c r="L4" s="4"/>
      <c r="M4" s="4"/>
      <c r="N4" s="4"/>
      <c r="O4" s="4"/>
      <c r="P4" s="4"/>
      <c r="Q4" s="4"/>
      <c r="R4" s="4"/>
      <c r="S4" s="4"/>
      <c r="T4" s="4"/>
      <c r="U4" s="4"/>
      <c r="V4" s="4"/>
      <c r="W4" s="4"/>
      <c r="X4" s="4"/>
      <c r="Y4" s="4"/>
      <c r="Z4" s="4"/>
    </row>
    <row r="5" customFormat="false" ht="31.5" hidden="false" customHeight="true" outlineLevel="0" collapsed="false">
      <c r="A5" s="72" t="s">
        <v>199</v>
      </c>
      <c r="B5" s="72"/>
      <c r="C5" s="72"/>
      <c r="D5" s="72"/>
      <c r="E5" s="72"/>
      <c r="F5" s="72"/>
      <c r="G5" s="73"/>
      <c r="H5" s="4"/>
      <c r="I5" s="4"/>
      <c r="J5" s="4"/>
      <c r="K5" s="4"/>
      <c r="L5" s="4"/>
      <c r="M5" s="4"/>
      <c r="N5" s="4"/>
      <c r="O5" s="4"/>
      <c r="P5" s="4"/>
      <c r="Q5" s="4"/>
      <c r="R5" s="4"/>
      <c r="S5" s="4"/>
      <c r="T5" s="4"/>
      <c r="U5" s="4"/>
      <c r="V5" s="4"/>
      <c r="W5" s="4"/>
      <c r="X5" s="4"/>
      <c r="Y5" s="4"/>
      <c r="Z5" s="4"/>
    </row>
    <row r="6" customFormat="false" ht="30" hidden="false" customHeight="true" outlineLevel="0" collapsed="false">
      <c r="A6" s="74" t="s">
        <v>200</v>
      </c>
      <c r="B6" s="74"/>
      <c r="C6" s="74"/>
      <c r="D6" s="74"/>
      <c r="E6" s="74"/>
      <c r="F6" s="74"/>
      <c r="G6" s="75"/>
      <c r="H6" s="4"/>
      <c r="I6" s="4"/>
      <c r="J6" s="4"/>
      <c r="K6" s="4"/>
      <c r="L6" s="4"/>
      <c r="M6" s="4"/>
      <c r="N6" s="4"/>
      <c r="O6" s="4"/>
      <c r="P6" s="4"/>
      <c r="Q6" s="4"/>
      <c r="R6" s="4"/>
      <c r="S6" s="4"/>
      <c r="T6" s="4"/>
      <c r="U6" s="4"/>
      <c r="V6" s="4"/>
      <c r="W6" s="4"/>
      <c r="X6" s="4"/>
      <c r="Y6" s="4"/>
      <c r="Z6" s="4"/>
    </row>
    <row r="7" customFormat="false" ht="15" hidden="false" customHeight="true" outlineLevel="0" collapsed="false">
      <c r="A7" s="4"/>
      <c r="B7" s="4"/>
      <c r="C7" s="4"/>
      <c r="D7" s="4"/>
      <c r="E7" s="4"/>
      <c r="F7" s="4"/>
      <c r="G7" s="4"/>
      <c r="H7" s="4"/>
      <c r="I7" s="4"/>
      <c r="J7" s="4"/>
      <c r="K7" s="4"/>
      <c r="L7" s="4"/>
      <c r="M7" s="4"/>
      <c r="N7" s="4"/>
      <c r="O7" s="4"/>
      <c r="P7" s="4"/>
      <c r="Q7" s="4"/>
      <c r="R7" s="4"/>
      <c r="S7" s="4"/>
      <c r="T7" s="4"/>
      <c r="U7" s="4"/>
      <c r="V7" s="4"/>
      <c r="W7" s="4"/>
      <c r="X7" s="4"/>
      <c r="Y7" s="4"/>
      <c r="Z7" s="4"/>
    </row>
    <row r="8" customFormat="false" ht="31.5" hidden="false" customHeight="true" outlineLevel="0" collapsed="false">
      <c r="A8" s="76" t="s">
        <v>201</v>
      </c>
      <c r="B8" s="76"/>
      <c r="C8" s="76"/>
      <c r="D8" s="76"/>
      <c r="E8" s="76"/>
      <c r="F8" s="76"/>
      <c r="G8" s="4"/>
      <c r="H8" s="4"/>
      <c r="I8" s="4"/>
      <c r="J8" s="4"/>
      <c r="K8" s="4"/>
      <c r="L8" s="4"/>
      <c r="M8" s="4"/>
      <c r="N8" s="4"/>
      <c r="O8" s="4"/>
      <c r="P8" s="4"/>
      <c r="Q8" s="4"/>
      <c r="R8" s="4"/>
      <c r="S8" s="4"/>
      <c r="T8" s="4"/>
      <c r="U8" s="4"/>
      <c r="V8" s="4"/>
      <c r="W8" s="4"/>
      <c r="X8" s="4"/>
      <c r="Y8" s="4"/>
      <c r="Z8" s="4"/>
    </row>
    <row r="9" customFormat="false" ht="31.5" hidden="false" customHeight="true" outlineLevel="0" collapsed="false">
      <c r="A9" s="77" t="s">
        <v>202</v>
      </c>
      <c r="B9" s="77" t="s">
        <v>203</v>
      </c>
      <c r="C9" s="77" t="s">
        <v>204</v>
      </c>
      <c r="D9" s="77" t="s">
        <v>205</v>
      </c>
      <c r="E9" s="77" t="s">
        <v>206</v>
      </c>
      <c r="F9" s="78" t="s">
        <v>207</v>
      </c>
      <c r="G9" s="4"/>
      <c r="H9" s="4"/>
      <c r="I9" s="4"/>
      <c r="J9" s="4"/>
      <c r="K9" s="4"/>
      <c r="L9" s="4"/>
      <c r="M9" s="4"/>
      <c r="N9" s="4"/>
      <c r="O9" s="4"/>
      <c r="P9" s="4"/>
      <c r="Q9" s="4"/>
      <c r="R9" s="4"/>
      <c r="S9" s="4"/>
      <c r="T9" s="4"/>
      <c r="U9" s="4"/>
      <c r="V9" s="4"/>
      <c r="W9" s="4"/>
      <c r="X9" s="4"/>
      <c r="Y9" s="4"/>
      <c r="Z9" s="4"/>
    </row>
    <row r="10" customFormat="false" ht="27.75" hidden="false" customHeight="true" outlineLevel="0" collapsed="false">
      <c r="A10" s="79" t="s">
        <v>208</v>
      </c>
      <c r="B10" s="21" t="s">
        <v>209</v>
      </c>
      <c r="C10" s="21" t="s">
        <v>210</v>
      </c>
      <c r="D10" s="21" t="s">
        <v>84</v>
      </c>
      <c r="E10" s="80" t="str">
        <f aca="false">HYPERLINK("#'CH2. Tham số &amp; Quy tắc'!A"&amp;MATCH("slaLRT_minutes",'CH2. Tham số &amp; Quy tắc'!$A:$A,0),slaLRT_minutes&amp;" phút")</f>
        <v>15 phút</v>
      </c>
      <c r="F10" s="81" t="s">
        <v>211</v>
      </c>
      <c r="G10" s="4"/>
      <c r="H10" s="4"/>
      <c r="I10" s="4"/>
      <c r="J10" s="4"/>
      <c r="K10" s="4"/>
      <c r="L10" s="4"/>
      <c r="M10" s="4"/>
      <c r="N10" s="4"/>
      <c r="O10" s="4"/>
      <c r="P10" s="4"/>
      <c r="Q10" s="4"/>
      <c r="R10" s="4"/>
      <c r="S10" s="4"/>
      <c r="T10" s="4"/>
      <c r="U10" s="4"/>
      <c r="V10" s="4"/>
      <c r="W10" s="4"/>
      <c r="X10" s="4"/>
      <c r="Y10" s="4"/>
      <c r="Z10" s="4"/>
    </row>
    <row r="11" customFormat="false" ht="27.75" hidden="false" customHeight="true" outlineLevel="0" collapsed="false">
      <c r="A11" s="79" t="s">
        <v>208</v>
      </c>
      <c r="B11" s="21" t="str">
        <f aca="false">"Quá "&amp;slaLRT_minutes&amp;"p chưa gọi"</f>
        <v>Quá 15p chưa gọi</v>
      </c>
      <c r="C11" s="82" t="s">
        <v>212</v>
      </c>
      <c r="D11" s="21" t="s">
        <v>213</v>
      </c>
      <c r="E11" s="82" t="s">
        <v>214</v>
      </c>
      <c r="F11" s="81" t="s">
        <v>211</v>
      </c>
      <c r="G11" s="4"/>
      <c r="H11" s="4"/>
      <c r="I11" s="4"/>
      <c r="J11" s="4"/>
      <c r="K11" s="4"/>
      <c r="L11" s="4"/>
      <c r="M11" s="4"/>
      <c r="N11" s="4"/>
      <c r="O11" s="4"/>
      <c r="P11" s="4"/>
      <c r="Q11" s="4"/>
      <c r="R11" s="4"/>
      <c r="S11" s="4"/>
      <c r="T11" s="4"/>
      <c r="U11" s="4"/>
      <c r="V11" s="4"/>
      <c r="W11" s="4"/>
      <c r="X11" s="4"/>
      <c r="Y11" s="4"/>
      <c r="Z11" s="4"/>
    </row>
    <row r="12" customFormat="false" ht="27.75" hidden="false" customHeight="true" outlineLevel="0" collapsed="false">
      <c r="A12" s="79" t="s">
        <v>215</v>
      </c>
      <c r="B12" s="21" t="s">
        <v>216</v>
      </c>
      <c r="C12" s="21" t="s">
        <v>217</v>
      </c>
      <c r="D12" s="21" t="s">
        <v>84</v>
      </c>
      <c r="E12" s="80" t="str">
        <f aca="false">HYPERLINK("#'CH2. Tham số &amp; Quy tắc'!A"&amp;MATCH("slaFollowup_grace_days",'CH2. Tham số &amp; Quy tắc'!$A:$A,0),slaFollowup_grace_days&amp;" ngày")</f>
        <v>3 ngày</v>
      </c>
      <c r="F12" s="81" t="s">
        <v>218</v>
      </c>
      <c r="G12" s="4"/>
      <c r="H12" s="4"/>
      <c r="I12" s="4"/>
      <c r="J12" s="4"/>
      <c r="K12" s="4"/>
      <c r="L12" s="4"/>
      <c r="M12" s="4"/>
      <c r="N12" s="4"/>
      <c r="O12" s="4"/>
      <c r="P12" s="4"/>
      <c r="Q12" s="4"/>
      <c r="R12" s="4"/>
      <c r="S12" s="4"/>
      <c r="T12" s="4"/>
      <c r="U12" s="4"/>
      <c r="V12" s="4"/>
      <c r="W12" s="4"/>
      <c r="X12" s="4"/>
      <c r="Y12" s="4"/>
      <c r="Z12" s="4"/>
    </row>
    <row r="13" customFormat="false" ht="27.75" hidden="false" customHeight="true" outlineLevel="0" collapsed="false">
      <c r="A13" s="79" t="s">
        <v>215</v>
      </c>
      <c r="B13" s="21" t="str">
        <f aca="false">"HV từ chối test sau "&amp;thresholdContacted_attempts&amp;" lần liên hệ"</f>
        <v>HV từ chối test sau 5 lần liên hệ</v>
      </c>
      <c r="C13" s="21" t="s">
        <v>219</v>
      </c>
      <c r="D13" s="21" t="s">
        <v>84</v>
      </c>
      <c r="E13" s="21" t="s">
        <v>220</v>
      </c>
      <c r="F13" s="81" t="s">
        <v>221</v>
      </c>
      <c r="G13" s="4"/>
      <c r="H13" s="4"/>
      <c r="I13" s="4"/>
      <c r="J13" s="4"/>
      <c r="K13" s="4"/>
      <c r="L13" s="4"/>
      <c r="M13" s="4"/>
      <c r="N13" s="4"/>
      <c r="O13" s="4"/>
      <c r="P13" s="4"/>
      <c r="Q13" s="4"/>
      <c r="R13" s="4"/>
      <c r="S13" s="4"/>
      <c r="T13" s="4"/>
      <c r="U13" s="4"/>
      <c r="V13" s="4"/>
      <c r="W13" s="4"/>
      <c r="X13" s="4"/>
      <c r="Y13" s="4"/>
      <c r="Z13" s="4"/>
    </row>
    <row r="14" customFormat="false" ht="27.75" hidden="false" customHeight="true" outlineLevel="0" collapsed="false">
      <c r="A14" s="79" t="s">
        <v>222</v>
      </c>
      <c r="B14" s="21" t="s">
        <v>223</v>
      </c>
      <c r="C14" s="21" t="s">
        <v>224</v>
      </c>
      <c r="D14" s="21" t="s">
        <v>225</v>
      </c>
      <c r="E14" s="80" t="str">
        <f aca="false">HYPERLINK("#'CH2. Tham số &amp; Quy tắc'!A"&amp;MATCH("slaGLA_hours",'CH2. Tham số &amp; Quy tắc'!$A:$A,0),slaGLA_hours&amp;" giờ")</f>
        <v>24 giờ</v>
      </c>
      <c r="F14" s="81" t="s">
        <v>226</v>
      </c>
      <c r="G14" s="4"/>
      <c r="H14" s="4"/>
      <c r="I14" s="4"/>
      <c r="J14" s="4"/>
      <c r="K14" s="4"/>
      <c r="L14" s="4"/>
      <c r="M14" s="4"/>
      <c r="N14" s="4"/>
      <c r="O14" s="4"/>
      <c r="P14" s="4"/>
      <c r="Q14" s="4"/>
      <c r="R14" s="4"/>
      <c r="S14" s="4"/>
      <c r="T14" s="4"/>
      <c r="U14" s="4"/>
      <c r="V14" s="4"/>
      <c r="W14" s="4"/>
      <c r="X14" s="4"/>
      <c r="Y14" s="4"/>
      <c r="Z14" s="4"/>
    </row>
    <row r="15" customFormat="false" ht="27.75" hidden="false" customHeight="true" outlineLevel="0" collapsed="false">
      <c r="A15" s="79" t="s">
        <v>227</v>
      </c>
      <c r="B15" s="21" t="s">
        <v>228</v>
      </c>
      <c r="C15" s="21" t="s">
        <v>229</v>
      </c>
      <c r="D15" s="21" t="s">
        <v>84</v>
      </c>
      <c r="E15" s="80" t="str">
        <f aca="false">HYPERLINK("#'CH2. Tham số &amp; Quy tắc'!A"&amp;MATCH("slaCVT_hours",'CH2. Tham số &amp; Quy tắc'!$A:$A,0),slaCVT_hours&amp;" giờ")</f>
        <v>24 giờ</v>
      </c>
      <c r="F15" s="81" t="s">
        <v>230</v>
      </c>
      <c r="G15" s="4"/>
      <c r="H15" s="4"/>
      <c r="I15" s="4"/>
      <c r="J15" s="4"/>
      <c r="K15" s="4"/>
      <c r="L15" s="4"/>
      <c r="M15" s="4"/>
      <c r="N15" s="4"/>
      <c r="O15" s="4"/>
      <c r="P15" s="4"/>
      <c r="Q15" s="4"/>
      <c r="R15" s="4"/>
      <c r="S15" s="4"/>
      <c r="T15" s="4"/>
      <c r="U15" s="4"/>
      <c r="V15" s="4"/>
      <c r="W15" s="4"/>
      <c r="X15" s="4"/>
      <c r="Y15" s="4"/>
      <c r="Z15" s="4"/>
    </row>
    <row r="16" customFormat="false" ht="27.75" hidden="false" customHeight="true" outlineLevel="0" collapsed="false">
      <c r="A16" s="79" t="s">
        <v>231</v>
      </c>
      <c r="B16" s="21" t="s">
        <v>232</v>
      </c>
      <c r="C16" s="21" t="s">
        <v>233</v>
      </c>
      <c r="D16" s="21" t="s">
        <v>84</v>
      </c>
      <c r="E16" s="21" t="str">
        <f aca="false">HYPERLINK("#'CH2. Tham số &amp; Quy tắc'!A"&amp;MATCH("slaQuote_days",'CH2. Tham số &amp; Quy tắc'!$A:$A,0),slaQuote_days&amp;" ngày")</f>
        <v>1 ngày</v>
      </c>
      <c r="F16" s="81" t="s">
        <v>234</v>
      </c>
      <c r="G16" s="4"/>
      <c r="H16" s="4"/>
      <c r="I16" s="4"/>
      <c r="J16" s="4"/>
      <c r="K16" s="4"/>
      <c r="L16" s="4"/>
      <c r="M16" s="4"/>
      <c r="N16" s="4"/>
      <c r="O16" s="4"/>
      <c r="P16" s="4"/>
      <c r="Q16" s="4"/>
      <c r="R16" s="4"/>
      <c r="S16" s="4"/>
      <c r="T16" s="4"/>
      <c r="U16" s="4"/>
      <c r="V16" s="4"/>
      <c r="W16" s="4"/>
      <c r="X16" s="4"/>
      <c r="Y16" s="4"/>
      <c r="Z16" s="4"/>
    </row>
    <row r="17" customFormat="false" ht="27.75" hidden="false" customHeight="true" outlineLevel="0" collapsed="false">
      <c r="A17" s="79" t="s">
        <v>231</v>
      </c>
      <c r="B17" s="21" t="str">
        <f aca="false">"Có chiết khấu ≥ "&amp;TEXT(thresholdDiscount_approval,"#,##0")&amp;"đ"</f>
        <v>Có chiết khấu ≥ 1,000,000đ</v>
      </c>
      <c r="C17" s="21" t="s">
        <v>235</v>
      </c>
      <c r="D17" s="21" t="s">
        <v>236</v>
      </c>
      <c r="E17" s="80" t="str">
        <f aca="false">HYPERLINK("#'CH2. Tham số &amp; Quy tắc'!A"&amp;MATCH("slaApproval_days",'CH2. Tham số &amp; Quy tắc'!$A:$A,0),slaApproval_days&amp;" ngày")</f>
        <v>1 ngày</v>
      </c>
      <c r="F17" s="81" t="s">
        <v>237</v>
      </c>
      <c r="G17" s="4"/>
      <c r="H17" s="4"/>
      <c r="I17" s="4"/>
      <c r="J17" s="4"/>
      <c r="K17" s="4"/>
      <c r="L17" s="4"/>
      <c r="M17" s="4"/>
      <c r="N17" s="4"/>
      <c r="O17" s="4"/>
      <c r="P17" s="4"/>
      <c r="Q17" s="4"/>
      <c r="R17" s="4"/>
      <c r="S17" s="4"/>
      <c r="T17" s="4"/>
      <c r="U17" s="4"/>
      <c r="V17" s="4"/>
      <c r="W17" s="4"/>
      <c r="X17" s="4"/>
      <c r="Y17" s="4"/>
      <c r="Z17" s="4"/>
    </row>
    <row r="18" customFormat="false" ht="27.75" hidden="false" customHeight="true" outlineLevel="0" collapsed="false">
      <c r="A18" s="79" t="s">
        <v>238</v>
      </c>
      <c r="B18" s="21" t="s">
        <v>239</v>
      </c>
      <c r="C18" s="21" t="s">
        <v>240</v>
      </c>
      <c r="D18" s="21" t="s">
        <v>84</v>
      </c>
      <c r="E18" s="80" t="str">
        <f aca="false">HYPERLINK("#'CH2. Tham số &amp; Quy tắc'!A"&amp;MATCH("thresholdContacted_days",'CH2. Tham số &amp; Quy tắc'!$A:$A,0),thresholdContacted_days&amp;" ngày")</f>
        <v>7 ngày</v>
      </c>
      <c r="F18" s="81" t="s">
        <v>241</v>
      </c>
      <c r="G18" s="4"/>
      <c r="H18" s="4"/>
      <c r="I18" s="4"/>
      <c r="J18" s="4"/>
      <c r="K18" s="4"/>
      <c r="L18" s="4"/>
      <c r="M18" s="4"/>
      <c r="N18" s="4"/>
      <c r="O18" s="4"/>
      <c r="P18" s="4"/>
      <c r="Q18" s="4"/>
      <c r="R18" s="4"/>
      <c r="S18" s="4"/>
      <c r="T18" s="4"/>
      <c r="U18" s="4"/>
      <c r="V18" s="4"/>
      <c r="W18" s="4"/>
      <c r="X18" s="4"/>
      <c r="Y18" s="4"/>
      <c r="Z18" s="4"/>
    </row>
    <row r="19" customFormat="false" ht="27.75" hidden="false" customHeight="true" outlineLevel="0" collapsed="false">
      <c r="A19" s="79" t="s">
        <v>242</v>
      </c>
      <c r="B19" s="21" t="s">
        <v>243</v>
      </c>
      <c r="C19" s="21" t="s">
        <v>244</v>
      </c>
      <c r="D19" s="21" t="s">
        <v>84</v>
      </c>
      <c r="E19" s="82" t="s">
        <v>214</v>
      </c>
      <c r="F19" s="81" t="s">
        <v>245</v>
      </c>
      <c r="G19" s="4"/>
      <c r="H19" s="4"/>
      <c r="I19" s="4"/>
      <c r="J19" s="4"/>
      <c r="K19" s="4"/>
      <c r="L19" s="4"/>
      <c r="M19" s="4"/>
      <c r="N19" s="4"/>
      <c r="O19" s="4"/>
      <c r="P19" s="4"/>
      <c r="Q19" s="4"/>
      <c r="R19" s="4"/>
      <c r="S19" s="4"/>
      <c r="T19" s="4"/>
      <c r="U19" s="4"/>
      <c r="V19" s="4"/>
      <c r="W19" s="4"/>
      <c r="X19" s="4"/>
      <c r="Y19" s="4"/>
      <c r="Z19" s="4"/>
    </row>
    <row r="20" customFormat="false" ht="27.75" hidden="false" customHeight="true" outlineLevel="0" collapsed="false">
      <c r="A20" s="79" t="s">
        <v>246</v>
      </c>
      <c r="B20" s="21" t="s">
        <v>220</v>
      </c>
      <c r="C20" s="21" t="s">
        <v>247</v>
      </c>
      <c r="D20" s="21" t="s">
        <v>84</v>
      </c>
      <c r="E20" s="21" t="s">
        <v>220</v>
      </c>
      <c r="F20" s="81" t="s">
        <v>248</v>
      </c>
      <c r="G20" s="4"/>
      <c r="H20" s="4"/>
      <c r="I20" s="4"/>
      <c r="J20" s="4"/>
      <c r="K20" s="4"/>
      <c r="L20" s="4"/>
      <c r="M20" s="4"/>
      <c r="N20" s="4"/>
      <c r="O20" s="4"/>
      <c r="P20" s="4"/>
      <c r="Q20" s="4"/>
      <c r="R20" s="4"/>
      <c r="S20" s="4"/>
      <c r="T20" s="4"/>
      <c r="U20" s="4"/>
      <c r="V20" s="4"/>
      <c r="W20" s="4"/>
      <c r="X20" s="4"/>
      <c r="Y20" s="4"/>
      <c r="Z20" s="4"/>
    </row>
    <row r="21" customFormat="false" ht="1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31.5" hidden="false" customHeight="true" outlineLevel="0" collapsed="false">
      <c r="A22" s="83" t="s">
        <v>249</v>
      </c>
      <c r="B22" s="83"/>
      <c r="C22" s="83"/>
      <c r="D22" s="83"/>
      <c r="E22" s="83"/>
      <c r="F22" s="83"/>
      <c r="G22" s="4"/>
      <c r="H22" s="4"/>
      <c r="I22" s="4"/>
      <c r="J22" s="4"/>
      <c r="K22" s="4"/>
      <c r="L22" s="4"/>
      <c r="M22" s="4"/>
      <c r="N22" s="4"/>
      <c r="O22" s="4"/>
      <c r="P22" s="4"/>
      <c r="Q22" s="4"/>
      <c r="R22" s="4"/>
      <c r="S22" s="4"/>
      <c r="T22" s="4"/>
      <c r="U22" s="4"/>
      <c r="V22" s="4"/>
      <c r="W22" s="4"/>
      <c r="X22" s="4"/>
      <c r="Y22" s="4"/>
      <c r="Z22" s="4"/>
    </row>
    <row r="23" customFormat="false" ht="31.5" hidden="false" customHeight="true" outlineLevel="0" collapsed="false">
      <c r="A23" s="84" t="s">
        <v>250</v>
      </c>
      <c r="B23" s="84" t="s">
        <v>203</v>
      </c>
      <c r="C23" s="84" t="s">
        <v>251</v>
      </c>
      <c r="D23" s="84" t="s">
        <v>205</v>
      </c>
      <c r="E23" s="84" t="s">
        <v>206</v>
      </c>
      <c r="F23" s="85" t="s">
        <v>207</v>
      </c>
      <c r="G23" s="4"/>
      <c r="H23" s="4"/>
      <c r="I23" s="4"/>
      <c r="J23" s="4"/>
      <c r="K23" s="4"/>
      <c r="L23" s="4"/>
      <c r="M23" s="4"/>
      <c r="N23" s="4"/>
      <c r="O23" s="4"/>
      <c r="P23" s="4"/>
      <c r="Q23" s="4"/>
      <c r="R23" s="4"/>
      <c r="S23" s="4"/>
      <c r="T23" s="4"/>
      <c r="U23" s="4"/>
      <c r="V23" s="4"/>
      <c r="W23" s="4"/>
      <c r="X23" s="4"/>
      <c r="Y23" s="4"/>
      <c r="Z23" s="4"/>
    </row>
    <row r="24" customFormat="false" ht="27.75" hidden="false" customHeight="true" outlineLevel="0" collapsed="false">
      <c r="A24" s="79" t="s">
        <v>252</v>
      </c>
      <c r="B24" s="21" t="s">
        <v>253</v>
      </c>
      <c r="C24" s="21" t="s">
        <v>254</v>
      </c>
      <c r="D24" s="21" t="s">
        <v>255</v>
      </c>
      <c r="E24" s="21" t="s">
        <v>220</v>
      </c>
      <c r="F24" s="81" t="s">
        <v>256</v>
      </c>
      <c r="G24" s="4"/>
      <c r="H24" s="4"/>
      <c r="I24" s="4"/>
      <c r="J24" s="4"/>
      <c r="K24" s="4"/>
      <c r="L24" s="4"/>
      <c r="M24" s="4"/>
      <c r="N24" s="4"/>
      <c r="O24" s="4"/>
      <c r="P24" s="4"/>
      <c r="Q24" s="4"/>
      <c r="R24" s="4"/>
      <c r="S24" s="4"/>
      <c r="T24" s="4"/>
      <c r="U24" s="4"/>
      <c r="V24" s="4"/>
      <c r="W24" s="4"/>
      <c r="X24" s="4"/>
      <c r="Y24" s="4"/>
      <c r="Z24" s="4"/>
    </row>
    <row r="25" customFormat="false" ht="27.75" hidden="false" customHeight="true" outlineLevel="0" collapsed="false">
      <c r="A25" s="79" t="s">
        <v>257</v>
      </c>
      <c r="B25" s="21" t="s">
        <v>258</v>
      </c>
      <c r="C25" s="21" t="s">
        <v>259</v>
      </c>
      <c r="D25" s="21" t="s">
        <v>100</v>
      </c>
      <c r="E25" s="21" t="str">
        <f aca="false">HYPERLINK("#'CH2. Tham số &amp; Quy tắc'!A"&amp;MATCH("slaPaymentConfirm_days",'CH2. Tham số &amp; Quy tắc'!$A:$A,0),slaPaymentConfirm_days&amp;" ngày")</f>
        <v>1 ngày</v>
      </c>
      <c r="F25" s="81" t="s">
        <v>260</v>
      </c>
      <c r="G25" s="4"/>
      <c r="H25" s="4"/>
      <c r="I25" s="4"/>
      <c r="J25" s="4"/>
      <c r="K25" s="4"/>
      <c r="L25" s="4"/>
      <c r="M25" s="4"/>
      <c r="N25" s="4"/>
      <c r="O25" s="4"/>
      <c r="P25" s="4"/>
      <c r="Q25" s="4"/>
      <c r="R25" s="4"/>
      <c r="S25" s="4"/>
      <c r="T25" s="4"/>
      <c r="U25" s="4"/>
      <c r="V25" s="4"/>
      <c r="W25" s="4"/>
      <c r="X25" s="4"/>
      <c r="Y25" s="4"/>
      <c r="Z25" s="4"/>
    </row>
    <row r="26" customFormat="false" ht="27.75" hidden="false" customHeight="true" outlineLevel="0" collapsed="false">
      <c r="A26" s="79" t="s">
        <v>261</v>
      </c>
      <c r="B26" s="21" t="s">
        <v>262</v>
      </c>
      <c r="C26" s="21" t="s">
        <v>263</v>
      </c>
      <c r="D26" s="21" t="s">
        <v>100</v>
      </c>
      <c r="E26" s="21" t="s">
        <v>264</v>
      </c>
      <c r="F26" s="81" t="s">
        <v>265</v>
      </c>
      <c r="G26" s="4"/>
      <c r="H26" s="4"/>
      <c r="I26" s="4"/>
      <c r="J26" s="4"/>
      <c r="K26" s="4"/>
      <c r="L26" s="4"/>
      <c r="M26" s="4"/>
      <c r="N26" s="4"/>
      <c r="O26" s="4"/>
      <c r="P26" s="4"/>
      <c r="Q26" s="4"/>
      <c r="R26" s="4"/>
      <c r="S26" s="4"/>
      <c r="T26" s="4"/>
      <c r="U26" s="4"/>
      <c r="V26" s="4"/>
      <c r="W26" s="4"/>
      <c r="X26" s="4"/>
      <c r="Y26" s="4"/>
      <c r="Z26" s="4"/>
    </row>
    <row r="27" customFormat="false" ht="27.75" hidden="false" customHeight="true" outlineLevel="0" collapsed="false">
      <c r="A27" s="79" t="s">
        <v>266</v>
      </c>
      <c r="B27" s="21" t="s">
        <v>267</v>
      </c>
      <c r="C27" s="21" t="s">
        <v>268</v>
      </c>
      <c r="D27" s="21" t="s">
        <v>269</v>
      </c>
      <c r="E27" s="21" t="str">
        <f aca="false">HYPERLINK("#'CH2. Tham số &amp; Quy tắc'!A"&amp;MATCH("slaRefundProcess_days",'CH2. Tham số &amp; Quy tắc'!$A:$A,0),slaRefundProcess_days&amp;" ngày")</f>
        <v>5 ngày</v>
      </c>
      <c r="F27" s="81" t="s">
        <v>270</v>
      </c>
      <c r="G27" s="4"/>
      <c r="H27" s="4"/>
      <c r="I27" s="4"/>
      <c r="J27" s="4"/>
      <c r="K27" s="4"/>
      <c r="L27" s="4"/>
      <c r="M27" s="4"/>
      <c r="N27" s="4"/>
      <c r="O27" s="4"/>
      <c r="P27" s="4"/>
      <c r="Q27" s="4"/>
      <c r="R27" s="4"/>
      <c r="S27" s="4"/>
      <c r="T27" s="4"/>
      <c r="U27" s="4"/>
      <c r="V27" s="4"/>
      <c r="W27" s="4"/>
      <c r="X27" s="4"/>
      <c r="Y27" s="4"/>
      <c r="Z27" s="4"/>
    </row>
    <row r="28" customFormat="false" ht="1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31.5" hidden="false" customHeight="true" outlineLevel="0" collapsed="false">
      <c r="A29" s="86" t="s">
        <v>271</v>
      </c>
      <c r="B29" s="86"/>
      <c r="C29" s="86"/>
      <c r="D29" s="86"/>
      <c r="E29" s="86"/>
      <c r="F29" s="86"/>
      <c r="G29" s="4"/>
      <c r="H29" s="4"/>
      <c r="I29" s="4"/>
      <c r="J29" s="4"/>
      <c r="K29" s="4"/>
      <c r="L29" s="4"/>
      <c r="M29" s="4"/>
      <c r="N29" s="4"/>
      <c r="O29" s="4"/>
      <c r="P29" s="4"/>
      <c r="Q29" s="4"/>
      <c r="R29" s="4"/>
      <c r="S29" s="4"/>
      <c r="T29" s="4"/>
      <c r="U29" s="4"/>
      <c r="V29" s="4"/>
      <c r="W29" s="4"/>
      <c r="X29" s="4"/>
      <c r="Y29" s="4"/>
      <c r="Z29" s="4"/>
    </row>
    <row r="30" customFormat="false" ht="31.5" hidden="false" customHeight="true" outlineLevel="0" collapsed="false">
      <c r="A30" s="87" t="s">
        <v>272</v>
      </c>
      <c r="B30" s="87" t="s">
        <v>203</v>
      </c>
      <c r="C30" s="87" t="s">
        <v>251</v>
      </c>
      <c r="D30" s="87" t="s">
        <v>205</v>
      </c>
      <c r="E30" s="87" t="s">
        <v>206</v>
      </c>
      <c r="F30" s="88" t="s">
        <v>207</v>
      </c>
      <c r="G30" s="4"/>
      <c r="H30" s="4"/>
      <c r="I30" s="4"/>
      <c r="J30" s="4"/>
      <c r="K30" s="4"/>
      <c r="L30" s="4"/>
      <c r="M30" s="4"/>
      <c r="N30" s="4"/>
      <c r="O30" s="4"/>
      <c r="P30" s="4"/>
      <c r="Q30" s="4"/>
      <c r="R30" s="4"/>
      <c r="S30" s="4"/>
      <c r="T30" s="4"/>
      <c r="U30" s="4"/>
      <c r="V30" s="4"/>
      <c r="W30" s="4"/>
      <c r="X30" s="4"/>
      <c r="Y30" s="4"/>
      <c r="Z30" s="4"/>
    </row>
    <row r="31" customFormat="false" ht="27.75" hidden="false" customHeight="true" outlineLevel="0" collapsed="false">
      <c r="A31" s="79" t="s">
        <v>273</v>
      </c>
      <c r="B31" s="21" t="s">
        <v>274</v>
      </c>
      <c r="C31" s="21" t="s">
        <v>275</v>
      </c>
      <c r="D31" s="21" t="s">
        <v>276</v>
      </c>
      <c r="E31" s="80" t="str">
        <f aca="false">HYPERLINK("#'DL08. Xếp lớp &amp; Nhập học'!A"&amp;MATCH("slaPLR48_hours",'CH2. Tham số &amp; Quy tắc'!$A:$A,0),slaPLR48_hours&amp;" giờ")</f>
        <v>48 giờ</v>
      </c>
      <c r="F31" s="81" t="s">
        <v>277</v>
      </c>
      <c r="G31" s="4"/>
      <c r="H31" s="4"/>
      <c r="I31" s="4"/>
      <c r="J31" s="4"/>
      <c r="K31" s="4"/>
      <c r="L31" s="4"/>
      <c r="M31" s="4"/>
      <c r="N31" s="4"/>
      <c r="O31" s="4"/>
      <c r="P31" s="4"/>
      <c r="Q31" s="4"/>
      <c r="R31" s="4"/>
      <c r="S31" s="4"/>
      <c r="T31" s="4"/>
      <c r="U31" s="4"/>
      <c r="V31" s="4"/>
      <c r="W31" s="4"/>
      <c r="X31" s="4"/>
      <c r="Y31" s="4"/>
      <c r="Z31" s="4"/>
    </row>
    <row r="32" customFormat="false" ht="27.75" hidden="false" customHeight="true" outlineLevel="0" collapsed="false">
      <c r="A32" s="79" t="s">
        <v>278</v>
      </c>
      <c r="B32" s="21" t="s">
        <v>279</v>
      </c>
      <c r="C32" s="21" t="s">
        <v>280</v>
      </c>
      <c r="D32" s="21" t="s">
        <v>281</v>
      </c>
      <c r="E32" s="80" t="str">
        <f aca="false">HYPERLINK("#'CH2. Tham số &amp; Quy tắc'!A"&amp;MATCH("slaPLR48_hours",'CH2. Tham số &amp; Quy tắc'!$A:$A,0),slaPLR48_hours&amp;" giờ")</f>
        <v>48 giờ</v>
      </c>
      <c r="F32" s="81" t="s">
        <v>282</v>
      </c>
      <c r="G32" s="4"/>
      <c r="H32" s="4"/>
      <c r="I32" s="4"/>
      <c r="J32" s="4"/>
      <c r="K32" s="4"/>
      <c r="L32" s="4"/>
      <c r="M32" s="4"/>
      <c r="N32" s="4"/>
      <c r="O32" s="4"/>
      <c r="P32" s="4"/>
      <c r="Q32" s="4"/>
      <c r="R32" s="4"/>
      <c r="S32" s="4"/>
      <c r="T32" s="4"/>
      <c r="U32" s="4"/>
      <c r="V32" s="4"/>
      <c r="W32" s="4"/>
      <c r="X32" s="4"/>
      <c r="Y32" s="4"/>
      <c r="Z32" s="4"/>
    </row>
    <row r="33" customFormat="false" ht="27.75" hidden="false" customHeight="true" outlineLevel="0" collapsed="false">
      <c r="A33" s="79" t="s">
        <v>283</v>
      </c>
      <c r="B33" s="21" t="s">
        <v>284</v>
      </c>
      <c r="C33" s="21" t="s">
        <v>285</v>
      </c>
      <c r="D33" s="21" t="s">
        <v>281</v>
      </c>
      <c r="E33" s="82" t="s">
        <v>214</v>
      </c>
      <c r="F33" s="81" t="s">
        <v>220</v>
      </c>
      <c r="G33" s="4"/>
      <c r="H33" s="4"/>
      <c r="I33" s="4"/>
      <c r="J33" s="4"/>
      <c r="K33" s="4"/>
      <c r="L33" s="4"/>
      <c r="M33" s="4"/>
      <c r="N33" s="4"/>
      <c r="O33" s="4"/>
      <c r="P33" s="4"/>
      <c r="Q33" s="4"/>
      <c r="R33" s="4"/>
      <c r="S33" s="4"/>
      <c r="T33" s="4"/>
      <c r="U33" s="4"/>
      <c r="V33" s="4"/>
      <c r="W33" s="4"/>
      <c r="X33" s="4"/>
      <c r="Y33" s="4"/>
      <c r="Z33" s="4"/>
    </row>
    <row r="34" customFormat="false" ht="1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31.5" hidden="false" customHeight="true" outlineLevel="0" collapsed="false">
      <c r="A35" s="89" t="s">
        <v>286</v>
      </c>
      <c r="B35" s="89"/>
      <c r="C35" s="89"/>
      <c r="D35" s="89"/>
      <c r="E35" s="89"/>
      <c r="F35" s="89"/>
      <c r="G35" s="4"/>
      <c r="H35" s="4"/>
      <c r="I35" s="4"/>
      <c r="J35" s="4"/>
      <c r="K35" s="4"/>
      <c r="L35" s="4"/>
      <c r="M35" s="4"/>
      <c r="N35" s="4"/>
      <c r="O35" s="4"/>
      <c r="P35" s="4"/>
      <c r="Q35" s="4"/>
      <c r="R35" s="4"/>
      <c r="S35" s="4"/>
      <c r="T35" s="4"/>
      <c r="U35" s="4"/>
      <c r="V35" s="4"/>
      <c r="W35" s="4"/>
      <c r="X35" s="4"/>
      <c r="Y35" s="4"/>
      <c r="Z35" s="4"/>
    </row>
    <row r="36" customFormat="false" ht="31.5" hidden="false" customHeight="true" outlineLevel="0" collapsed="false">
      <c r="A36" s="90" t="s">
        <v>287</v>
      </c>
      <c r="B36" s="90" t="s">
        <v>203</v>
      </c>
      <c r="C36" s="90" t="s">
        <v>251</v>
      </c>
      <c r="D36" s="90" t="s">
        <v>205</v>
      </c>
      <c r="E36" s="90" t="s">
        <v>206</v>
      </c>
      <c r="F36" s="91" t="s">
        <v>207</v>
      </c>
      <c r="G36" s="4"/>
      <c r="H36" s="4"/>
      <c r="I36" s="4"/>
      <c r="J36" s="4"/>
      <c r="K36" s="4"/>
      <c r="L36" s="4"/>
      <c r="M36" s="4"/>
      <c r="N36" s="4"/>
      <c r="O36" s="4"/>
      <c r="P36" s="4"/>
      <c r="Q36" s="4"/>
      <c r="R36" s="4"/>
      <c r="S36" s="4"/>
      <c r="T36" s="4"/>
      <c r="U36" s="4"/>
      <c r="V36" s="4"/>
      <c r="W36" s="4"/>
      <c r="X36" s="4"/>
      <c r="Y36" s="4"/>
      <c r="Z36" s="4"/>
    </row>
    <row r="37" customFormat="false" ht="27.75" hidden="false" customHeight="true" outlineLevel="0" collapsed="false">
      <c r="A37" s="79" t="s">
        <v>288</v>
      </c>
      <c r="B37" s="21" t="s">
        <v>289</v>
      </c>
      <c r="C37" s="21" t="s">
        <v>290</v>
      </c>
      <c r="D37" s="21" t="s">
        <v>92</v>
      </c>
      <c r="E37" s="21" t="s">
        <v>291</v>
      </c>
      <c r="F37" s="81" t="s">
        <v>292</v>
      </c>
      <c r="G37" s="4"/>
      <c r="H37" s="4"/>
      <c r="I37" s="4"/>
      <c r="J37" s="4"/>
      <c r="K37" s="4"/>
      <c r="L37" s="4"/>
      <c r="M37" s="4"/>
      <c r="N37" s="4"/>
      <c r="O37" s="4"/>
      <c r="P37" s="4"/>
      <c r="Q37" s="4"/>
      <c r="R37" s="4"/>
      <c r="S37" s="4"/>
      <c r="T37" s="4"/>
      <c r="U37" s="4"/>
      <c r="V37" s="4"/>
      <c r="W37" s="4"/>
      <c r="X37" s="4"/>
      <c r="Y37" s="4"/>
      <c r="Z37" s="4"/>
    </row>
    <row r="38" customFormat="false" ht="27.75" hidden="false" customHeight="true" outlineLevel="0" collapsed="false">
      <c r="A38" s="79" t="s">
        <v>293</v>
      </c>
      <c r="B38" s="21" t="s">
        <v>294</v>
      </c>
      <c r="C38" s="21" t="s">
        <v>295</v>
      </c>
      <c r="D38" s="21" t="s">
        <v>92</v>
      </c>
      <c r="E38" s="21" t="s">
        <v>296</v>
      </c>
      <c r="F38" s="81" t="s">
        <v>265</v>
      </c>
      <c r="G38" s="4"/>
      <c r="H38" s="4"/>
      <c r="I38" s="4"/>
      <c r="J38" s="4"/>
      <c r="K38" s="4"/>
      <c r="L38" s="4"/>
      <c r="M38" s="4"/>
      <c r="N38" s="4"/>
      <c r="O38" s="4"/>
      <c r="P38" s="4"/>
      <c r="Q38" s="4"/>
      <c r="R38" s="4"/>
      <c r="S38" s="4"/>
      <c r="T38" s="4"/>
      <c r="U38" s="4"/>
      <c r="V38" s="4"/>
      <c r="W38" s="4"/>
      <c r="X38" s="4"/>
      <c r="Y38" s="4"/>
      <c r="Z38" s="4"/>
    </row>
    <row r="39" customFormat="false" ht="27.75" hidden="false" customHeight="true" outlineLevel="0" collapsed="false">
      <c r="A39" s="79" t="s">
        <v>297</v>
      </c>
      <c r="B39" s="21" t="s">
        <v>298</v>
      </c>
      <c r="C39" s="82" t="s">
        <v>299</v>
      </c>
      <c r="D39" s="21" t="s">
        <v>92</v>
      </c>
      <c r="E39" s="80" t="str">
        <f aca="false">HYPERLINK("#'CH2. Tham số &amp; Quy tắc'!A"&amp;MATCH("slaTeacherNote_hours",'CH2. Tham số &amp; Quy tắc'!$A:$A,0),slaTeacherNote_hours&amp;" giờ")</f>
        <v>48 giờ</v>
      </c>
      <c r="F39" s="81" t="s">
        <v>300</v>
      </c>
      <c r="G39" s="4"/>
      <c r="H39" s="4"/>
      <c r="I39" s="4"/>
      <c r="J39" s="4"/>
      <c r="K39" s="4"/>
      <c r="L39" s="4"/>
      <c r="M39" s="4"/>
      <c r="N39" s="4"/>
      <c r="O39" s="4"/>
      <c r="P39" s="4"/>
      <c r="Q39" s="4"/>
      <c r="R39" s="4"/>
      <c r="S39" s="4"/>
      <c r="T39" s="4"/>
      <c r="U39" s="4"/>
      <c r="V39" s="4"/>
      <c r="W39" s="4"/>
      <c r="X39" s="4"/>
      <c r="Y39" s="4"/>
      <c r="Z39" s="4"/>
    </row>
    <row r="40" customFormat="false" ht="27.75" hidden="false" customHeight="true" outlineLevel="0" collapsed="false">
      <c r="A40" s="79" t="s">
        <v>301</v>
      </c>
      <c r="B40" s="21" t="s">
        <v>302</v>
      </c>
      <c r="C40" s="21" t="s">
        <v>303</v>
      </c>
      <c r="D40" s="21" t="s">
        <v>276</v>
      </c>
      <c r="E40" s="21" t="str">
        <f aca="false">HYPERLINK("#'CH2. Tham số &amp; Quy tắc'!A"&amp;MATCH("slaNoteReview_hours",'CH2. Tham số &amp; Quy tắc'!$A:$A,0),slaNoteReview_hours&amp;" giờ")</f>
        <v>24 giờ</v>
      </c>
      <c r="F40" s="92" t="s">
        <v>304</v>
      </c>
      <c r="G40" s="4"/>
      <c r="H40" s="4"/>
      <c r="I40" s="4"/>
      <c r="J40" s="4"/>
      <c r="K40" s="4"/>
      <c r="L40" s="4"/>
      <c r="M40" s="4"/>
      <c r="N40" s="4"/>
      <c r="O40" s="4"/>
      <c r="P40" s="4"/>
      <c r="Q40" s="4"/>
      <c r="R40" s="4"/>
      <c r="S40" s="4"/>
      <c r="T40" s="4"/>
      <c r="U40" s="4"/>
      <c r="V40" s="4"/>
      <c r="W40" s="4"/>
      <c r="X40" s="4"/>
      <c r="Y40" s="4"/>
      <c r="Z40" s="4"/>
    </row>
    <row r="41" customFormat="false" ht="27.75" hidden="false" customHeight="true" outlineLevel="0" collapsed="false">
      <c r="A41" s="79" t="s">
        <v>305</v>
      </c>
      <c r="B41" s="21" t="s">
        <v>306</v>
      </c>
      <c r="C41" s="21" t="s">
        <v>307</v>
      </c>
      <c r="D41" s="21" t="s">
        <v>276</v>
      </c>
      <c r="E41" s="82" t="s">
        <v>214</v>
      </c>
      <c r="F41" s="81" t="s">
        <v>308</v>
      </c>
      <c r="G41" s="4"/>
      <c r="H41" s="4"/>
      <c r="I41" s="4"/>
      <c r="J41" s="4"/>
      <c r="K41" s="4"/>
      <c r="L41" s="4"/>
      <c r="M41" s="4"/>
      <c r="N41" s="4"/>
      <c r="O41" s="4"/>
      <c r="P41" s="4"/>
      <c r="Q41" s="4"/>
      <c r="R41" s="4"/>
      <c r="S41" s="4"/>
      <c r="T41" s="4"/>
      <c r="U41" s="4"/>
      <c r="V41" s="4"/>
      <c r="W41" s="4"/>
      <c r="X41" s="4"/>
      <c r="Y41" s="4"/>
      <c r="Z41" s="4"/>
    </row>
    <row r="42" customFormat="false" ht="1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31.5" hidden="false" customHeight="true" outlineLevel="0" collapsed="false">
      <c r="A43" s="93" t="s">
        <v>309</v>
      </c>
      <c r="B43" s="93"/>
      <c r="C43" s="93"/>
      <c r="D43" s="93"/>
      <c r="E43" s="93"/>
      <c r="F43" s="93"/>
      <c r="G43" s="4"/>
      <c r="H43" s="4"/>
      <c r="I43" s="4"/>
      <c r="J43" s="4"/>
      <c r="K43" s="4"/>
      <c r="L43" s="4"/>
      <c r="M43" s="4"/>
      <c r="N43" s="4"/>
      <c r="O43" s="4"/>
      <c r="P43" s="4"/>
      <c r="Q43" s="4"/>
      <c r="R43" s="4"/>
      <c r="S43" s="4"/>
      <c r="T43" s="4"/>
      <c r="U43" s="4"/>
      <c r="V43" s="4"/>
      <c r="W43" s="4"/>
      <c r="X43" s="4"/>
      <c r="Y43" s="4"/>
      <c r="Z43" s="4"/>
    </row>
    <row r="44" customFormat="false" ht="31.5" hidden="false" customHeight="true" outlineLevel="0" collapsed="false">
      <c r="A44" s="94" t="s">
        <v>272</v>
      </c>
      <c r="B44" s="94" t="s">
        <v>203</v>
      </c>
      <c r="C44" s="94" t="s">
        <v>251</v>
      </c>
      <c r="D44" s="94" t="s">
        <v>205</v>
      </c>
      <c r="E44" s="94" t="s">
        <v>206</v>
      </c>
      <c r="F44" s="95" t="s">
        <v>207</v>
      </c>
      <c r="G44" s="4"/>
      <c r="H44" s="4"/>
      <c r="I44" s="4"/>
      <c r="J44" s="4"/>
      <c r="K44" s="4"/>
      <c r="L44" s="4"/>
      <c r="M44" s="4"/>
      <c r="N44" s="4"/>
      <c r="O44" s="4"/>
      <c r="P44" s="4"/>
      <c r="Q44" s="4"/>
      <c r="R44" s="4"/>
      <c r="S44" s="4"/>
      <c r="T44" s="4"/>
      <c r="U44" s="4"/>
      <c r="V44" s="4"/>
      <c r="W44" s="4"/>
      <c r="X44" s="4"/>
      <c r="Y44" s="4"/>
      <c r="Z44" s="4"/>
    </row>
    <row r="45" customFormat="false" ht="27.75" hidden="false" customHeight="true" outlineLevel="0" collapsed="false">
      <c r="A45" s="79" t="s">
        <v>310</v>
      </c>
      <c r="B45" s="21" t="s">
        <v>311</v>
      </c>
      <c r="C45" s="21" t="s">
        <v>312</v>
      </c>
      <c r="D45" s="21" t="s">
        <v>313</v>
      </c>
      <c r="E45" s="21" t="s">
        <v>220</v>
      </c>
      <c r="F45" s="81" t="s">
        <v>220</v>
      </c>
      <c r="G45" s="4"/>
      <c r="H45" s="4"/>
      <c r="I45" s="4"/>
      <c r="J45" s="4"/>
      <c r="K45" s="4"/>
      <c r="L45" s="4"/>
      <c r="M45" s="4"/>
      <c r="N45" s="4"/>
      <c r="O45" s="4"/>
      <c r="P45" s="4"/>
      <c r="Q45" s="4"/>
      <c r="R45" s="4"/>
      <c r="S45" s="4"/>
      <c r="T45" s="4"/>
      <c r="U45" s="4"/>
      <c r="V45" s="4"/>
      <c r="W45" s="4"/>
      <c r="X45" s="4"/>
      <c r="Y45" s="4"/>
      <c r="Z45" s="4"/>
    </row>
    <row r="46" customFormat="false" ht="27.75" hidden="false" customHeight="true" outlineLevel="0" collapsed="false">
      <c r="A46" s="79" t="s">
        <v>314</v>
      </c>
      <c r="B46" s="21" t="s">
        <v>220</v>
      </c>
      <c r="C46" s="21" t="s">
        <v>315</v>
      </c>
      <c r="D46" s="21" t="s">
        <v>313</v>
      </c>
      <c r="E46" s="21" t="s">
        <v>220</v>
      </c>
      <c r="F46" s="81" t="s">
        <v>316</v>
      </c>
      <c r="G46" s="4"/>
      <c r="H46" s="4"/>
      <c r="I46" s="4"/>
      <c r="J46" s="4"/>
      <c r="K46" s="4"/>
      <c r="L46" s="4"/>
      <c r="M46" s="4"/>
      <c r="N46" s="4"/>
      <c r="O46" s="4"/>
      <c r="P46" s="4"/>
      <c r="Q46" s="4"/>
      <c r="R46" s="4"/>
      <c r="S46" s="4"/>
      <c r="T46" s="4"/>
      <c r="U46" s="4"/>
      <c r="V46" s="4"/>
      <c r="W46" s="4"/>
      <c r="X46" s="4"/>
      <c r="Y46" s="4"/>
      <c r="Z46" s="4"/>
    </row>
    <row r="47" customFormat="false" ht="27.75" hidden="false" customHeight="true" outlineLevel="0" collapsed="false">
      <c r="A47" s="79" t="s">
        <v>317</v>
      </c>
      <c r="B47" s="21" t="s">
        <v>220</v>
      </c>
      <c r="C47" s="21" t="s">
        <v>318</v>
      </c>
      <c r="D47" s="21" t="s">
        <v>313</v>
      </c>
      <c r="E47" s="21" t="s">
        <v>220</v>
      </c>
      <c r="F47" s="81" t="s">
        <v>319</v>
      </c>
      <c r="G47" s="4"/>
      <c r="H47" s="4"/>
      <c r="I47" s="4"/>
      <c r="J47" s="4"/>
      <c r="K47" s="4"/>
      <c r="L47" s="4"/>
      <c r="M47" s="4"/>
      <c r="N47" s="4"/>
      <c r="O47" s="4"/>
      <c r="P47" s="4"/>
      <c r="Q47" s="4"/>
      <c r="R47" s="4"/>
      <c r="S47" s="4"/>
      <c r="T47" s="4"/>
      <c r="U47" s="4"/>
      <c r="V47" s="4"/>
      <c r="W47" s="4"/>
      <c r="X47" s="4"/>
      <c r="Y47" s="4"/>
      <c r="Z47" s="4"/>
    </row>
    <row r="48" customFormat="false" ht="27.75" hidden="false" customHeight="true" outlineLevel="0" collapsed="false">
      <c r="A48" s="79" t="s">
        <v>320</v>
      </c>
      <c r="B48" s="21" t="s">
        <v>321</v>
      </c>
      <c r="C48" s="21" t="s">
        <v>322</v>
      </c>
      <c r="D48" s="21" t="s">
        <v>313</v>
      </c>
      <c r="E48" s="21" t="s">
        <v>220</v>
      </c>
      <c r="F48" s="81" t="s">
        <v>323</v>
      </c>
      <c r="G48" s="4"/>
      <c r="H48" s="4"/>
      <c r="I48" s="4"/>
      <c r="J48" s="4"/>
      <c r="K48" s="4"/>
      <c r="L48" s="4"/>
      <c r="M48" s="4"/>
      <c r="N48" s="4"/>
      <c r="O48" s="4"/>
      <c r="P48" s="4"/>
      <c r="Q48" s="4"/>
      <c r="R48" s="4"/>
      <c r="S48" s="4"/>
      <c r="T48" s="4"/>
      <c r="U48" s="4"/>
      <c r="V48" s="4"/>
      <c r="W48" s="4"/>
      <c r="X48" s="4"/>
      <c r="Y48" s="4"/>
      <c r="Z48" s="4"/>
    </row>
    <row r="49" customFormat="false" ht="27.75" hidden="false" customHeight="true" outlineLevel="0" collapsed="false">
      <c r="A49" s="79" t="s">
        <v>324</v>
      </c>
      <c r="B49" s="21" t="s">
        <v>220</v>
      </c>
      <c r="C49" s="21" t="s">
        <v>325</v>
      </c>
      <c r="D49" s="21" t="s">
        <v>326</v>
      </c>
      <c r="E49" s="21" t="s">
        <v>220</v>
      </c>
      <c r="F49" s="81" t="s">
        <v>327</v>
      </c>
      <c r="G49" s="4"/>
      <c r="H49" s="4"/>
      <c r="I49" s="4"/>
      <c r="J49" s="4"/>
      <c r="K49" s="4"/>
      <c r="L49" s="4"/>
      <c r="M49" s="4"/>
      <c r="N49" s="4"/>
      <c r="O49" s="4"/>
      <c r="P49" s="4"/>
      <c r="Q49" s="4"/>
      <c r="R49" s="4"/>
      <c r="S49" s="4"/>
      <c r="T49" s="4"/>
      <c r="U49" s="4"/>
      <c r="V49" s="4"/>
      <c r="W49" s="4"/>
      <c r="X49" s="4"/>
      <c r="Y49" s="4"/>
      <c r="Z49" s="4"/>
    </row>
    <row r="50" customFormat="false" ht="27.75" hidden="false" customHeight="true" outlineLevel="0" collapsed="false">
      <c r="A50" s="79" t="s">
        <v>328</v>
      </c>
      <c r="B50" s="21" t="s">
        <v>220</v>
      </c>
      <c r="C50" s="82" t="s">
        <v>329</v>
      </c>
      <c r="D50" s="21" t="s">
        <v>276</v>
      </c>
      <c r="E50" s="21" t="str">
        <f aca="false">HYPERLINK("#'CH2. Tham số &amp; Quy tắc'!A"&amp;MATCH("slaRiskFlagUpdate_hours",'CH2. Tham số &amp; Quy tắc'!$A:$A,0),slaRiskFlagUpdate_hours&amp;" giờ")</f>
        <v>48 giờ</v>
      </c>
      <c r="F50" s="81" t="s">
        <v>330</v>
      </c>
      <c r="G50" s="4"/>
      <c r="H50" s="4"/>
      <c r="I50" s="4"/>
      <c r="J50" s="4"/>
      <c r="K50" s="4"/>
      <c r="L50" s="4"/>
      <c r="M50" s="4"/>
      <c r="N50" s="4"/>
      <c r="O50" s="4"/>
      <c r="P50" s="4"/>
      <c r="Q50" s="4"/>
      <c r="R50" s="4"/>
      <c r="S50" s="4"/>
      <c r="T50" s="4"/>
      <c r="U50" s="4"/>
      <c r="V50" s="4"/>
      <c r="W50" s="4"/>
      <c r="X50" s="4"/>
      <c r="Y50" s="4"/>
      <c r="Z50" s="4"/>
    </row>
    <row r="51" customFormat="false" ht="1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31.5" hidden="false" customHeight="true" outlineLevel="0" collapsed="false">
      <c r="A52" s="96" t="s">
        <v>331</v>
      </c>
      <c r="B52" s="96"/>
      <c r="C52" s="96"/>
      <c r="D52" s="96"/>
      <c r="E52" s="96"/>
      <c r="F52" s="96"/>
      <c r="G52" s="4"/>
      <c r="H52" s="4"/>
      <c r="I52" s="4"/>
      <c r="J52" s="4"/>
      <c r="K52" s="4"/>
      <c r="L52" s="4"/>
      <c r="M52" s="4"/>
      <c r="N52" s="4"/>
      <c r="O52" s="4"/>
      <c r="P52" s="4"/>
      <c r="Q52" s="4"/>
      <c r="R52" s="4"/>
      <c r="S52" s="4"/>
      <c r="T52" s="4"/>
      <c r="U52" s="4"/>
      <c r="V52" s="4"/>
      <c r="W52" s="4"/>
      <c r="X52" s="4"/>
      <c r="Y52" s="4"/>
      <c r="Z52" s="4"/>
    </row>
    <row r="53" customFormat="false" ht="31.5" hidden="false" customHeight="true" outlineLevel="0" collapsed="false">
      <c r="A53" s="97" t="s">
        <v>250</v>
      </c>
      <c r="B53" s="97" t="s">
        <v>203</v>
      </c>
      <c r="C53" s="97" t="s">
        <v>251</v>
      </c>
      <c r="D53" s="97" t="s">
        <v>205</v>
      </c>
      <c r="E53" s="97" t="s">
        <v>206</v>
      </c>
      <c r="F53" s="98" t="s">
        <v>207</v>
      </c>
      <c r="G53" s="4"/>
      <c r="H53" s="4"/>
      <c r="I53" s="4"/>
      <c r="J53" s="4"/>
      <c r="K53" s="4"/>
      <c r="L53" s="4"/>
      <c r="M53" s="4"/>
      <c r="N53" s="4"/>
      <c r="O53" s="4"/>
      <c r="P53" s="4"/>
      <c r="Q53" s="4"/>
      <c r="R53" s="4"/>
      <c r="S53" s="4"/>
      <c r="T53" s="4"/>
      <c r="U53" s="4"/>
      <c r="V53" s="4"/>
      <c r="W53" s="4"/>
      <c r="X53" s="4"/>
      <c r="Y53" s="4"/>
      <c r="Z53" s="4"/>
    </row>
    <row r="54" customFormat="false" ht="27.75" hidden="false" customHeight="true" outlineLevel="0" collapsed="false">
      <c r="A54" s="79" t="s">
        <v>332</v>
      </c>
      <c r="B54" s="21" t="s">
        <v>333</v>
      </c>
      <c r="C54" s="21" t="s">
        <v>334</v>
      </c>
      <c r="D54" s="21" t="s">
        <v>313</v>
      </c>
      <c r="E54" s="21" t="s">
        <v>335</v>
      </c>
      <c r="F54" s="81" t="s">
        <v>336</v>
      </c>
      <c r="G54" s="4"/>
      <c r="H54" s="4"/>
      <c r="I54" s="4"/>
      <c r="J54" s="4"/>
      <c r="K54" s="4"/>
      <c r="L54" s="4"/>
      <c r="M54" s="4"/>
      <c r="N54" s="4"/>
      <c r="O54" s="4"/>
      <c r="P54" s="4"/>
      <c r="Q54" s="4"/>
      <c r="R54" s="4"/>
      <c r="S54" s="4"/>
      <c r="T54" s="4"/>
      <c r="U54" s="4"/>
      <c r="V54" s="4"/>
      <c r="W54" s="4"/>
      <c r="X54" s="4"/>
      <c r="Y54" s="4"/>
      <c r="Z54" s="4"/>
    </row>
    <row r="55" customFormat="false" ht="27.75" hidden="false" customHeight="true" outlineLevel="0" collapsed="false">
      <c r="A55" s="79" t="s">
        <v>337</v>
      </c>
      <c r="B55" s="21" t="s">
        <v>338</v>
      </c>
      <c r="C55" s="21" t="s">
        <v>339</v>
      </c>
      <c r="D55" s="21" t="s">
        <v>313</v>
      </c>
      <c r="E55" s="82" t="s">
        <v>214</v>
      </c>
      <c r="F55" s="81" t="s">
        <v>340</v>
      </c>
      <c r="G55" s="4"/>
      <c r="H55" s="4"/>
      <c r="I55" s="4"/>
      <c r="J55" s="4"/>
      <c r="K55" s="4"/>
      <c r="L55" s="4"/>
      <c r="M55" s="4"/>
      <c r="N55" s="4"/>
      <c r="O55" s="4"/>
      <c r="P55" s="4"/>
      <c r="Q55" s="4"/>
      <c r="R55" s="4"/>
      <c r="S55" s="4"/>
      <c r="T55" s="4"/>
      <c r="U55" s="4"/>
      <c r="V55" s="4"/>
      <c r="W55" s="4"/>
      <c r="X55" s="4"/>
      <c r="Y55" s="4"/>
      <c r="Z55" s="4"/>
    </row>
    <row r="56" customFormat="false" ht="27.75" hidden="false" customHeight="true" outlineLevel="0" collapsed="false">
      <c r="A56" s="79" t="s">
        <v>341</v>
      </c>
      <c r="B56" s="21" t="str">
        <f aca="false">"Chấm trong "&amp;slaHomeworkGrading_hours&amp;"h"</f>
        <v>Chấm trong 48h</v>
      </c>
      <c r="C56" s="21" t="s">
        <v>342</v>
      </c>
      <c r="D56" s="21" t="s">
        <v>313</v>
      </c>
      <c r="E56" s="80" t="str">
        <f aca="false">HYPERLINK("#'CH2. Tham số &amp; Quy tắc'!A"&amp;MATCH("slaHomeworkGrading_hours",'CH2. Tham số &amp; Quy tắc'!$A:$A,0),slaHomeworkGrading_hours&amp;" giờ")</f>
        <v>48 giờ</v>
      </c>
      <c r="F56" s="81" t="s">
        <v>343</v>
      </c>
      <c r="G56" s="4"/>
      <c r="H56" s="4"/>
      <c r="I56" s="4"/>
      <c r="J56" s="4"/>
      <c r="K56" s="4"/>
      <c r="L56" s="4"/>
      <c r="M56" s="4"/>
      <c r="N56" s="4"/>
      <c r="O56" s="4"/>
      <c r="P56" s="4"/>
      <c r="Q56" s="4"/>
      <c r="R56" s="4"/>
      <c r="S56" s="4"/>
      <c r="T56" s="4"/>
      <c r="U56" s="4"/>
      <c r="V56" s="4"/>
      <c r="W56" s="4"/>
      <c r="X56" s="4"/>
      <c r="Y56" s="4"/>
      <c r="Z56" s="4"/>
    </row>
    <row r="57" customFormat="false" ht="27.75" hidden="false" customHeight="true" outlineLevel="0" collapsed="false">
      <c r="A57" s="79" t="s">
        <v>344</v>
      </c>
      <c r="B57" s="21" t="str">
        <f aca="false">"Quá "&amp;slaHomeworkGrading_hours&amp;"h chưa chấm"</f>
        <v>Quá 48h chưa chấm</v>
      </c>
      <c r="C57" s="82" t="s">
        <v>345</v>
      </c>
      <c r="D57" s="21" t="s">
        <v>313</v>
      </c>
      <c r="E57" s="82" t="s">
        <v>214</v>
      </c>
      <c r="F57" s="81" t="s">
        <v>343</v>
      </c>
      <c r="G57" s="4"/>
      <c r="H57" s="4"/>
      <c r="I57" s="4"/>
      <c r="J57" s="4"/>
      <c r="K57" s="4"/>
      <c r="L57" s="4"/>
      <c r="M57" s="4"/>
      <c r="N57" s="4"/>
      <c r="O57" s="4"/>
      <c r="P57" s="4"/>
      <c r="Q57" s="4"/>
      <c r="R57" s="4"/>
      <c r="S57" s="4"/>
      <c r="T57" s="4"/>
      <c r="U57" s="4"/>
      <c r="V57" s="4"/>
      <c r="W57" s="4"/>
      <c r="X57" s="4"/>
      <c r="Y57" s="4"/>
      <c r="Z57" s="4"/>
    </row>
    <row r="58" customFormat="false" ht="27.75" hidden="false" customHeight="true" outlineLevel="0" collapsed="false">
      <c r="A58" s="79" t="s">
        <v>346</v>
      </c>
      <c r="B58" s="21" t="s">
        <v>347</v>
      </c>
      <c r="C58" s="21" t="s">
        <v>348</v>
      </c>
      <c r="D58" s="21" t="s">
        <v>313</v>
      </c>
      <c r="E58" s="21" t="s">
        <v>349</v>
      </c>
      <c r="F58" s="81" t="s">
        <v>350</v>
      </c>
      <c r="G58" s="4"/>
      <c r="H58" s="4"/>
      <c r="I58" s="4"/>
      <c r="J58" s="4"/>
      <c r="K58" s="4"/>
      <c r="L58" s="4"/>
      <c r="M58" s="4"/>
      <c r="N58" s="4"/>
      <c r="O58" s="4"/>
      <c r="P58" s="4"/>
      <c r="Q58" s="4"/>
      <c r="R58" s="4"/>
      <c r="S58" s="4"/>
      <c r="T58" s="4"/>
      <c r="U58" s="4"/>
      <c r="V58" s="4"/>
      <c r="W58" s="4"/>
      <c r="X58" s="4"/>
      <c r="Y58" s="4"/>
      <c r="Z58" s="4"/>
    </row>
    <row r="59" customFormat="false" ht="1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31.5" hidden="false" customHeight="true" outlineLevel="0" collapsed="false">
      <c r="A60" s="99" t="s">
        <v>351</v>
      </c>
      <c r="B60" s="99"/>
      <c r="C60" s="99"/>
      <c r="D60" s="99"/>
      <c r="E60" s="99"/>
      <c r="F60" s="99"/>
      <c r="G60" s="4"/>
      <c r="H60" s="4"/>
      <c r="I60" s="4"/>
      <c r="J60" s="4"/>
      <c r="K60" s="4"/>
      <c r="L60" s="4"/>
      <c r="M60" s="4"/>
      <c r="N60" s="4"/>
      <c r="O60" s="4"/>
      <c r="P60" s="4"/>
      <c r="Q60" s="4"/>
      <c r="R60" s="4"/>
      <c r="S60" s="4"/>
      <c r="T60" s="4"/>
      <c r="U60" s="4"/>
      <c r="V60" s="4"/>
      <c r="W60" s="4"/>
      <c r="X60" s="4"/>
      <c r="Y60" s="4"/>
      <c r="Z60" s="4"/>
    </row>
    <row r="61" customFormat="false" ht="31.5" hidden="false" customHeight="true" outlineLevel="0" collapsed="false">
      <c r="A61" s="100" t="s">
        <v>250</v>
      </c>
      <c r="B61" s="100" t="s">
        <v>203</v>
      </c>
      <c r="C61" s="100" t="s">
        <v>251</v>
      </c>
      <c r="D61" s="100" t="s">
        <v>205</v>
      </c>
      <c r="E61" s="100" t="s">
        <v>206</v>
      </c>
      <c r="F61" s="101" t="s">
        <v>207</v>
      </c>
      <c r="G61" s="4"/>
      <c r="H61" s="4"/>
      <c r="I61" s="4"/>
      <c r="J61" s="4"/>
      <c r="K61" s="4"/>
      <c r="L61" s="4"/>
      <c r="M61" s="4"/>
      <c r="N61" s="4"/>
      <c r="O61" s="4"/>
      <c r="P61" s="4"/>
      <c r="Q61" s="4"/>
      <c r="R61" s="4"/>
      <c r="S61" s="4"/>
      <c r="T61" s="4"/>
      <c r="U61" s="4"/>
      <c r="V61" s="4"/>
      <c r="W61" s="4"/>
      <c r="X61" s="4"/>
      <c r="Y61" s="4"/>
      <c r="Z61" s="4"/>
    </row>
    <row r="62" customFormat="false" ht="27.75" hidden="false" customHeight="true" outlineLevel="0" collapsed="false">
      <c r="A62" s="79" t="s">
        <v>352</v>
      </c>
      <c r="B62" s="21" t="s">
        <v>353</v>
      </c>
      <c r="C62" s="21" t="s">
        <v>354</v>
      </c>
      <c r="D62" s="21" t="s">
        <v>355</v>
      </c>
      <c r="E62" s="82" t="s">
        <v>214</v>
      </c>
      <c r="F62" s="81" t="s">
        <v>356</v>
      </c>
      <c r="G62" s="4"/>
      <c r="H62" s="4"/>
      <c r="I62" s="4"/>
      <c r="J62" s="4"/>
      <c r="K62" s="4"/>
      <c r="L62" s="4"/>
      <c r="M62" s="4"/>
      <c r="N62" s="4"/>
      <c r="O62" s="4"/>
      <c r="P62" s="4"/>
      <c r="Q62" s="4"/>
      <c r="R62" s="4"/>
      <c r="S62" s="4"/>
      <c r="T62" s="4"/>
      <c r="U62" s="4"/>
      <c r="V62" s="4"/>
      <c r="W62" s="4"/>
      <c r="X62" s="4"/>
      <c r="Y62" s="4"/>
      <c r="Z62" s="4"/>
    </row>
    <row r="63" customFormat="false" ht="27.75" hidden="false" customHeight="true" outlineLevel="0" collapsed="false">
      <c r="A63" s="79" t="s">
        <v>357</v>
      </c>
      <c r="B63" s="21" t="s">
        <v>358</v>
      </c>
      <c r="C63" s="21" t="s">
        <v>359</v>
      </c>
      <c r="D63" s="21" t="s">
        <v>276</v>
      </c>
      <c r="E63" s="21" t="str">
        <f aca="false">HYPERLINK("#'CH2. Tham số &amp; Quy tắc'!A"&amp;MATCH("slaWowBooking_hours",'CH2. Tham số &amp; Quy tắc'!$A:$A,0),slaWowBooking_hours&amp;" giờ")</f>
        <v>24 giờ</v>
      </c>
      <c r="F63" s="81" t="s">
        <v>356</v>
      </c>
      <c r="G63" s="4"/>
      <c r="H63" s="4"/>
      <c r="I63" s="4"/>
      <c r="J63" s="4"/>
      <c r="K63" s="4"/>
      <c r="L63" s="4"/>
      <c r="M63" s="4"/>
      <c r="N63" s="4"/>
      <c r="O63" s="4"/>
      <c r="P63" s="4"/>
      <c r="Q63" s="4"/>
      <c r="R63" s="4"/>
      <c r="S63" s="4"/>
      <c r="T63" s="4"/>
      <c r="U63" s="4"/>
      <c r="V63" s="4"/>
      <c r="W63" s="4"/>
      <c r="X63" s="4"/>
      <c r="Y63" s="4"/>
      <c r="Z63" s="4"/>
    </row>
    <row r="64" customFormat="false" ht="27.75" hidden="false" customHeight="true" outlineLevel="0" collapsed="false">
      <c r="A64" s="79" t="s">
        <v>360</v>
      </c>
      <c r="B64" s="21" t="s">
        <v>361</v>
      </c>
      <c r="C64" s="21" t="s">
        <v>362</v>
      </c>
      <c r="D64" s="21" t="s">
        <v>363</v>
      </c>
      <c r="E64" s="21" t="str">
        <f aca="false">HYPERLINK("#'CH2. Tham số &amp; Quy tắc'!A"&amp;MATCH("slaWowBooking_hours",'CH2. Tham số &amp; Quy tắc'!$A:$A,0),slaWowBooking_hours&amp;" giờ")</f>
        <v>24 giờ</v>
      </c>
      <c r="F64" s="81" t="s">
        <v>364</v>
      </c>
      <c r="G64" s="4"/>
      <c r="H64" s="4"/>
      <c r="I64" s="4"/>
      <c r="J64" s="4"/>
      <c r="K64" s="4"/>
      <c r="L64" s="4"/>
      <c r="M64" s="4"/>
      <c r="N64" s="4"/>
      <c r="O64" s="4"/>
      <c r="P64" s="4"/>
      <c r="Q64" s="4"/>
      <c r="R64" s="4"/>
      <c r="S64" s="4"/>
      <c r="T64" s="4"/>
      <c r="U64" s="4"/>
      <c r="V64" s="4"/>
      <c r="W64" s="4"/>
      <c r="X64" s="4"/>
      <c r="Y64" s="4"/>
      <c r="Z64" s="4"/>
    </row>
    <row r="65" customFormat="false" ht="27.75" hidden="false" customHeight="true" outlineLevel="0" collapsed="false">
      <c r="A65" s="79" t="s">
        <v>365</v>
      </c>
      <c r="B65" s="21" t="s">
        <v>366</v>
      </c>
      <c r="C65" s="21" t="s">
        <v>367</v>
      </c>
      <c r="D65" s="21" t="s">
        <v>368</v>
      </c>
      <c r="E65" s="21" t="str">
        <f aca="false">HYPERLINK("#'CH2. Tham số &amp; Quy tắc'!A"&amp;MATCH("slaWowBooking_hours",'CH2. Tham số &amp; Quy tắc'!$A:$A,0),slaWowBooking_hours&amp;" giờ")</f>
        <v>24 giờ</v>
      </c>
      <c r="F65" s="81" t="s">
        <v>364</v>
      </c>
      <c r="G65" s="4"/>
      <c r="H65" s="4"/>
      <c r="I65" s="4"/>
      <c r="J65" s="4"/>
      <c r="K65" s="4"/>
      <c r="L65" s="4"/>
      <c r="M65" s="4"/>
      <c r="N65" s="4"/>
      <c r="O65" s="4"/>
      <c r="P65" s="4"/>
      <c r="Q65" s="4"/>
      <c r="R65" s="4"/>
      <c r="S65" s="4"/>
      <c r="T65" s="4"/>
      <c r="U65" s="4"/>
      <c r="V65" s="4"/>
      <c r="W65" s="4"/>
      <c r="X65" s="4"/>
      <c r="Y65" s="4"/>
      <c r="Z65" s="4"/>
    </row>
    <row r="66" customFormat="false" ht="27.75" hidden="false" customHeight="true" outlineLevel="0" collapsed="false">
      <c r="A66" s="79" t="s">
        <v>369</v>
      </c>
      <c r="B66" s="21" t="s">
        <v>370</v>
      </c>
      <c r="C66" s="21" t="s">
        <v>371</v>
      </c>
      <c r="D66" s="21" t="s">
        <v>276</v>
      </c>
      <c r="E66" s="21" t="str">
        <f aca="false">HYPERLINK("#'CH2. Tham số &amp; Quy tắc'!A"&amp;MATCH("slaWowBooking_hours",'CH2. Tham số &amp; Quy tắc'!$A:$A,0),slaWowBooking_hours&amp;" giờ")</f>
        <v>24 giờ</v>
      </c>
      <c r="F66" s="81" t="s">
        <v>364</v>
      </c>
      <c r="G66" s="4"/>
      <c r="H66" s="4"/>
      <c r="I66" s="4"/>
      <c r="J66" s="4"/>
      <c r="K66" s="4"/>
      <c r="L66" s="4"/>
      <c r="M66" s="4"/>
      <c r="N66" s="4"/>
      <c r="O66" s="4"/>
      <c r="P66" s="4"/>
      <c r="Q66" s="4"/>
      <c r="R66" s="4"/>
      <c r="S66" s="4"/>
      <c r="T66" s="4"/>
      <c r="U66" s="4"/>
      <c r="V66" s="4"/>
      <c r="W66" s="4"/>
      <c r="X66" s="4"/>
      <c r="Y66" s="4"/>
      <c r="Z66" s="4"/>
    </row>
    <row r="67" customFormat="false" ht="27.75" hidden="false" customHeight="true" outlineLevel="0" collapsed="false">
      <c r="A67" s="79" t="s">
        <v>372</v>
      </c>
      <c r="B67" s="21" t="s">
        <v>373</v>
      </c>
      <c r="C67" s="21" t="s">
        <v>374</v>
      </c>
      <c r="D67" s="21" t="s">
        <v>96</v>
      </c>
      <c r="E67" s="21" t="s">
        <v>291</v>
      </c>
      <c r="F67" s="81" t="s">
        <v>265</v>
      </c>
      <c r="G67" s="4"/>
      <c r="H67" s="4"/>
      <c r="I67" s="4"/>
      <c r="J67" s="4"/>
      <c r="K67" s="4"/>
      <c r="L67" s="4"/>
      <c r="M67" s="4"/>
      <c r="N67" s="4"/>
      <c r="O67" s="4"/>
      <c r="P67" s="4"/>
      <c r="Q67" s="4"/>
      <c r="R67" s="4"/>
      <c r="S67" s="4"/>
      <c r="T67" s="4"/>
      <c r="U67" s="4"/>
      <c r="V67" s="4"/>
      <c r="W67" s="4"/>
      <c r="X67" s="4"/>
      <c r="Y67" s="4"/>
      <c r="Z67" s="4"/>
    </row>
    <row r="68" customFormat="false" ht="27.75" hidden="false" customHeight="true" outlineLevel="0" collapsed="false">
      <c r="A68" s="79" t="s">
        <v>375</v>
      </c>
      <c r="B68" s="21" t="s">
        <v>376</v>
      </c>
      <c r="C68" s="82" t="str">
        <f aca="false">"Viết content_note (SLA "&amp;slaWowOutcomeRead_hours&amp;"h)"</f>
        <v>Viết content_note (SLA 24h)</v>
      </c>
      <c r="D68" s="21" t="s">
        <v>96</v>
      </c>
      <c r="E68" s="80" t="str">
        <f aca="false">HYPERLINK("#'CH2. Tham số &amp; Quy tắc'!A"&amp;MATCH("slaWowOutcomeRead_hours",'CH2. Tham số &amp; Quy tắc'!$A:$A,0),slaWowOutcomeRead_hours&amp;" giờ")</f>
        <v>24 giờ</v>
      </c>
      <c r="F68" s="81" t="s">
        <v>377</v>
      </c>
      <c r="G68" s="4"/>
      <c r="H68" s="4"/>
      <c r="I68" s="4"/>
      <c r="J68" s="4"/>
      <c r="K68" s="4"/>
      <c r="L68" s="4"/>
      <c r="M68" s="4"/>
      <c r="N68" s="4"/>
      <c r="O68" s="4"/>
      <c r="P68" s="4"/>
      <c r="Q68" s="4"/>
      <c r="R68" s="4"/>
      <c r="S68" s="4"/>
      <c r="T68" s="4"/>
      <c r="U68" s="4"/>
      <c r="V68" s="4"/>
      <c r="W68" s="4"/>
      <c r="X68" s="4"/>
      <c r="Y68" s="4"/>
      <c r="Z68" s="4"/>
    </row>
    <row r="69" customFormat="false" ht="27.75" hidden="false" customHeight="true" outlineLevel="0" collapsed="false">
      <c r="A69" s="79" t="s">
        <v>378</v>
      </c>
      <c r="B69" s="21" t="s">
        <v>379</v>
      </c>
      <c r="C69" s="21" t="s">
        <v>380</v>
      </c>
      <c r="D69" s="21" t="s">
        <v>96</v>
      </c>
      <c r="E69" s="21" t="s">
        <v>349</v>
      </c>
      <c r="F69" s="81" t="s">
        <v>381</v>
      </c>
      <c r="G69" s="4"/>
      <c r="H69" s="4"/>
      <c r="I69" s="4"/>
      <c r="J69" s="4"/>
      <c r="K69" s="4"/>
      <c r="L69" s="4"/>
      <c r="M69" s="4"/>
      <c r="N69" s="4"/>
      <c r="O69" s="4"/>
      <c r="P69" s="4"/>
      <c r="Q69" s="4"/>
      <c r="R69" s="4"/>
      <c r="S69" s="4"/>
      <c r="T69" s="4"/>
      <c r="U69" s="4"/>
      <c r="V69" s="4"/>
      <c r="W69" s="4"/>
      <c r="X69" s="4"/>
      <c r="Y69" s="4"/>
      <c r="Z69" s="4"/>
    </row>
    <row r="70" customFormat="false" ht="27.75" hidden="false" customHeight="true" outlineLevel="0" collapsed="false">
      <c r="A70" s="79" t="s">
        <v>382</v>
      </c>
      <c r="B70" s="21" t="s">
        <v>220</v>
      </c>
      <c r="C70" s="21" t="s">
        <v>383</v>
      </c>
      <c r="D70" s="21" t="s">
        <v>384</v>
      </c>
      <c r="E70" s="82" t="s">
        <v>214</v>
      </c>
      <c r="F70" s="81" t="s">
        <v>385</v>
      </c>
      <c r="G70" s="4"/>
      <c r="H70" s="4"/>
      <c r="I70" s="4"/>
      <c r="J70" s="4"/>
      <c r="K70" s="4"/>
      <c r="L70" s="4"/>
      <c r="M70" s="4"/>
      <c r="N70" s="4"/>
      <c r="O70" s="4"/>
      <c r="P70" s="4"/>
      <c r="Q70" s="4"/>
      <c r="R70" s="4"/>
      <c r="S70" s="4"/>
      <c r="T70" s="4"/>
      <c r="U70" s="4"/>
      <c r="V70" s="4"/>
      <c r="W70" s="4"/>
      <c r="X70" s="4"/>
      <c r="Y70" s="4"/>
      <c r="Z70" s="4"/>
    </row>
    <row r="71" customFormat="false" ht="1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31.5" hidden="false" customHeight="true" outlineLevel="0" collapsed="false">
      <c r="A72" s="102" t="s">
        <v>386</v>
      </c>
      <c r="B72" s="102"/>
      <c r="C72" s="102"/>
      <c r="D72" s="102"/>
      <c r="E72" s="102"/>
      <c r="F72" s="102"/>
      <c r="G72" s="4"/>
      <c r="H72" s="4"/>
      <c r="I72" s="4"/>
      <c r="J72" s="4"/>
      <c r="K72" s="4"/>
      <c r="L72" s="4"/>
      <c r="M72" s="4"/>
      <c r="N72" s="4"/>
      <c r="O72" s="4"/>
      <c r="P72" s="4"/>
      <c r="Q72" s="4"/>
      <c r="R72" s="4"/>
      <c r="S72" s="4"/>
      <c r="T72" s="4"/>
      <c r="U72" s="4"/>
      <c r="V72" s="4"/>
      <c r="W72" s="4"/>
      <c r="X72" s="4"/>
      <c r="Y72" s="4"/>
      <c r="Z72" s="4"/>
    </row>
    <row r="73" customFormat="false" ht="31.5" hidden="false" customHeight="true" outlineLevel="0" collapsed="false">
      <c r="A73" s="103" t="s">
        <v>387</v>
      </c>
      <c r="B73" s="103" t="s">
        <v>203</v>
      </c>
      <c r="C73" s="103" t="s">
        <v>251</v>
      </c>
      <c r="D73" s="103" t="s">
        <v>205</v>
      </c>
      <c r="E73" s="103" t="s">
        <v>206</v>
      </c>
      <c r="F73" s="104" t="s">
        <v>207</v>
      </c>
      <c r="G73" s="4"/>
      <c r="H73" s="4"/>
      <c r="I73" s="4"/>
      <c r="J73" s="4"/>
      <c r="K73" s="4"/>
      <c r="L73" s="4"/>
      <c r="M73" s="4"/>
      <c r="N73" s="4"/>
      <c r="O73" s="4"/>
      <c r="P73" s="4"/>
      <c r="Q73" s="4"/>
      <c r="R73" s="4"/>
      <c r="S73" s="4"/>
      <c r="T73" s="4"/>
      <c r="U73" s="4"/>
      <c r="V73" s="4"/>
      <c r="W73" s="4"/>
      <c r="X73" s="4"/>
      <c r="Y73" s="4"/>
      <c r="Z73" s="4"/>
    </row>
    <row r="74" customFormat="false" ht="27.75" hidden="false" customHeight="true" outlineLevel="0" collapsed="false">
      <c r="A74" s="79" t="s">
        <v>388</v>
      </c>
      <c r="B74" s="21" t="s">
        <v>389</v>
      </c>
      <c r="C74" s="21" t="s">
        <v>390</v>
      </c>
      <c r="D74" s="21" t="s">
        <v>276</v>
      </c>
      <c r="E74" s="21" t="s">
        <v>391</v>
      </c>
      <c r="F74" s="81" t="s">
        <v>392</v>
      </c>
      <c r="G74" s="4"/>
      <c r="H74" s="4"/>
      <c r="I74" s="4"/>
      <c r="J74" s="4"/>
      <c r="K74" s="4"/>
      <c r="L74" s="4"/>
      <c r="M74" s="4"/>
      <c r="N74" s="4"/>
      <c r="O74" s="4"/>
      <c r="P74" s="4"/>
      <c r="Q74" s="4"/>
      <c r="R74" s="4"/>
      <c r="S74" s="4"/>
      <c r="T74" s="4"/>
      <c r="U74" s="4"/>
      <c r="V74" s="4"/>
      <c r="W74" s="4"/>
      <c r="X74" s="4"/>
      <c r="Y74" s="4"/>
      <c r="Z74" s="4"/>
    </row>
    <row r="75" customFormat="false" ht="27.75" hidden="false" customHeight="true" outlineLevel="0" collapsed="false">
      <c r="A75" s="79" t="s">
        <v>393</v>
      </c>
      <c r="B75" s="21" t="s">
        <v>394</v>
      </c>
      <c r="C75" s="21" t="s">
        <v>395</v>
      </c>
      <c r="D75" s="21" t="s">
        <v>276</v>
      </c>
      <c r="E75" s="21" t="str">
        <f aca="false">HYPERLINK("#'CH2. Tham số &amp; Quy tắc'!A"&amp;MATCH("slaSurveyCollect_days",'CH2. Tham số &amp; Quy tắc'!$A:$A,0),slaSurveyCollect_days&amp;" ngày")</f>
        <v>7 ngày</v>
      </c>
      <c r="F75" s="81" t="s">
        <v>396</v>
      </c>
      <c r="G75" s="4"/>
      <c r="H75" s="4"/>
      <c r="I75" s="4"/>
      <c r="J75" s="4"/>
      <c r="K75" s="4"/>
      <c r="L75" s="4"/>
      <c r="M75" s="4"/>
      <c r="N75" s="4"/>
      <c r="O75" s="4"/>
      <c r="P75" s="4"/>
      <c r="Q75" s="4"/>
      <c r="R75" s="4"/>
      <c r="S75" s="4"/>
      <c r="T75" s="4"/>
      <c r="U75" s="4"/>
      <c r="V75" s="4"/>
      <c r="W75" s="4"/>
      <c r="X75" s="4"/>
      <c r="Y75" s="4"/>
      <c r="Z75" s="4"/>
    </row>
    <row r="76" customFormat="false" ht="27.75" hidden="false" customHeight="true" outlineLevel="0" collapsed="false">
      <c r="A76" s="79" t="s">
        <v>397</v>
      </c>
      <c r="B76" s="21" t="s">
        <v>398</v>
      </c>
      <c r="C76" s="21" t="s">
        <v>399</v>
      </c>
      <c r="D76" s="21" t="s">
        <v>276</v>
      </c>
      <c r="E76" s="21" t="str">
        <f aca="false">HYPERLINK("#'CH2. Tham số &amp; Quy tắc'!A"&amp;MATCH("slaSurveyCollect_days",'CH2. Tham số &amp; Quy tắc'!$A:$A,0),slaSurveyCollect_days&amp;" ngày")</f>
        <v>7 ngày</v>
      </c>
      <c r="F76" s="81" t="s">
        <v>400</v>
      </c>
      <c r="G76" s="4"/>
      <c r="H76" s="4"/>
      <c r="I76" s="4"/>
      <c r="J76" s="4"/>
      <c r="K76" s="4"/>
      <c r="L76" s="4"/>
      <c r="M76" s="4"/>
      <c r="N76" s="4"/>
      <c r="O76" s="4"/>
      <c r="P76" s="4"/>
      <c r="Q76" s="4"/>
      <c r="R76" s="4"/>
      <c r="S76" s="4"/>
      <c r="T76" s="4"/>
      <c r="U76" s="4"/>
      <c r="V76" s="4"/>
      <c r="W76" s="4"/>
      <c r="X76" s="4"/>
      <c r="Y76" s="4"/>
      <c r="Z76" s="4"/>
    </row>
    <row r="77" customFormat="false" ht="27.75" hidden="false" customHeight="true" outlineLevel="0" collapsed="false">
      <c r="A77" s="79" t="s">
        <v>401</v>
      </c>
      <c r="B77" s="21" t="s">
        <v>402</v>
      </c>
      <c r="C77" s="21" t="s">
        <v>403</v>
      </c>
      <c r="D77" s="21" t="s">
        <v>276</v>
      </c>
      <c r="E77" s="21" t="s">
        <v>404</v>
      </c>
      <c r="F77" s="81" t="s">
        <v>405</v>
      </c>
      <c r="G77" s="4"/>
      <c r="H77" s="4"/>
      <c r="I77" s="4"/>
      <c r="J77" s="4"/>
      <c r="K77" s="4"/>
      <c r="L77" s="4"/>
      <c r="M77" s="4"/>
      <c r="N77" s="4"/>
      <c r="O77" s="4"/>
      <c r="P77" s="4"/>
      <c r="Q77" s="4"/>
      <c r="R77" s="4"/>
      <c r="S77" s="4"/>
      <c r="T77" s="4"/>
      <c r="U77" s="4"/>
      <c r="V77" s="4"/>
      <c r="W77" s="4"/>
      <c r="X77" s="4"/>
      <c r="Y77" s="4"/>
      <c r="Z77" s="4"/>
    </row>
    <row r="78" customFormat="false" ht="27.75" hidden="false" customHeight="true" outlineLevel="0" collapsed="false">
      <c r="A78" s="79" t="s">
        <v>406</v>
      </c>
      <c r="B78" s="21" t="s">
        <v>407</v>
      </c>
      <c r="C78" s="21" t="s">
        <v>408</v>
      </c>
      <c r="D78" s="21" t="s">
        <v>409</v>
      </c>
      <c r="E78" s="21" t="str">
        <f aca="false">HYPERLINK("#'CH2. Tham số &amp; Quy tắc'!A"&amp;MATCH("slaTestimonialAsk_days",'CH2. Tham số &amp; Quy tắc'!$A:$A,0),slaTestimonialAsk_days&amp;" ngày")</f>
        <v>7 ngày</v>
      </c>
      <c r="F78" s="81" t="s">
        <v>410</v>
      </c>
      <c r="G78" s="4"/>
      <c r="H78" s="4"/>
      <c r="I78" s="4"/>
      <c r="J78" s="4"/>
      <c r="K78" s="4"/>
      <c r="L78" s="4"/>
      <c r="M78" s="4"/>
      <c r="N78" s="4"/>
      <c r="O78" s="4"/>
      <c r="P78" s="4"/>
      <c r="Q78" s="4"/>
      <c r="R78" s="4"/>
      <c r="S78" s="4"/>
      <c r="T78" s="4"/>
      <c r="U78" s="4"/>
      <c r="V78" s="4"/>
      <c r="W78" s="4"/>
      <c r="X78" s="4"/>
      <c r="Y78" s="4"/>
      <c r="Z78" s="4"/>
    </row>
    <row r="79" customFormat="false" ht="27.75" hidden="false" customHeight="true" outlineLevel="0" collapsed="false">
      <c r="A79" s="79" t="s">
        <v>411</v>
      </c>
      <c r="B79" s="21" t="s">
        <v>412</v>
      </c>
      <c r="C79" s="21" t="s">
        <v>413</v>
      </c>
      <c r="D79" s="21" t="s">
        <v>276</v>
      </c>
      <c r="E79" s="80" t="str">
        <f aca="false">HYPERLINK("#'CH2. Tham số &amp; Quy tắc'!A"&amp;MATCH("slaSurveyReport_hours",'CH2. Tham số &amp; Quy tắc'!$A:$A,0),slaSurveyReport_hours&amp;" giờ")</f>
        <v>48 giờ</v>
      </c>
      <c r="F79" s="81" t="s">
        <v>414</v>
      </c>
      <c r="G79" s="4"/>
      <c r="H79" s="4"/>
      <c r="I79" s="4"/>
      <c r="J79" s="4"/>
      <c r="K79" s="4"/>
      <c r="L79" s="4"/>
      <c r="M79" s="4"/>
      <c r="N79" s="4"/>
      <c r="O79" s="4"/>
      <c r="P79" s="4"/>
      <c r="Q79" s="4"/>
      <c r="R79" s="4"/>
      <c r="S79" s="4"/>
      <c r="T79" s="4"/>
      <c r="U79" s="4"/>
      <c r="V79" s="4"/>
      <c r="W79" s="4"/>
      <c r="X79" s="4"/>
      <c r="Y79" s="4"/>
      <c r="Z79" s="4"/>
    </row>
    <row r="80" customFormat="false" ht="1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31.5" hidden="false" customHeight="true" outlineLevel="0" collapsed="false">
      <c r="A81" s="105" t="s">
        <v>415</v>
      </c>
      <c r="B81" s="105"/>
      <c r="C81" s="105"/>
      <c r="D81" s="105"/>
      <c r="E81" s="105"/>
      <c r="F81" s="105"/>
      <c r="G81" s="4"/>
      <c r="H81" s="4"/>
      <c r="I81" s="4"/>
      <c r="J81" s="4"/>
      <c r="K81" s="4"/>
      <c r="L81" s="4"/>
      <c r="M81" s="4"/>
      <c r="N81" s="4"/>
      <c r="O81" s="4"/>
      <c r="P81" s="4"/>
      <c r="Q81" s="4"/>
      <c r="R81" s="4"/>
      <c r="S81" s="4"/>
      <c r="T81" s="4"/>
      <c r="U81" s="4"/>
      <c r="V81" s="4"/>
      <c r="W81" s="4"/>
      <c r="X81" s="4"/>
      <c r="Y81" s="4"/>
      <c r="Z81" s="4"/>
    </row>
    <row r="82" customFormat="false" ht="31.5" hidden="false" customHeight="true" outlineLevel="0" collapsed="false">
      <c r="A82" s="106" t="s">
        <v>250</v>
      </c>
      <c r="B82" s="106" t="s">
        <v>203</v>
      </c>
      <c r="C82" s="106" t="s">
        <v>251</v>
      </c>
      <c r="D82" s="106" t="s">
        <v>205</v>
      </c>
      <c r="E82" s="106" t="s">
        <v>206</v>
      </c>
      <c r="F82" s="107" t="s">
        <v>207</v>
      </c>
      <c r="G82" s="4"/>
      <c r="H82" s="4"/>
      <c r="I82" s="4"/>
      <c r="J82" s="4"/>
      <c r="K82" s="4"/>
      <c r="L82" s="4"/>
      <c r="M82" s="4"/>
      <c r="N82" s="4"/>
      <c r="O82" s="4"/>
      <c r="P82" s="4"/>
      <c r="Q82" s="4"/>
      <c r="R82" s="4"/>
      <c r="S82" s="4"/>
      <c r="T82" s="4"/>
      <c r="U82" s="4"/>
      <c r="V82" s="4"/>
      <c r="W82" s="4"/>
      <c r="X82" s="4"/>
      <c r="Y82" s="4"/>
      <c r="Z82" s="4"/>
    </row>
    <row r="83" customFormat="false" ht="27.75" hidden="false" customHeight="true" outlineLevel="0" collapsed="false">
      <c r="A83" s="79" t="s">
        <v>416</v>
      </c>
      <c r="B83" s="21" t="s">
        <v>417</v>
      </c>
      <c r="C83" s="21" t="s">
        <v>418</v>
      </c>
      <c r="D83" s="21" t="s">
        <v>276</v>
      </c>
      <c r="E83" s="80" t="str">
        <f aca="false">HYPERLINK("#'CH2. Tham số &amp; Quy tắc'!A"&amp;MATCH("slaFB_classify_hours",'CH2. Tham số &amp; Quy tắc'!$A:$A,0),slaFB_classify_hours&amp;" giờ")</f>
        <v>24 giờ</v>
      </c>
      <c r="F83" s="81" t="s">
        <v>419</v>
      </c>
      <c r="G83" s="4"/>
      <c r="H83" s="4"/>
      <c r="I83" s="4"/>
      <c r="J83" s="4"/>
      <c r="K83" s="4"/>
      <c r="L83" s="4"/>
      <c r="M83" s="4"/>
      <c r="N83" s="4"/>
      <c r="O83" s="4"/>
      <c r="P83" s="4"/>
      <c r="Q83" s="4"/>
      <c r="R83" s="4"/>
      <c r="S83" s="4"/>
      <c r="T83" s="4"/>
      <c r="U83" s="4"/>
      <c r="V83" s="4"/>
      <c r="W83" s="4"/>
      <c r="X83" s="4"/>
      <c r="Y83" s="4"/>
      <c r="Z83" s="4"/>
    </row>
    <row r="84" customFormat="false" ht="27.75" hidden="false" customHeight="true" outlineLevel="0" collapsed="false">
      <c r="A84" s="79" t="s">
        <v>420</v>
      </c>
      <c r="B84" s="21" t="s">
        <v>421</v>
      </c>
      <c r="C84" s="82" t="s">
        <v>422</v>
      </c>
      <c r="D84" s="21" t="s">
        <v>423</v>
      </c>
      <c r="E84" s="80" t="str">
        <f aca="false">HYPERLINK("#'CH2. Tham số &amp; Quy tắc'!A"&amp;MATCH("slaKN_high_hours",'CH2. Tham số &amp; Quy tắc'!$A:$A,0),slaKN_high_hours&amp;" giờ")</f>
        <v>4 giờ</v>
      </c>
      <c r="F84" s="81" t="s">
        <v>292</v>
      </c>
      <c r="G84" s="4"/>
      <c r="H84" s="4"/>
      <c r="I84" s="4"/>
      <c r="J84" s="4"/>
      <c r="K84" s="4"/>
      <c r="L84" s="4"/>
      <c r="M84" s="4"/>
      <c r="N84" s="4"/>
      <c r="O84" s="4"/>
      <c r="P84" s="4"/>
      <c r="Q84" s="4"/>
      <c r="R84" s="4"/>
      <c r="S84" s="4"/>
      <c r="T84" s="4"/>
      <c r="U84" s="4"/>
      <c r="V84" s="4"/>
      <c r="W84" s="4"/>
      <c r="X84" s="4"/>
      <c r="Y84" s="4"/>
      <c r="Z84" s="4"/>
    </row>
    <row r="85" customFormat="false" ht="27.75" hidden="false" customHeight="true" outlineLevel="0" collapsed="false">
      <c r="A85" s="79" t="s">
        <v>424</v>
      </c>
      <c r="B85" s="21" t="s">
        <v>425</v>
      </c>
      <c r="C85" s="21" t="s">
        <v>426</v>
      </c>
      <c r="D85" s="21" t="s">
        <v>276</v>
      </c>
      <c r="E85" s="80" t="str">
        <f aca="false">HYPERLINK("#'CH2. Tham số &amp; Quy tắc'!A"&amp;MATCH("slaKN_medium_hours",'CH2. Tham số &amp; Quy tắc'!$A:$A,0),slaKN_medium_hours&amp;" giờ")</f>
        <v>48 giờ</v>
      </c>
      <c r="F85" s="81" t="s">
        <v>292</v>
      </c>
      <c r="G85" s="4"/>
      <c r="H85" s="4"/>
      <c r="I85" s="4"/>
      <c r="J85" s="4"/>
      <c r="K85" s="4"/>
      <c r="L85" s="4"/>
      <c r="M85" s="4"/>
      <c r="N85" s="4"/>
      <c r="O85" s="4"/>
      <c r="P85" s="4"/>
      <c r="Q85" s="4"/>
      <c r="R85" s="4"/>
      <c r="S85" s="4"/>
      <c r="T85" s="4"/>
      <c r="U85" s="4"/>
      <c r="V85" s="4"/>
      <c r="W85" s="4"/>
      <c r="X85" s="4"/>
      <c r="Y85" s="4"/>
      <c r="Z85" s="4"/>
    </row>
    <row r="86" customFormat="false" ht="27.75" hidden="false" customHeight="true" outlineLevel="0" collapsed="false">
      <c r="A86" s="79" t="s">
        <v>427</v>
      </c>
      <c r="B86" s="21" t="s">
        <v>428</v>
      </c>
      <c r="C86" s="21" t="s">
        <v>429</v>
      </c>
      <c r="D86" s="21" t="s">
        <v>276</v>
      </c>
      <c r="E86" s="21" t="str">
        <f aca="false">HYPERLINK("#'CH2. Tham số &amp; Quy tắc'!A"&amp;MATCH("slaTestimonialAsk_days",'CH2. Tham số &amp; Quy tắc'!$A:$A,0),slaTestimonialAsk_days&amp;" ngày")</f>
        <v>7 ngày</v>
      </c>
      <c r="F86" s="81" t="s">
        <v>430</v>
      </c>
      <c r="G86" s="4"/>
      <c r="H86" s="4"/>
      <c r="I86" s="4"/>
      <c r="J86" s="4"/>
      <c r="K86" s="4"/>
      <c r="L86" s="4"/>
      <c r="M86" s="4"/>
      <c r="N86" s="4"/>
      <c r="O86" s="4"/>
      <c r="P86" s="4"/>
      <c r="Q86" s="4"/>
      <c r="R86" s="4"/>
      <c r="S86" s="4"/>
      <c r="T86" s="4"/>
      <c r="U86" s="4"/>
      <c r="V86" s="4"/>
      <c r="W86" s="4"/>
      <c r="X86" s="4"/>
      <c r="Y86" s="4"/>
      <c r="Z86" s="4"/>
    </row>
    <row r="87" customFormat="false" ht="27.75" hidden="false" customHeight="true" outlineLevel="0" collapsed="false">
      <c r="A87" s="79" t="s">
        <v>431</v>
      </c>
      <c r="B87" s="21" t="s">
        <v>432</v>
      </c>
      <c r="C87" s="21" t="s">
        <v>433</v>
      </c>
      <c r="D87" s="21" t="s">
        <v>409</v>
      </c>
      <c r="E87" s="21" t="str">
        <f aca="false">HYPERLINK("#'CH2. Tham số &amp; Quy tắc'!A"&amp;MATCH("slaTestimonialAsk_days",'CH2. Tham số &amp; Quy tắc'!$A:$A,0),slaTestimonialAsk_days&amp;" ngày")</f>
        <v>7 ngày</v>
      </c>
      <c r="F87" s="81" t="s">
        <v>410</v>
      </c>
      <c r="G87" s="4"/>
      <c r="H87" s="4"/>
      <c r="I87" s="4"/>
      <c r="J87" s="4"/>
      <c r="K87" s="4"/>
      <c r="L87" s="4"/>
      <c r="M87" s="4"/>
      <c r="N87" s="4"/>
      <c r="O87" s="4"/>
      <c r="P87" s="4"/>
      <c r="Q87" s="4"/>
      <c r="R87" s="4"/>
      <c r="S87" s="4"/>
      <c r="T87" s="4"/>
      <c r="U87" s="4"/>
      <c r="V87" s="4"/>
      <c r="W87" s="4"/>
      <c r="X87" s="4"/>
      <c r="Y87" s="4"/>
      <c r="Z87" s="4"/>
    </row>
    <row r="88" customFormat="false" ht="27.75" hidden="false" customHeight="true" outlineLevel="0" collapsed="false">
      <c r="A88" s="79" t="s">
        <v>434</v>
      </c>
      <c r="B88" s="21" t="s">
        <v>435</v>
      </c>
      <c r="C88" s="21" t="s">
        <v>436</v>
      </c>
      <c r="D88" s="21" t="s">
        <v>276</v>
      </c>
      <c r="E88" s="21" t="s">
        <v>220</v>
      </c>
      <c r="F88" s="81" t="s">
        <v>437</v>
      </c>
      <c r="G88" s="4"/>
      <c r="H88" s="4"/>
      <c r="I88" s="4"/>
      <c r="J88" s="4"/>
      <c r="K88" s="4"/>
      <c r="L88" s="4"/>
      <c r="M88" s="4"/>
      <c r="N88" s="4"/>
      <c r="O88" s="4"/>
      <c r="P88" s="4"/>
      <c r="Q88" s="4"/>
      <c r="R88" s="4"/>
      <c r="S88" s="4"/>
      <c r="T88" s="4"/>
      <c r="U88" s="4"/>
      <c r="V88" s="4"/>
      <c r="W88" s="4"/>
      <c r="X88" s="4"/>
      <c r="Y88" s="4"/>
      <c r="Z88" s="4"/>
    </row>
    <row r="89" customFormat="false" ht="27.75" hidden="false" customHeight="true" outlineLevel="0" collapsed="false">
      <c r="A89" s="79" t="s">
        <v>438</v>
      </c>
      <c r="B89" s="21" t="s">
        <v>439</v>
      </c>
      <c r="C89" s="21" t="s">
        <v>440</v>
      </c>
      <c r="D89" s="21" t="s">
        <v>276</v>
      </c>
      <c r="E89" s="21" t="s">
        <v>441</v>
      </c>
      <c r="F89" s="81" t="s">
        <v>442</v>
      </c>
      <c r="G89" s="4"/>
      <c r="H89" s="4"/>
      <c r="I89" s="4"/>
      <c r="J89" s="4"/>
      <c r="K89" s="4"/>
      <c r="L89" s="4"/>
      <c r="M89" s="4"/>
      <c r="N89" s="4"/>
      <c r="O89" s="4"/>
      <c r="P89" s="4"/>
      <c r="Q89" s="4"/>
      <c r="R89" s="4"/>
      <c r="S89" s="4"/>
      <c r="T89" s="4"/>
      <c r="U89" s="4"/>
      <c r="V89" s="4"/>
      <c r="W89" s="4"/>
      <c r="X89" s="4"/>
      <c r="Y89" s="4"/>
      <c r="Z89" s="4"/>
    </row>
    <row r="90" customFormat="false" ht="27.75" hidden="false" customHeight="true" outlineLevel="0" collapsed="false">
      <c r="A90" s="79" t="str">
        <f aca="false">"complaint_severity = high (Cao) + quá "&amp;slaKN_high_hours&amp;" giờ chưa liên hệ HV"</f>
        <v>complaint_severity = high (Cao) + quá 4 giờ chưa liên hệ HV</v>
      </c>
      <c r="B90" s="21" t="s">
        <v>220</v>
      </c>
      <c r="C90" s="82" t="s">
        <v>443</v>
      </c>
      <c r="D90" s="21" t="s">
        <v>444</v>
      </c>
      <c r="E90" s="82" t="s">
        <v>214</v>
      </c>
      <c r="F90" s="81" t="s">
        <v>445</v>
      </c>
      <c r="G90" s="4"/>
      <c r="H90" s="4"/>
      <c r="I90" s="4"/>
      <c r="J90" s="4"/>
      <c r="K90" s="4"/>
      <c r="L90" s="4"/>
      <c r="M90" s="4"/>
      <c r="N90" s="4"/>
      <c r="O90" s="4"/>
      <c r="P90" s="4"/>
      <c r="Q90" s="4"/>
      <c r="R90" s="4"/>
      <c r="S90" s="4"/>
      <c r="T90" s="4"/>
      <c r="U90" s="4"/>
      <c r="V90" s="4"/>
      <c r="W90" s="4"/>
      <c r="X90" s="4"/>
      <c r="Y90" s="4"/>
      <c r="Z90" s="4"/>
    </row>
    <row r="91" customFormat="false" ht="27.75" hidden="false" customHeight="true" outlineLevel="0" collapsed="false">
      <c r="A91" s="79" t="s">
        <v>446</v>
      </c>
      <c r="B91" s="21" t="s">
        <v>447</v>
      </c>
      <c r="C91" s="21" t="s">
        <v>448</v>
      </c>
      <c r="D91" s="21" t="s">
        <v>276</v>
      </c>
      <c r="E91" s="21" t="str">
        <f aca="false">HYPERLINK("#'CH2. Tham số &amp; Quy tắc'!A"&amp;MATCH("slaComplaintClose_days",'CH2. Tham số &amp; Quy tắc'!$A:$A,0),slaComplaintClose_days&amp;" ngày")</f>
        <v>7 ngày</v>
      </c>
      <c r="F91" s="81" t="s">
        <v>430</v>
      </c>
      <c r="G91" s="4"/>
      <c r="H91" s="4"/>
      <c r="I91" s="4"/>
      <c r="J91" s="4"/>
      <c r="K91" s="4"/>
      <c r="L91" s="4"/>
      <c r="M91" s="4"/>
      <c r="N91" s="4"/>
      <c r="O91" s="4"/>
      <c r="P91" s="4"/>
      <c r="Q91" s="4"/>
      <c r="R91" s="4"/>
      <c r="S91" s="4"/>
      <c r="T91" s="4"/>
      <c r="U91" s="4"/>
      <c r="V91" s="4"/>
      <c r="W91" s="4"/>
      <c r="X91" s="4"/>
      <c r="Y91" s="4"/>
      <c r="Z91" s="4"/>
    </row>
    <row r="92" customFormat="false" ht="1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31.5" hidden="false" customHeight="true" outlineLevel="0" collapsed="false">
      <c r="A93" s="108" t="s">
        <v>449</v>
      </c>
      <c r="B93" s="108"/>
      <c r="C93" s="108"/>
      <c r="D93" s="108"/>
      <c r="E93" s="108"/>
      <c r="F93" s="108"/>
      <c r="G93" s="4"/>
      <c r="H93" s="4"/>
      <c r="I93" s="4"/>
      <c r="J93" s="4"/>
      <c r="K93" s="4"/>
      <c r="L93" s="4"/>
      <c r="M93" s="4"/>
      <c r="N93" s="4"/>
      <c r="O93" s="4"/>
      <c r="P93" s="4"/>
      <c r="Q93" s="4"/>
      <c r="R93" s="4"/>
      <c r="S93" s="4"/>
      <c r="T93" s="4"/>
      <c r="U93" s="4"/>
      <c r="V93" s="4"/>
      <c r="W93" s="4"/>
      <c r="X93" s="4"/>
      <c r="Y93" s="4"/>
      <c r="Z93" s="4"/>
    </row>
    <row r="94" customFormat="false" ht="31.5" hidden="false" customHeight="true" outlineLevel="0" collapsed="false">
      <c r="A94" s="109" t="s">
        <v>272</v>
      </c>
      <c r="B94" s="109" t="s">
        <v>203</v>
      </c>
      <c r="C94" s="109" t="s">
        <v>251</v>
      </c>
      <c r="D94" s="109" t="s">
        <v>205</v>
      </c>
      <c r="E94" s="109" t="s">
        <v>206</v>
      </c>
      <c r="F94" s="110" t="s">
        <v>207</v>
      </c>
      <c r="G94" s="4"/>
      <c r="H94" s="4"/>
      <c r="I94" s="4"/>
      <c r="J94" s="4"/>
      <c r="K94" s="4"/>
      <c r="L94" s="4"/>
      <c r="M94" s="4"/>
      <c r="N94" s="4"/>
      <c r="O94" s="4"/>
      <c r="P94" s="4"/>
      <c r="Q94" s="4"/>
      <c r="R94" s="4"/>
      <c r="S94" s="4"/>
      <c r="T94" s="4"/>
      <c r="U94" s="4"/>
      <c r="V94" s="4"/>
      <c r="W94" s="4"/>
      <c r="X94" s="4"/>
      <c r="Y94" s="4"/>
      <c r="Z94" s="4"/>
    </row>
    <row r="95" customFormat="false" ht="27.75" hidden="false" customHeight="true" outlineLevel="0" collapsed="false">
      <c r="A95" s="79" t="str">
        <f aca="false">"class_end_date còn ≤ "&amp;thresholdPreEnd_days&amp;" ngày (HV sắp kết thúc khóa)"</f>
        <v>class_end_date còn ≤ 30 ngày (HV sắp kết thúc khóa)</v>
      </c>
      <c r="B95" s="21" t="str">
        <f aca="false">"class_end_date (DL10) còn "&amp;thresholdPreEnd_days&amp;" ngày"</f>
        <v>class_end_date (DL10) còn 30 ngày</v>
      </c>
      <c r="C95" s="21" t="s">
        <v>450</v>
      </c>
      <c r="D95" s="21" t="s">
        <v>255</v>
      </c>
      <c r="E95" s="21" t="str">
        <f aca="false">HYPERLINK("#'CH2. Tham số &amp; Quy tắc'!A"&amp;MATCH("thresholdPreEnd_days",'CH2. Tham số &amp; Quy tắc'!$A:$A,0),"Trước "&amp;thresholdPreEnd_days&amp;" ngày")</f>
        <v>Trước 30 ngày</v>
      </c>
      <c r="F95" s="81" t="s">
        <v>451</v>
      </c>
      <c r="G95" s="4"/>
      <c r="H95" s="4"/>
      <c r="I95" s="4"/>
      <c r="J95" s="4"/>
      <c r="K95" s="4"/>
      <c r="L95" s="4"/>
      <c r="M95" s="4"/>
      <c r="N95" s="4"/>
      <c r="O95" s="4"/>
      <c r="P95" s="4"/>
      <c r="Q95" s="4"/>
      <c r="R95" s="4"/>
      <c r="S95" s="4"/>
      <c r="T95" s="4"/>
      <c r="U95" s="4"/>
      <c r="V95" s="4"/>
      <c r="W95" s="4"/>
      <c r="X95" s="4"/>
      <c r="Y95" s="4"/>
      <c r="Z95" s="4"/>
    </row>
    <row r="96" customFormat="false" ht="27.75" hidden="false" customHeight="true" outlineLevel="0" collapsed="false">
      <c r="A96" s="79" t="s">
        <v>452</v>
      </c>
      <c r="B96" s="21" t="s">
        <v>453</v>
      </c>
      <c r="C96" s="21" t="s">
        <v>454</v>
      </c>
      <c r="D96" s="21" t="s">
        <v>276</v>
      </c>
      <c r="E96" s="21" t="str">
        <f aca="false">HYPERLINK("#'CH2. Tham số &amp; Quy tắc'!A"&amp;MATCH("slaFinalTest_days",'CH2. Tham số &amp; Quy tắc'!$A:$A,0),slaFinalTest_days&amp;" ngày")</f>
        <v>3 ngày</v>
      </c>
      <c r="F96" s="81" t="s">
        <v>455</v>
      </c>
      <c r="G96" s="4"/>
      <c r="H96" s="4"/>
      <c r="I96" s="4"/>
      <c r="J96" s="4"/>
      <c r="K96" s="4"/>
      <c r="L96" s="4"/>
      <c r="M96" s="4"/>
      <c r="N96" s="4"/>
      <c r="O96" s="4"/>
      <c r="P96" s="4"/>
      <c r="Q96" s="4"/>
      <c r="R96" s="4"/>
      <c r="S96" s="4"/>
      <c r="T96" s="4"/>
      <c r="U96" s="4"/>
      <c r="V96" s="4"/>
      <c r="W96" s="4"/>
      <c r="X96" s="4"/>
      <c r="Y96" s="4"/>
      <c r="Z96" s="4"/>
    </row>
    <row r="97" customFormat="false" ht="27.75" hidden="false" customHeight="true" outlineLevel="0" collapsed="false">
      <c r="A97" s="79" t="s">
        <v>456</v>
      </c>
      <c r="B97" s="21" t="s">
        <v>457</v>
      </c>
      <c r="C97" s="21" t="s">
        <v>458</v>
      </c>
      <c r="D97" s="21" t="s">
        <v>459</v>
      </c>
      <c r="E97" s="80" t="str">
        <f aca="false">HYPERLINK("#'CH2. Tham số &amp; Quy tắc'!A"&amp;MATCH("slaReenrollSchedule_days",'CH2. Tham số &amp; Quy tắc'!$A:$A,0),slaReenrollSchedule_days&amp;" ngày")</f>
        <v>14 ngày</v>
      </c>
      <c r="F97" s="81" t="s">
        <v>460</v>
      </c>
      <c r="G97" s="4"/>
      <c r="H97" s="4"/>
      <c r="I97" s="4"/>
      <c r="J97" s="4"/>
      <c r="K97" s="4"/>
      <c r="L97" s="4"/>
      <c r="M97" s="4"/>
      <c r="N97" s="4"/>
      <c r="O97" s="4"/>
      <c r="P97" s="4"/>
      <c r="Q97" s="4"/>
      <c r="R97" s="4"/>
      <c r="S97" s="4"/>
      <c r="T97" s="4"/>
      <c r="U97" s="4"/>
      <c r="V97" s="4"/>
      <c r="W97" s="4"/>
      <c r="X97" s="4"/>
      <c r="Y97" s="4"/>
      <c r="Z97" s="4"/>
    </row>
    <row r="98" customFormat="false" ht="27.75" hidden="false" customHeight="true" outlineLevel="0" collapsed="false">
      <c r="A98" s="79" t="s">
        <v>461</v>
      </c>
      <c r="B98" s="21" t="s">
        <v>462</v>
      </c>
      <c r="C98" s="21" t="s">
        <v>463</v>
      </c>
      <c r="D98" s="21" t="s">
        <v>255</v>
      </c>
      <c r="E98" s="21" t="str">
        <f aca="false">HYPERLINK("#'CH2. Tham số &amp; Quy tắc'!A"&amp;MATCH("slaReenroll_contact_days",'CH2. Tham số &amp; Quy tắc'!$A:$A,0),slaReenroll_contact_days&amp;" ngày")</f>
        <v>3 ngày</v>
      </c>
      <c r="F98" s="81" t="s">
        <v>464</v>
      </c>
      <c r="G98" s="4"/>
      <c r="H98" s="4"/>
      <c r="I98" s="4"/>
      <c r="J98" s="4"/>
      <c r="K98" s="4"/>
      <c r="L98" s="4"/>
      <c r="M98" s="4"/>
      <c r="N98" s="4"/>
      <c r="O98" s="4"/>
      <c r="P98" s="4"/>
      <c r="Q98" s="4"/>
      <c r="R98" s="4"/>
      <c r="S98" s="4"/>
      <c r="T98" s="4"/>
      <c r="U98" s="4"/>
      <c r="V98" s="4"/>
      <c r="W98" s="4"/>
      <c r="X98" s="4"/>
      <c r="Y98" s="4"/>
      <c r="Z98" s="4"/>
    </row>
    <row r="99" customFormat="false" ht="27.75" hidden="false" customHeight="true" outlineLevel="0" collapsed="false">
      <c r="A99" s="79" t="str">
        <f aca="false">"re_enrollment_status = not_contacted (Chưa LH) + quá "&amp;thresholdReenrollLost_days&amp;" ngày sau kết thúc chưa đăng ký lại"</f>
        <v>re_enrollment_status = not_contacted (Chưa LH) + quá 90 ngày sau kết thúc chưa đăng ký lại</v>
      </c>
      <c r="B99" s="21" t="str">
        <f aca="false">thresholdReenrollLost_days&amp;" ngày sau KT chưa enroll lại"</f>
        <v>90 ngày sau KT chưa enroll lại</v>
      </c>
      <c r="C99" s="21" t="s">
        <v>465</v>
      </c>
      <c r="D99" s="21" t="s">
        <v>466</v>
      </c>
      <c r="E99" s="21" t="str">
        <f aca="false">HYPERLINK("#'CH2. Tham số &amp; Quy tắc'!A"&amp;MATCH("thresholdReenrollLost_days",'CH2. Tham số &amp; Quy tắc'!$A:$A,0),thresholdReenrollLost_days&amp;" ngày")</f>
        <v>90 ngày</v>
      </c>
      <c r="F99" s="81" t="s">
        <v>467</v>
      </c>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6">
    <mergeCell ref="A1:F1"/>
    <mergeCell ref="A2:F2"/>
    <mergeCell ref="A3:F3"/>
    <mergeCell ref="A4:F4"/>
    <mergeCell ref="A5:F5"/>
    <mergeCell ref="A6:F6"/>
    <mergeCell ref="A8:F8"/>
    <mergeCell ref="A22:F22"/>
    <mergeCell ref="A29:F29"/>
    <mergeCell ref="A35:F35"/>
    <mergeCell ref="A43:F43"/>
    <mergeCell ref="A52:F52"/>
    <mergeCell ref="A60:F60"/>
    <mergeCell ref="A72:F72"/>
    <mergeCell ref="A81:F81"/>
    <mergeCell ref="A93:F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B9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5"/>
    <col collapsed="false" customWidth="true" hidden="false" outlineLevel="0" max="2" min="2" style="1" width="26"/>
    <col collapsed="false" customWidth="true" hidden="false" outlineLevel="0" max="3" min="3" style="1" width="56"/>
    <col collapsed="false" customWidth="true" hidden="false" outlineLevel="0" max="4" min="4" style="1" width="11.43"/>
    <col collapsed="false" customWidth="true" hidden="false" outlineLevel="0" max="5" min="5" style="1" width="46"/>
    <col collapsed="false" customWidth="true" hidden="false" outlineLevel="0" max="6" min="6" style="1" width="16"/>
    <col collapsed="false" customWidth="true" hidden="false" outlineLevel="0" max="7" min="7" style="1" width="32.86"/>
    <col collapsed="false" customWidth="true" hidden="false" outlineLevel="0" max="8" min="8" style="1" width="15.43"/>
    <col collapsed="false" customWidth="true" hidden="false" outlineLevel="0" max="9" min="9" style="1" width="18.14"/>
    <col collapsed="false" customWidth="true" hidden="false" outlineLevel="0" max="26" min="10" style="1" width="8.71"/>
  </cols>
  <sheetData>
    <row r="1" customFormat="false" ht="30" hidden="false" customHeight="true" outlineLevel="0" collapsed="false">
      <c r="A1" s="111" t="s">
        <v>468</v>
      </c>
      <c r="B1" s="111"/>
      <c r="C1" s="111"/>
      <c r="D1" s="111"/>
      <c r="E1" s="111"/>
      <c r="F1" s="111"/>
      <c r="G1" s="111"/>
      <c r="H1" s="111"/>
      <c r="I1" s="111"/>
      <c r="J1" s="4"/>
      <c r="K1" s="4"/>
      <c r="L1" s="4"/>
      <c r="M1" s="4"/>
      <c r="N1" s="4"/>
      <c r="O1" s="4"/>
      <c r="P1" s="4"/>
      <c r="Q1" s="4"/>
      <c r="R1" s="4"/>
      <c r="S1" s="4"/>
      <c r="T1" s="4"/>
      <c r="U1" s="4"/>
      <c r="V1" s="4"/>
      <c r="W1" s="4"/>
      <c r="X1" s="4"/>
      <c r="Y1" s="4"/>
      <c r="Z1" s="4"/>
    </row>
    <row r="2" customFormat="false" ht="39.75" hidden="false" customHeight="true" outlineLevel="0" collapsed="false">
      <c r="A2" s="29" t="s">
        <v>469</v>
      </c>
      <c r="B2" s="29"/>
      <c r="C2" s="29"/>
      <c r="D2" s="29"/>
      <c r="E2" s="29"/>
      <c r="F2" s="29"/>
      <c r="G2" s="29"/>
      <c r="H2" s="29"/>
      <c r="I2" s="29"/>
      <c r="J2" s="4"/>
      <c r="K2" s="4"/>
      <c r="L2" s="4"/>
      <c r="M2" s="4"/>
      <c r="N2" s="4"/>
      <c r="O2" s="4"/>
      <c r="P2" s="4"/>
      <c r="Q2" s="4"/>
      <c r="R2" s="4"/>
      <c r="S2" s="4"/>
      <c r="T2" s="4"/>
      <c r="U2" s="4"/>
      <c r="V2" s="4"/>
      <c r="W2" s="4"/>
      <c r="X2" s="4"/>
      <c r="Y2" s="4"/>
      <c r="Z2" s="4"/>
    </row>
    <row r="3" customFormat="false" ht="15" hidden="false" customHeight="true" outlineLevel="0" collapsed="false">
      <c r="A3" s="4"/>
      <c r="B3" s="4"/>
      <c r="C3" s="4"/>
      <c r="D3" s="4"/>
      <c r="E3" s="4"/>
      <c r="F3" s="4"/>
      <c r="G3" s="4"/>
      <c r="H3" s="4"/>
      <c r="I3" s="4"/>
      <c r="J3" s="4"/>
      <c r="K3" s="4"/>
      <c r="L3" s="4"/>
      <c r="M3" s="4"/>
      <c r="N3" s="4"/>
      <c r="O3" s="4"/>
      <c r="P3" s="4"/>
      <c r="Q3" s="4"/>
      <c r="R3" s="4"/>
      <c r="S3" s="4"/>
      <c r="T3" s="4"/>
      <c r="U3" s="4"/>
      <c r="V3" s="4"/>
      <c r="W3" s="4"/>
      <c r="X3" s="4"/>
      <c r="Y3" s="4"/>
      <c r="Z3" s="4"/>
    </row>
    <row r="4" customFormat="false" ht="30" hidden="false" customHeight="true" outlineLevel="0" collapsed="false">
      <c r="A4" s="112" t="s">
        <v>470</v>
      </c>
      <c r="B4" s="112" t="s">
        <v>272</v>
      </c>
      <c r="C4" s="112" t="s">
        <v>471</v>
      </c>
      <c r="D4" s="112" t="s">
        <v>472</v>
      </c>
      <c r="E4" s="112" t="s">
        <v>473</v>
      </c>
      <c r="F4" s="112" t="s">
        <v>474</v>
      </c>
      <c r="G4" s="112" t="s">
        <v>475</v>
      </c>
      <c r="H4" s="112" t="s">
        <v>476</v>
      </c>
      <c r="I4" s="112" t="s">
        <v>477</v>
      </c>
      <c r="J4" s="4"/>
      <c r="K4" s="4"/>
      <c r="L4" s="4"/>
      <c r="M4" s="4"/>
      <c r="N4" s="4"/>
      <c r="O4" s="4"/>
      <c r="P4" s="4"/>
      <c r="Q4" s="4"/>
      <c r="R4" s="4"/>
      <c r="S4" s="4"/>
      <c r="T4" s="4"/>
      <c r="U4" s="4"/>
      <c r="V4" s="4"/>
      <c r="W4" s="4"/>
      <c r="X4" s="4"/>
      <c r="Y4" s="4"/>
      <c r="Z4" s="4"/>
    </row>
    <row r="5" customFormat="false" ht="21.75" hidden="false" customHeight="true" outlineLevel="0" collapsed="false">
      <c r="A5" s="113" t="s">
        <v>478</v>
      </c>
      <c r="B5" s="113"/>
      <c r="C5" s="113"/>
      <c r="D5" s="113"/>
      <c r="E5" s="113"/>
      <c r="F5" s="113"/>
      <c r="G5" s="113"/>
      <c r="H5" s="113"/>
      <c r="I5" s="113"/>
      <c r="J5" s="4"/>
      <c r="K5" s="4"/>
      <c r="L5" s="4"/>
      <c r="M5" s="4"/>
      <c r="N5" s="4"/>
      <c r="O5" s="4"/>
      <c r="P5" s="4"/>
      <c r="Q5" s="4"/>
      <c r="R5" s="4"/>
      <c r="S5" s="4"/>
      <c r="T5" s="4"/>
      <c r="U5" s="4"/>
      <c r="V5" s="4"/>
      <c r="W5" s="4"/>
      <c r="X5" s="4"/>
      <c r="Y5" s="4"/>
      <c r="Z5" s="4"/>
    </row>
    <row r="6" customFormat="false" ht="19.5" hidden="false" customHeight="true" outlineLevel="0" collapsed="false">
      <c r="A6" s="114" t="s">
        <v>479</v>
      </c>
      <c r="B6" s="114"/>
      <c r="C6" s="114"/>
      <c r="D6" s="114"/>
      <c r="E6" s="114"/>
      <c r="F6" s="114"/>
      <c r="G6" s="114"/>
      <c r="H6" s="114"/>
      <c r="I6" s="114"/>
      <c r="J6" s="4"/>
      <c r="K6" s="4"/>
      <c r="L6" s="4"/>
      <c r="M6" s="4"/>
      <c r="N6" s="4"/>
      <c r="O6" s="4"/>
      <c r="P6" s="4"/>
      <c r="Q6" s="4"/>
      <c r="R6" s="4"/>
      <c r="S6" s="4"/>
      <c r="T6" s="4"/>
      <c r="U6" s="4"/>
      <c r="V6" s="4"/>
      <c r="W6" s="4"/>
      <c r="X6" s="4"/>
      <c r="Y6" s="4"/>
      <c r="Z6" s="4"/>
    </row>
    <row r="7" customFormat="false" ht="51" hidden="false" customHeight="true" outlineLevel="0" collapsed="false">
      <c r="A7" s="115" t="s">
        <v>480</v>
      </c>
      <c r="B7" s="116" t="s">
        <v>481</v>
      </c>
      <c r="C7" s="116" t="s">
        <v>482</v>
      </c>
      <c r="D7" s="115" t="s">
        <v>483</v>
      </c>
      <c r="E7" s="116" t="str">
        <f aca="false" t="array" ref="E7:E7">IFERROR(INDEX('CH4. Thông điệp nhắc việc'!$G:$G,MATCH($D7,'CH4. Thông điệp nhắc việc'!$A:$A,0)),"")</f>
        <v>Lead đã giao cho NV nhưng quá 4 giờ (cấu hình slaLeadReassign_hours) chưa gọi. Việc cần làm: gọi gấp hoặc giao lại cho NV khác.</v>
      </c>
      <c r="F7" s="116" t="str">
        <f aca="false" t="array" ref="F7:F7">IFERROR(INDEX('CH4. Thông điệp nhắc việc'!$E:$E,MATCH($D7,'CH4. Thông điệp nhắc việc'!$A:$A,0)),"-")</f>
        <v>NV Tư vấn</v>
      </c>
      <c r="G7" s="117" t="str">
        <f aca="false">HYPERLINK("#'CH2. Tham số &amp; Quy tắc'!B"&amp;MATCH("slaLeadReassign_hours",'CH2. Tham số &amp; Quy tắc'!$A:$A,0),"CH2: slaLeadReassign_hours")</f>
        <v>CH2: slaLeadReassign_hours</v>
      </c>
      <c r="H7" s="117" t="str">
        <f aca="false">HYPERLINK("#'CH4. Thông điệp nhắc việc'!C"&amp;MATCH("NA046",'CH4. Thông điệp nhắc việc'!$A:$A,0),"CH4: NA046")</f>
        <v>CH4: NA046</v>
      </c>
      <c r="I7" s="117" t="str">
        <f aca="false">HYPERLINK("#'DL02. Khách tiềm năng'!T4","Mở ô")</f>
        <v>Mở ô</v>
      </c>
      <c r="J7" s="4"/>
      <c r="K7" s="4"/>
      <c r="L7" s="4"/>
      <c r="M7" s="4"/>
      <c r="N7" s="4"/>
      <c r="O7" s="4"/>
      <c r="P7" s="4"/>
      <c r="Q7" s="4"/>
      <c r="R7" s="4"/>
      <c r="S7" s="4"/>
      <c r="T7" s="4"/>
      <c r="U7" s="4"/>
      <c r="V7" s="4"/>
      <c r="W7" s="4"/>
      <c r="X7" s="4"/>
      <c r="Y7" s="4"/>
      <c r="Z7" s="4"/>
    </row>
    <row r="8" customFormat="false" ht="51" hidden="false" customHeight="true" outlineLevel="0" collapsed="false">
      <c r="A8" s="115" t="s">
        <v>480</v>
      </c>
      <c r="B8" s="116" t="s">
        <v>484</v>
      </c>
      <c r="C8" s="116" t="s">
        <v>485</v>
      </c>
      <c r="D8" s="115" t="s">
        <v>486</v>
      </c>
      <c r="E8" s="116" t="str">
        <f aca="false" t="array" ref="E8:E8">IFERROR(INDEX('CH4. Thông điệp nhắc việc'!$G:$G,MATCH($D8,'CH4. Thông điệp nhắc việc'!$A:$A,0)),"")</f>
        <v>Đã liên hệ đủ 5 lần (cấu hình thresholdContacted_attempts) mà khách không phản hồi. Việc cần làm: cân nhắc chuyển lead sang trạng thái không liên lạc được.</v>
      </c>
      <c r="F8" s="116" t="str">
        <f aca="false" t="array" ref="F8:F8">IFERROR(INDEX('CH4. Thông điệp nhắc việc'!$E:$E,MATCH($D8,'CH4. Thông điệp nhắc việc'!$A:$A,0)),"-")</f>
        <v>NV Tư vấn</v>
      </c>
      <c r="G8" s="117" t="str">
        <f aca="false">HYPERLINK("#'CH2. Tham số &amp; Quy tắc'!B"&amp;MATCH("thresholdContacted_attempts",'CH2. Tham số &amp; Quy tắc'!$A:$A,0),"CH2: thresholdContacted_attempts")</f>
        <v>CH2: thresholdContacted_attempts</v>
      </c>
      <c r="H8" s="117" t="str">
        <f aca="false">HYPERLINK("#'CH4. Thông điệp nhắc việc'!C"&amp;MATCH("NA047",'CH4. Thông điệp nhắc việc'!$A:$A,0),"CH4: NA047")</f>
        <v>CH4: NA047</v>
      </c>
      <c r="I8" s="117" t="str">
        <f aca="false">HYPERLINK("#'DL02. Khách tiềm năng'!T4","Mở ô")</f>
        <v>Mở ô</v>
      </c>
      <c r="J8" s="4"/>
      <c r="K8" s="4"/>
      <c r="L8" s="4"/>
      <c r="M8" s="4"/>
      <c r="N8" s="4"/>
      <c r="O8" s="4"/>
      <c r="P8" s="4"/>
      <c r="Q8" s="4"/>
      <c r="R8" s="4"/>
      <c r="S8" s="4"/>
      <c r="T8" s="4"/>
      <c r="U8" s="4"/>
      <c r="V8" s="4"/>
      <c r="W8" s="4"/>
      <c r="X8" s="4"/>
      <c r="Y8" s="4"/>
      <c r="Z8" s="4"/>
    </row>
    <row r="9" customFormat="false" ht="51" hidden="false" customHeight="true" outlineLevel="0" collapsed="false">
      <c r="A9" s="115" t="s">
        <v>480</v>
      </c>
      <c r="B9" s="116" t="s">
        <v>487</v>
      </c>
      <c r="C9" s="116" t="s">
        <v>488</v>
      </c>
      <c r="D9" s="115" t="s">
        <v>489</v>
      </c>
      <c r="E9" s="116" t="str">
        <f aca="false" t="array" ref="E9:E9">IFERROR(INDEX('CH4. Thông điệp nhắc việc'!$G:$G,MATCH($D9,'CH4. Thông điệp nhắc việc'!$A:$A,0)),"")</f>
        <v>Đã liên hệ nhưng quá 7 ngày (cấu hình thresholdContacted_days) chưa chốt. Việc cần làm: đẩy mạnh tư vấn để chốt.</v>
      </c>
      <c r="F9" s="116" t="str">
        <f aca="false" t="array" ref="F9:F9">IFERROR(INDEX('CH4. Thông điệp nhắc việc'!$E:$E,MATCH($D9,'CH4. Thông điệp nhắc việc'!$A:$A,0)),"-")</f>
        <v>NV Tư vấn</v>
      </c>
      <c r="G9" s="117" t="str">
        <f aca="false">HYPERLINK("#'CH2. Tham số &amp; Quy tắc'!B"&amp;MATCH("thresholdContacted_days",'CH2. Tham số &amp; Quy tắc'!$A:$A,0),"CH2: thresholdContacted_days")</f>
        <v>CH2: thresholdContacted_days</v>
      </c>
      <c r="H9" s="117" t="str">
        <f aca="false">HYPERLINK("#'CH4. Thông điệp nhắc việc'!C"&amp;MATCH("NA048",'CH4. Thông điệp nhắc việc'!$A:$A,0),"CH4: NA048")</f>
        <v>CH4: NA048</v>
      </c>
      <c r="I9" s="117" t="str">
        <f aca="false">HYPERLINK("#'DL02. Khách tiềm năng'!T4","Mở ô")</f>
        <v>Mở ô</v>
      </c>
      <c r="J9" s="4"/>
      <c r="K9" s="4"/>
      <c r="L9" s="4"/>
      <c r="M9" s="4"/>
      <c r="N9" s="4"/>
      <c r="O9" s="4"/>
      <c r="P9" s="4"/>
      <c r="Q9" s="4"/>
      <c r="R9" s="4"/>
      <c r="S9" s="4"/>
      <c r="T9" s="4"/>
      <c r="U9" s="4"/>
      <c r="V9" s="4"/>
      <c r="W9" s="4"/>
      <c r="X9" s="4"/>
      <c r="Y9" s="4"/>
      <c r="Z9" s="4"/>
    </row>
    <row r="10" customFormat="false" ht="51" hidden="false" customHeight="true" outlineLevel="0" collapsed="false">
      <c r="A10" s="115" t="s">
        <v>480</v>
      </c>
      <c r="B10" s="116" t="s">
        <v>490</v>
      </c>
      <c r="C10" s="116" t="s">
        <v>491</v>
      </c>
      <c r="D10" s="115" t="s">
        <v>492</v>
      </c>
      <c r="E10" s="116" t="str">
        <f aca="false" t="array" ref="E10:E10">IFERROR(INDEX('CH4. Thông điệp nhắc việc'!$G:$G,MATCH($D10,'CH4. Thông điệp nhắc việc'!$A:$A,0)),"")</f>
        <v>Lead mới đã quá 15 phút (cấu hình slaLRT_minutes) chưa được liên hệ. Việc cần làm: GỌI NGAY để không mất lead.</v>
      </c>
      <c r="F10" s="116" t="str">
        <f aca="false" t="array" ref="F10:F10">IFERROR(INDEX('CH4. Thông điệp nhắc việc'!$E:$E,MATCH($D10,'CH4. Thông điệp nhắc việc'!$A:$A,0)),"-")</f>
        <v>NV Tư vấn</v>
      </c>
      <c r="G10" s="117" t="str">
        <f aca="false">HYPERLINK("#'CH2. Tham số &amp; Quy tắc'!B"&amp;MATCH("slaLRT_minutes",'CH2. Tham số &amp; Quy tắc'!$A:$A,0),"CH2: slaLRT_minutes")</f>
        <v>CH2: slaLRT_minutes</v>
      </c>
      <c r="H10" s="117" t="str">
        <f aca="false">HYPERLINK("#'CH4. Thông điệp nhắc việc'!C"&amp;MATCH("NA049",'CH4. Thông điệp nhắc việc'!$A:$A,0),"CH4: NA049")</f>
        <v>CH4: NA049</v>
      </c>
      <c r="I10" s="117" t="str">
        <f aca="false">HYPERLINK("#'DL02. Khách tiềm năng'!T4","Mở ô")</f>
        <v>Mở ô</v>
      </c>
      <c r="J10" s="4"/>
      <c r="K10" s="4"/>
      <c r="L10" s="4"/>
      <c r="M10" s="4"/>
      <c r="N10" s="4"/>
      <c r="O10" s="4"/>
      <c r="P10" s="4"/>
      <c r="Q10" s="4"/>
      <c r="R10" s="4"/>
      <c r="S10" s="4"/>
      <c r="T10" s="4"/>
      <c r="U10" s="4"/>
      <c r="V10" s="4"/>
      <c r="W10" s="4"/>
      <c r="X10" s="4"/>
      <c r="Y10" s="4"/>
      <c r="Z10" s="4"/>
    </row>
    <row r="11" customFormat="false" ht="51" hidden="false" customHeight="true" outlineLevel="0" collapsed="false">
      <c r="A11" s="115" t="s">
        <v>480</v>
      </c>
      <c r="B11" s="116" t="s">
        <v>493</v>
      </c>
      <c r="C11" s="116" t="s">
        <v>494</v>
      </c>
      <c r="D11" s="115" t="s">
        <v>495</v>
      </c>
      <c r="E11" s="116" t="str">
        <f aca="false" t="array" ref="E11:E11">IFERROR(INDEX('CH4. Thông điệp nhắc việc'!$G:$G,MATCH($D11,'CH4. Thông điệp nhắc việc'!$A:$A,0)),"")</f>
        <v>Lead mới, còn trong hạn phản hồi 15 phút (cấu hình slaLRT_minutes). Việc cần làm: liên hệ khách càng sớm càng tốt.</v>
      </c>
      <c r="F11" s="116" t="str">
        <f aca="false" t="array" ref="F11:F11">IFERROR(INDEX('CH4. Thông điệp nhắc việc'!$E:$E,MATCH($D11,'CH4. Thông điệp nhắc việc'!$A:$A,0)),"-")</f>
        <v>NV Tư vấn</v>
      </c>
      <c r="G11" s="117" t="str">
        <f aca="false">HYPERLINK("#'CH2. Tham số &amp; Quy tắc'!B"&amp;MATCH("slaLRT_minutes",'CH2. Tham số &amp; Quy tắc'!$A:$A,0),"CH2: slaLRT_minutes")</f>
        <v>CH2: slaLRT_minutes</v>
      </c>
      <c r="H11" s="117" t="str">
        <f aca="false">HYPERLINK("#'CH4. Thông điệp nhắc việc'!C"&amp;MATCH("NA050",'CH4. Thông điệp nhắc việc'!$A:$A,0),"CH4: NA050")</f>
        <v>CH4: NA050</v>
      </c>
      <c r="I11" s="117" t="str">
        <f aca="false">HYPERLINK("#'DL02. Khách tiềm năng'!T4","Mở ô")</f>
        <v>Mở ô</v>
      </c>
      <c r="J11" s="4"/>
      <c r="K11" s="4"/>
      <c r="L11" s="4"/>
      <c r="M11" s="4"/>
      <c r="N11" s="4"/>
      <c r="O11" s="4"/>
      <c r="P11" s="4"/>
      <c r="Q11" s="4"/>
      <c r="R11" s="4"/>
      <c r="S11" s="4"/>
      <c r="T11" s="4"/>
      <c r="U11" s="4"/>
      <c r="V11" s="4"/>
      <c r="W11" s="4"/>
      <c r="X11" s="4"/>
      <c r="Y11" s="4"/>
      <c r="Z11" s="4"/>
    </row>
    <row r="12" customFormat="false" ht="51" hidden="false" customHeight="true" outlineLevel="0" collapsed="false">
      <c r="A12" s="115" t="s">
        <v>480</v>
      </c>
      <c r="B12" s="116" t="s">
        <v>496</v>
      </c>
      <c r="C12" s="116" t="s">
        <v>497</v>
      </c>
      <c r="D12" s="115" t="s">
        <v>498</v>
      </c>
      <c r="E12" s="116" t="str">
        <f aca="false" t="array" ref="E12:E12">IFERROR(INDEX('CH4. Thông điệp nhắc việc'!$G:$G,MATCH($D12,'CH4. Thông điệp nhắc việc'!$A:$A,0)),"")</f>
        <v>Đã tới hoặc quá hẹn theo dõi lead. Việc cần làm: liên hệ lại ngay.</v>
      </c>
      <c r="F12" s="116" t="str">
        <f aca="false" t="array" ref="F12:F12">IFERROR(INDEX('CH4. Thông điệp nhắc việc'!$E:$E,MATCH($D12,'CH4. Thông điệp nhắc việc'!$A:$A,0)),"-")</f>
        <v>NV Tư vấn</v>
      </c>
      <c r="G12" s="118" t="s">
        <v>220</v>
      </c>
      <c r="H12" s="117" t="str">
        <f aca="false">HYPERLINK("#'CH4. Thông điệp nhắc việc'!C"&amp;MATCH("NA051",'CH4. Thông điệp nhắc việc'!$A:$A,0),"CH4: NA051")</f>
        <v>CH4: NA051</v>
      </c>
      <c r="I12" s="117" t="str">
        <f aca="false">HYPERLINK("#'DL02. Khách tiềm năng'!T4","Mở ô")</f>
        <v>Mở ô</v>
      </c>
      <c r="J12" s="4"/>
      <c r="K12" s="4"/>
      <c r="L12" s="4"/>
      <c r="M12" s="4"/>
      <c r="N12" s="4"/>
      <c r="O12" s="4"/>
      <c r="P12" s="4"/>
      <c r="Q12" s="4"/>
      <c r="R12" s="4"/>
      <c r="S12" s="4"/>
      <c r="T12" s="4"/>
      <c r="U12" s="4"/>
      <c r="V12" s="4"/>
      <c r="W12" s="4"/>
      <c r="X12" s="4"/>
      <c r="Y12" s="4"/>
      <c r="Z12" s="4"/>
    </row>
    <row r="13" customFormat="false" ht="51" hidden="false" customHeight="true" outlineLevel="0" collapsed="false">
      <c r="A13" s="115" t="s">
        <v>480</v>
      </c>
      <c r="B13" s="116" t="s">
        <v>499</v>
      </c>
      <c r="C13" s="116" t="s">
        <v>500</v>
      </c>
      <c r="D13" s="115" t="s">
        <v>501</v>
      </c>
      <c r="E13" s="116" t="str">
        <f aca="false" t="array" ref="E13:E13">IFERROR(INDEX('CH4. Thông điệp nhắc việc'!$G:$G,MATCH($D13,'CH4. Thông điệp nhắc việc'!$A:$A,0)),"")</f>
        <v>Sắp tới hẹn theo dõi lead (trong vòng 24 giờ). Việc cần làm: chuẩn bị liên hệ khách.</v>
      </c>
      <c r="F13" s="116" t="str">
        <f aca="false" t="array" ref="F13:F13">IFERROR(INDEX('CH4. Thông điệp nhắc việc'!$E:$E,MATCH($D13,'CH4. Thông điệp nhắc việc'!$A:$A,0)),"-")</f>
        <v>NV Tư vấn</v>
      </c>
      <c r="G13" s="118" t="s">
        <v>220</v>
      </c>
      <c r="H13" s="117" t="str">
        <f aca="false">HYPERLINK("#'CH4. Thông điệp nhắc việc'!C"&amp;MATCH("NA052",'CH4. Thông điệp nhắc việc'!$A:$A,0),"CH4: NA052")</f>
        <v>CH4: NA052</v>
      </c>
      <c r="I13" s="117" t="str">
        <f aca="false">HYPERLINK("#'DL02. Khách tiềm năng'!T4","Mở ô")</f>
        <v>Mở ô</v>
      </c>
      <c r="J13" s="4"/>
      <c r="K13" s="4"/>
      <c r="L13" s="4"/>
      <c r="M13" s="4"/>
      <c r="N13" s="4"/>
      <c r="O13" s="4"/>
      <c r="P13" s="4"/>
      <c r="Q13" s="4"/>
      <c r="R13" s="4"/>
      <c r="S13" s="4"/>
      <c r="T13" s="4"/>
      <c r="U13" s="4"/>
      <c r="V13" s="4"/>
      <c r="W13" s="4"/>
      <c r="X13" s="4"/>
      <c r="Y13" s="4"/>
      <c r="Z13" s="4"/>
    </row>
    <row r="14" customFormat="false" ht="51" hidden="false" customHeight="true" outlineLevel="0" collapsed="false">
      <c r="A14" s="115" t="s">
        <v>480</v>
      </c>
      <c r="B14" s="116" t="s">
        <v>502</v>
      </c>
      <c r="C14" s="116" t="s">
        <v>503</v>
      </c>
      <c r="D14" s="115" t="s">
        <v>504</v>
      </c>
      <c r="E14" s="116" t="str">
        <f aca="false" t="array" ref="E14:E14">IFERROR(INDEX('CH4. Thông điệp nhắc việc'!$G:$G,MATCH($D14,'CH4. Thông điệp nhắc việc'!$A:$A,0)),"")</f>
        <v>Lead đã đóng (từ chối hoặc không liên lạc được). Không cần làm gì thêm.</v>
      </c>
      <c r="F14" s="116" t="str">
        <f aca="false" t="array" ref="F14:F14">IFERROR(INDEX('CH4. Thông điệp nhắc việc'!$E:$E,MATCH($D14,'CH4. Thông điệp nhắc việc'!$A:$A,0)),"-")</f>
        <v>-</v>
      </c>
      <c r="G14" s="118" t="s">
        <v>220</v>
      </c>
      <c r="H14" s="117" t="str">
        <f aca="false">HYPERLINK("#'CH4. Thông điệp nhắc việc'!C"&amp;MATCH("NA053",'CH4. Thông điệp nhắc việc'!$A:$A,0),"CH4: NA053")</f>
        <v>CH4: NA053</v>
      </c>
      <c r="I14" s="117" t="str">
        <f aca="false">HYPERLINK("#'DL02. Khách tiềm năng'!T4","Mở ô")</f>
        <v>Mở ô</v>
      </c>
      <c r="J14" s="4"/>
      <c r="K14" s="4"/>
      <c r="L14" s="4"/>
      <c r="M14" s="4"/>
      <c r="N14" s="4"/>
      <c r="O14" s="4"/>
      <c r="P14" s="4"/>
      <c r="Q14" s="4"/>
      <c r="R14" s="4"/>
      <c r="S14" s="4"/>
      <c r="T14" s="4"/>
      <c r="U14" s="4"/>
      <c r="V14" s="4"/>
      <c r="W14" s="4"/>
      <c r="X14" s="4"/>
      <c r="Y14" s="4"/>
      <c r="Z14" s="4"/>
    </row>
    <row r="15" customFormat="false" ht="19.5" hidden="false" customHeight="true" outlineLevel="0" collapsed="false">
      <c r="A15" s="114" t="s">
        <v>505</v>
      </c>
      <c r="B15" s="114"/>
      <c r="C15" s="114"/>
      <c r="D15" s="114"/>
      <c r="E15" s="114"/>
      <c r="F15" s="114"/>
      <c r="G15" s="114"/>
      <c r="H15" s="114"/>
      <c r="I15" s="114"/>
      <c r="J15" s="4"/>
      <c r="K15" s="4"/>
      <c r="L15" s="4"/>
      <c r="M15" s="4"/>
      <c r="N15" s="4"/>
      <c r="O15" s="4"/>
      <c r="P15" s="4"/>
      <c r="Q15" s="4"/>
      <c r="R15" s="4"/>
      <c r="S15" s="4"/>
      <c r="T15" s="4"/>
      <c r="U15" s="4"/>
      <c r="V15" s="4"/>
      <c r="W15" s="4"/>
      <c r="X15" s="4"/>
      <c r="Y15" s="4"/>
      <c r="Z15" s="4"/>
    </row>
    <row r="16" customFormat="false" ht="51" hidden="false" customHeight="true" outlineLevel="0" collapsed="false">
      <c r="A16" s="115" t="s">
        <v>480</v>
      </c>
      <c r="B16" s="116" t="s">
        <v>506</v>
      </c>
      <c r="C16" s="116" t="s">
        <v>507</v>
      </c>
      <c r="D16" s="115" t="s">
        <v>508</v>
      </c>
      <c r="E16" s="116" t="str">
        <f aca="false" t="array" ref="E16:E16">IFERROR(INDEX('CH4. Thông điệp nhắc việc'!$G:$G,MATCH($D16,'CH4. Thông điệp nhắc việc'!$A:$A,0)),"")</f>
        <v>Khách đã làm test nhưng quá 24 giờ (cấu hình slaGLA_hours) chưa chấm bài. Việc cần làm: chấm bài test ngay.</v>
      </c>
      <c r="F16" s="116" t="str">
        <f aca="false" t="array" ref="F16:F16">IFERROR(INDEX('CH4. Thông điệp nhắc việc'!$E:$E,MATCH($D16,'CH4. Thông điệp nhắc việc'!$A:$A,0)),"-")</f>
        <v>Người chấm test</v>
      </c>
      <c r="G16" s="117" t="str">
        <f aca="false">HYPERLINK("#'CH2. Tham số &amp; Quy tắc'!B"&amp;MATCH("slaGLA_hours",'CH2. Tham số &amp; Quy tắc'!$A:$A,0),"CH2: slaGLA_hours")</f>
        <v>CH2: slaGLA_hours</v>
      </c>
      <c r="H16" s="117" t="str">
        <f aca="false">HYPERLINK("#'CH4. Thông điệp nhắc việc'!C"&amp;MATCH("NA054",'CH4. Thông điệp nhắc việc'!$A:$A,0),"CH4: NA054")</f>
        <v>CH4: NA054</v>
      </c>
      <c r="I16" s="117" t="str">
        <f aca="false">HYPERLINK("#'DL03. Đặt lịch test'!U4","Mở ô")</f>
        <v>Mở ô</v>
      </c>
      <c r="J16" s="4"/>
      <c r="K16" s="4"/>
      <c r="L16" s="4"/>
      <c r="M16" s="4"/>
      <c r="N16" s="4"/>
      <c r="O16" s="4"/>
      <c r="P16" s="4"/>
      <c r="Q16" s="4"/>
      <c r="R16" s="4"/>
      <c r="S16" s="4"/>
      <c r="T16" s="4"/>
      <c r="U16" s="4"/>
      <c r="V16" s="4"/>
      <c r="W16" s="4"/>
      <c r="X16" s="4"/>
      <c r="Y16" s="4"/>
      <c r="Z16" s="4"/>
    </row>
    <row r="17" customFormat="false" ht="51" hidden="false" customHeight="true" outlineLevel="0" collapsed="false">
      <c r="A17" s="115" t="s">
        <v>480</v>
      </c>
      <c r="B17" s="116" t="s">
        <v>509</v>
      </c>
      <c r="C17" s="116" t="s">
        <v>510</v>
      </c>
      <c r="D17" s="115" t="s">
        <v>511</v>
      </c>
      <c r="E17" s="116" t="str">
        <f aca="false" t="array" ref="E17:E17">IFERROR(INDEX('CH4. Thông điệp nhắc việc'!$G:$G,MATCH($D17,'CH4. Thông điệp nhắc việc'!$A:$A,0)),"")</f>
        <v>Bài test chờ chấm, còn trong hạn 24 giờ (cấu hình slaGLA_hours). Việc cần làm: chấm bài sớm để kịp tư vấn.</v>
      </c>
      <c r="F17" s="116" t="str">
        <f aca="false" t="array" ref="F17:F17">IFERROR(INDEX('CH4. Thông điệp nhắc việc'!$E:$E,MATCH($D17,'CH4. Thông điệp nhắc việc'!$A:$A,0)),"-")</f>
        <v>Người chấm test</v>
      </c>
      <c r="G17" s="117" t="str">
        <f aca="false">HYPERLINK("#'CH2. Tham số &amp; Quy tắc'!B"&amp;MATCH("slaGLA_hours",'CH2. Tham số &amp; Quy tắc'!$A:$A,0),"CH2: slaGLA_hours")</f>
        <v>CH2: slaGLA_hours</v>
      </c>
      <c r="H17" s="117" t="str">
        <f aca="false">HYPERLINK("#'CH4. Thông điệp nhắc việc'!C"&amp;MATCH("NA055",'CH4. Thông điệp nhắc việc'!$A:$A,0),"CH4: NA055")</f>
        <v>CH4: NA055</v>
      </c>
      <c r="I17" s="117" t="str">
        <f aca="false">HYPERLINK("#'DL03. Đặt lịch test'!U4","Mở ô")</f>
        <v>Mở ô</v>
      </c>
      <c r="J17" s="4"/>
      <c r="K17" s="4"/>
      <c r="L17" s="4"/>
      <c r="M17" s="4"/>
      <c r="N17" s="4"/>
      <c r="O17" s="4"/>
      <c r="P17" s="4"/>
      <c r="Q17" s="4"/>
      <c r="R17" s="4"/>
      <c r="S17" s="4"/>
      <c r="T17" s="4"/>
      <c r="U17" s="4"/>
      <c r="V17" s="4"/>
      <c r="W17" s="4"/>
      <c r="X17" s="4"/>
      <c r="Y17" s="4"/>
      <c r="Z17" s="4"/>
    </row>
    <row r="18" customFormat="false" ht="51" hidden="false" customHeight="true" outlineLevel="0" collapsed="false">
      <c r="A18" s="115" t="s">
        <v>480</v>
      </c>
      <c r="B18" s="116" t="s">
        <v>512</v>
      </c>
      <c r="C18" s="116" t="s">
        <v>513</v>
      </c>
      <c r="D18" s="115" t="s">
        <v>514</v>
      </c>
      <c r="E18" s="116" t="str">
        <f aca="false" t="array" ref="E18:E18">IFERROR(INDEX('CH4. Thông điệp nhắc việc'!$G:$G,MATCH($D18,'CH4. Thông điệp nhắc việc'!$A:$A,0)),"")</f>
        <v>Đã chấm xong bài test. Việc cần làm: chuyển trạng thái sau test sang chờ tư vấn (awaiting).</v>
      </c>
      <c r="F18" s="116" t="str">
        <f aca="false" t="array" ref="F18:F18">IFERROR(INDEX('CH4. Thông điệp nhắc việc'!$E:$E,MATCH($D18,'CH4. Thông điệp nhắc việc'!$A:$A,0)),"-")</f>
        <v>NV Tư vấn</v>
      </c>
      <c r="G18" s="118" t="s">
        <v>220</v>
      </c>
      <c r="H18" s="117" t="str">
        <f aca="false">HYPERLINK("#'CH4. Thông điệp nhắc việc'!C"&amp;MATCH("NA056",'CH4. Thông điệp nhắc việc'!$A:$A,0),"CH4: NA056")</f>
        <v>CH4: NA056</v>
      </c>
      <c r="I18" s="117" t="str">
        <f aca="false">HYPERLINK("#'DL03. Đặt lịch test'!U4","Mở ô")</f>
        <v>Mở ô</v>
      </c>
      <c r="J18" s="4"/>
      <c r="K18" s="4"/>
      <c r="L18" s="4"/>
      <c r="M18" s="4"/>
      <c r="N18" s="4"/>
      <c r="O18" s="4"/>
      <c r="P18" s="4"/>
      <c r="Q18" s="4"/>
      <c r="R18" s="4"/>
      <c r="S18" s="4"/>
      <c r="T18" s="4"/>
      <c r="U18" s="4"/>
      <c r="V18" s="4"/>
      <c r="W18" s="4"/>
      <c r="X18" s="4"/>
      <c r="Y18" s="4"/>
      <c r="Z18" s="4"/>
    </row>
    <row r="19" customFormat="false" ht="51" hidden="false" customHeight="true" outlineLevel="0" collapsed="false">
      <c r="A19" s="115" t="s">
        <v>480</v>
      </c>
      <c r="B19" s="116" t="s">
        <v>515</v>
      </c>
      <c r="C19" s="116" t="s">
        <v>516</v>
      </c>
      <c r="D19" s="115" t="s">
        <v>517</v>
      </c>
      <c r="E19" s="116" t="str">
        <f aca="false" t="array" ref="E19:E19">IFERROR(INDEX('CH4. Thông điệp nhắc việc'!$G:$G,MATCH($D19,'CH4. Thông điệp nhắc việc'!$A:$A,0)),"")</f>
        <v>Khách đã có kết quả test nhưng quá 24 giờ (cấu hình slaCVT_hours) chưa được tư vấn. Việc cần làm: tư vấn ngay để chốt khi khách còn quan tâm.</v>
      </c>
      <c r="F19" s="116" t="str">
        <f aca="false" t="array" ref="F19:F19">IFERROR(INDEX('CH4. Thông điệp nhắc việc'!$E:$E,MATCH($D19,'CH4. Thông điệp nhắc việc'!$A:$A,0)),"-")</f>
        <v>NV Tư vấn</v>
      </c>
      <c r="G19" s="117" t="str">
        <f aca="false">HYPERLINK("#'CH2. Tham số &amp; Quy tắc'!B"&amp;MATCH("slaCVT_hours",'CH2. Tham số &amp; Quy tắc'!$A:$A,0),"CH2: slaCVT_hours")</f>
        <v>CH2: slaCVT_hours</v>
      </c>
      <c r="H19" s="117" t="str">
        <f aca="false">HYPERLINK("#'CH4. Thông điệp nhắc việc'!C"&amp;MATCH("NA001",'CH4. Thông điệp nhắc việc'!$A:$A,0),"CH4: NA001")</f>
        <v>CH4: NA001</v>
      </c>
      <c r="I19" s="117" t="str">
        <f aca="false">HYPERLINK("#'DL03. Đặt lịch test'!U4","Mở ô")</f>
        <v>Mở ô</v>
      </c>
      <c r="J19" s="4"/>
      <c r="K19" s="4"/>
      <c r="L19" s="4"/>
      <c r="M19" s="4"/>
      <c r="N19" s="4"/>
      <c r="O19" s="4"/>
      <c r="P19" s="4"/>
      <c r="Q19" s="4"/>
      <c r="R19" s="4"/>
      <c r="S19" s="4"/>
      <c r="T19" s="4"/>
      <c r="U19" s="4"/>
      <c r="V19" s="4"/>
      <c r="W19" s="4"/>
      <c r="X19" s="4"/>
      <c r="Y19" s="4"/>
      <c r="Z19" s="4"/>
    </row>
    <row r="20" customFormat="false" ht="51" hidden="false" customHeight="true" outlineLevel="0" collapsed="false">
      <c r="A20" s="115" t="s">
        <v>480</v>
      </c>
      <c r="B20" s="116" t="s">
        <v>518</v>
      </c>
      <c r="C20" s="116" t="s">
        <v>519</v>
      </c>
      <c r="D20" s="115" t="s">
        <v>520</v>
      </c>
      <c r="E20" s="116" t="str">
        <f aca="false" t="array" ref="E20:E20">IFERROR(INDEX('CH4. Thông điệp nhắc việc'!$G:$G,MATCH($D20,'CH4. Thông điệp nhắc việc'!$A:$A,0)),"")</f>
        <v>Đã tư vấn xong cho khách. Không cần làm gì thêm ở bước này.</v>
      </c>
      <c r="F20" s="116" t="str">
        <f aca="false" t="array" ref="F20:F20">IFERROR(INDEX('CH4. Thông điệp nhắc việc'!$E:$E,MATCH($D20,'CH4. Thông điệp nhắc việc'!$A:$A,0)),"-")</f>
        <v>NV Tư vấn</v>
      </c>
      <c r="G20" s="118" t="s">
        <v>220</v>
      </c>
      <c r="H20" s="117" t="str">
        <f aca="false">HYPERLINK("#'CH4. Thông điệp nhắc việc'!C"&amp;MATCH("NA002",'CH4. Thông điệp nhắc việc'!$A:$A,0),"CH4: NA002")</f>
        <v>CH4: NA002</v>
      </c>
      <c r="I20" s="117" t="str">
        <f aca="false">HYPERLINK("#'DL03. Đặt lịch test'!U4","Mở ô")</f>
        <v>Mở ô</v>
      </c>
      <c r="J20" s="4"/>
      <c r="K20" s="4"/>
      <c r="L20" s="4"/>
      <c r="M20" s="4"/>
      <c r="N20" s="4"/>
      <c r="O20" s="4"/>
      <c r="P20" s="4"/>
      <c r="Q20" s="4"/>
      <c r="R20" s="4"/>
      <c r="S20" s="4"/>
      <c r="T20" s="4"/>
      <c r="U20" s="4"/>
      <c r="V20" s="4"/>
      <c r="W20" s="4"/>
      <c r="X20" s="4"/>
      <c r="Y20" s="4"/>
      <c r="Z20" s="4"/>
    </row>
    <row r="21" customFormat="false" ht="51" hidden="false" customHeight="true" outlineLevel="0" collapsed="false">
      <c r="A21" s="119" t="s">
        <v>521</v>
      </c>
      <c r="B21" s="120" t="s">
        <v>522</v>
      </c>
      <c r="C21" s="120" t="s">
        <v>513</v>
      </c>
      <c r="D21" s="119" t="s">
        <v>523</v>
      </c>
      <c r="E21" s="120" t="str">
        <f aca="false" t="array" ref="E21:E21">IFERROR(INDEX('CH4. Thông điệp nhắc việc'!$G:$G,MATCH($D21,'CH4. Thông điệp nhắc việc'!$A:$A,0)),"")</f>
        <v>Cập nhật post_test_status = awaiting_consultation (chờ tư vấn)</v>
      </c>
      <c r="F21" s="120" t="str">
        <f aca="false" t="array" ref="F21:F21">IFERROR(INDEX('CH4. Thông điệp nhắc việc'!$E:$E,MATCH($D21,'CH4. Thông điệp nhắc việc'!$A:$A,0)),"-")</f>
        <v>Học vụ / hệ thống</v>
      </c>
      <c r="G21" s="121" t="s">
        <v>220</v>
      </c>
      <c r="H21" s="122" t="str">
        <f aca="false">HYPERLINK("#'CH4. Thông điệp nhắc việc'!C"&amp;MATCH("NA085",'CH4. Thông điệp nhắc việc'!$A:$A,0),"CH4: NA085")</f>
        <v>CH4: NA085</v>
      </c>
      <c r="I21" s="122" t="str">
        <f aca="false">HYPERLINK("#'DL03. Đặt lịch test'!T4","Mở ô")</f>
        <v>Mở ô</v>
      </c>
      <c r="J21" s="4"/>
      <c r="K21" s="4"/>
      <c r="L21" s="4"/>
      <c r="M21" s="4"/>
      <c r="N21" s="4"/>
      <c r="O21" s="4"/>
      <c r="P21" s="4"/>
      <c r="Q21" s="4"/>
      <c r="R21" s="4"/>
      <c r="S21" s="4"/>
      <c r="T21" s="4"/>
      <c r="U21" s="4"/>
      <c r="V21" s="4"/>
      <c r="W21" s="4"/>
      <c r="X21" s="4"/>
      <c r="Y21" s="4"/>
      <c r="Z21" s="4"/>
    </row>
    <row r="22" customFormat="false" ht="51" hidden="false" customHeight="true" outlineLevel="0" collapsed="false">
      <c r="A22" s="119" t="s">
        <v>521</v>
      </c>
      <c r="B22" s="120" t="s">
        <v>524</v>
      </c>
      <c r="C22" s="120" t="s">
        <v>525</v>
      </c>
      <c r="D22" s="119" t="s">
        <v>526</v>
      </c>
      <c r="E22" s="120" t="str">
        <f aca="false" t="array" ref="E22:E22">IFERROR(INDEX('CH4. Thông điệp nhắc việc'!$G:$G,MATCH($D22,'CH4. Thông điệp nhắc việc'!$A:$A,0)),"")</f>
        <v>Tạo Tư vấn mới (CS-...) cho lead này ở sheet DL04</v>
      </c>
      <c r="F22" s="120" t="str">
        <f aca="false" t="array" ref="F22:F22">IFERROR(INDEX('CH4. Thông điệp nhắc việc'!$E:$E,MATCH($D22,'CH4. Thông điệp nhắc việc'!$A:$A,0)),"-")</f>
        <v>NV Tư vấn</v>
      </c>
      <c r="G22" s="121" t="s">
        <v>220</v>
      </c>
      <c r="H22" s="122" t="str">
        <f aca="false">HYPERLINK("#'CH4. Thông điệp nhắc việc'!C"&amp;MATCH("NA086",'CH4. Thông điệp nhắc việc'!$A:$A,0),"CH4: NA086")</f>
        <v>CH4: NA086</v>
      </c>
      <c r="I22" s="122" t="str">
        <f aca="false">HYPERLINK("#'DL03. Đặt lịch test'!T4","Mở ô")</f>
        <v>Mở ô</v>
      </c>
      <c r="J22" s="4"/>
      <c r="K22" s="4"/>
      <c r="L22" s="4"/>
      <c r="M22" s="4"/>
      <c r="N22" s="4"/>
      <c r="O22" s="4"/>
      <c r="P22" s="4"/>
      <c r="Q22" s="4"/>
      <c r="R22" s="4"/>
      <c r="S22" s="4"/>
      <c r="T22" s="4"/>
      <c r="U22" s="4"/>
      <c r="V22" s="4"/>
      <c r="W22" s="4"/>
      <c r="X22" s="4"/>
      <c r="Y22" s="4"/>
      <c r="Z22" s="4"/>
    </row>
    <row r="23" customFormat="false" ht="19.5" hidden="false" customHeight="true" outlineLevel="0" collapsed="false">
      <c r="A23" s="114" t="s">
        <v>527</v>
      </c>
      <c r="B23" s="114"/>
      <c r="C23" s="114"/>
      <c r="D23" s="114"/>
      <c r="E23" s="114"/>
      <c r="F23" s="114"/>
      <c r="G23" s="114"/>
      <c r="H23" s="114"/>
      <c r="I23" s="114"/>
      <c r="J23" s="4"/>
      <c r="K23" s="4"/>
      <c r="L23" s="4"/>
      <c r="M23" s="4"/>
      <c r="N23" s="4"/>
      <c r="O23" s="4"/>
      <c r="P23" s="4"/>
      <c r="Q23" s="4"/>
      <c r="R23" s="4"/>
      <c r="S23" s="4"/>
      <c r="T23" s="4"/>
      <c r="U23" s="4"/>
      <c r="V23" s="4"/>
      <c r="W23" s="4"/>
      <c r="X23" s="4"/>
      <c r="Y23" s="4"/>
      <c r="Z23" s="4"/>
    </row>
    <row r="24" customFormat="false" ht="51" hidden="false" customHeight="true" outlineLevel="0" collapsed="false">
      <c r="A24" s="115" t="s">
        <v>480</v>
      </c>
      <c r="B24" s="116" t="s">
        <v>528</v>
      </c>
      <c r="C24" s="116" t="s">
        <v>529</v>
      </c>
      <c r="D24" s="115" t="s">
        <v>530</v>
      </c>
      <c r="E24" s="116" t="str">
        <f aca="false" t="array" ref="E24:E24">IFERROR(INDEX('CH4. Thông điệp nhắc việc'!$G:$G,MATCH($D24,'CH4. Thông điệp nhắc việc'!$A:$A,0)),"")</f>
        <v>Khách quan tâm nhưng đã quá 3 ngày (cấu hình slaFollowup_grace_days) chưa chốt. Việc cần làm: liên hệ chốt ngay khi khách còn quan tâm.</v>
      </c>
      <c r="F24" s="116" t="str">
        <f aca="false" t="array" ref="F24:F24">IFERROR(INDEX('CH4. Thông điệp nhắc việc'!$E:$E,MATCH($D24,'CH4. Thông điệp nhắc việc'!$A:$A,0)),"-")</f>
        <v>NV Tư vấn</v>
      </c>
      <c r="G24" s="117" t="str">
        <f aca="false">HYPERLINK("#'CH2. Tham số &amp; Quy tắc'!B"&amp;MATCH("slaFollowup_grace_days",'CH2. Tham số &amp; Quy tắc'!$A:$A,0),"CH2: slaFollowup_grace_days")</f>
        <v>CH2: slaFollowup_grace_days</v>
      </c>
      <c r="H24" s="117" t="str">
        <f aca="false">HYPERLINK("#'CH4. Thông điệp nhắc việc'!C"&amp;MATCH("NA003",'CH4. Thông điệp nhắc việc'!$A:$A,0),"CH4: NA003")</f>
        <v>CH4: NA003</v>
      </c>
      <c r="I24" s="117" t="str">
        <f aca="false">HYPERLINK("#'DL04. Tư vấn'!N4","Mở ô")</f>
        <v>Mở ô</v>
      </c>
      <c r="J24" s="4"/>
      <c r="K24" s="4"/>
      <c r="L24" s="4"/>
      <c r="M24" s="4"/>
      <c r="N24" s="4"/>
      <c r="O24" s="4"/>
      <c r="P24" s="4"/>
      <c r="Q24" s="4"/>
      <c r="R24" s="4"/>
      <c r="S24" s="4"/>
      <c r="T24" s="4"/>
      <c r="U24" s="4"/>
      <c r="V24" s="4"/>
      <c r="W24" s="4"/>
      <c r="X24" s="4"/>
      <c r="Y24" s="4"/>
      <c r="Z24" s="4"/>
    </row>
    <row r="25" customFormat="false" ht="51" hidden="false" customHeight="true" outlineLevel="0" collapsed="false">
      <c r="A25" s="115" t="s">
        <v>480</v>
      </c>
      <c r="B25" s="116" t="s">
        <v>531</v>
      </c>
      <c r="C25" s="116" t="s">
        <v>532</v>
      </c>
      <c r="D25" s="115" t="s">
        <v>533</v>
      </c>
      <c r="E25" s="116" t="str">
        <f aca="false" t="array" ref="E25:E25">IFERROR(INDEX('CH4. Thông điệp nhắc việc'!$G:$G,MATCH($D25,'CH4. Thông điệp nhắc việc'!$A:$A,0)),"")</f>
        <v>Khách đã đồng ý và đặt cọc. Việc cần làm: tạo đăng ký và thu cọc (chuyển sang sheet DL06 Đăng ký).</v>
      </c>
      <c r="F25" s="116" t="str">
        <f aca="false" t="array" ref="F25:F25">IFERROR(INDEX('CH4. Thông điệp nhắc việc'!$E:$E,MATCH($D25,'CH4. Thông điệp nhắc việc'!$A:$A,0)),"-")</f>
        <v>NV Tư vấn</v>
      </c>
      <c r="G25" s="118" t="s">
        <v>220</v>
      </c>
      <c r="H25" s="117" t="str">
        <f aca="false">HYPERLINK("#'CH4. Thông điệp nhắc việc'!C"&amp;MATCH("NA057",'CH4. Thông điệp nhắc việc'!$A:$A,0),"CH4: NA057")</f>
        <v>CH4: NA057</v>
      </c>
      <c r="I25" s="117" t="str">
        <f aca="false">HYPERLINK("#'DL04. Tư vấn'!N4","Mở ô")</f>
        <v>Mở ô</v>
      </c>
      <c r="J25" s="4"/>
      <c r="K25" s="4"/>
      <c r="L25" s="4"/>
      <c r="M25" s="4"/>
      <c r="N25" s="4"/>
      <c r="O25" s="4"/>
      <c r="P25" s="4"/>
      <c r="Q25" s="4"/>
      <c r="R25" s="4"/>
      <c r="S25" s="4"/>
      <c r="T25" s="4"/>
      <c r="U25" s="4"/>
      <c r="V25" s="4"/>
      <c r="W25" s="4"/>
      <c r="X25" s="4"/>
      <c r="Y25" s="4"/>
      <c r="Z25" s="4"/>
    </row>
    <row r="26" customFormat="false" ht="51" hidden="false" customHeight="true" outlineLevel="0" collapsed="false">
      <c r="A26" s="115" t="s">
        <v>480</v>
      </c>
      <c r="B26" s="116" t="s">
        <v>534</v>
      </c>
      <c r="C26" s="116" t="s">
        <v>535</v>
      </c>
      <c r="D26" s="115" t="s">
        <v>536</v>
      </c>
      <c r="E26" s="116" t="str">
        <f aca="false" t="array" ref="E26:E26">IFERROR(INDEX('CH4. Thông điệp nhắc việc'!$G:$G,MATCH($D26,'CH4. Thông điệp nhắc việc'!$A:$A,0)),"")</f>
        <v>Khách đã bỏ, không tiếp tục. Không cần làm gì thêm.</v>
      </c>
      <c r="F26" s="116" t="str">
        <f aca="false" t="array" ref="F26:F26">IFERROR(INDEX('CH4. Thông điệp nhắc việc'!$E:$E,MATCH($D26,'CH4. Thông điệp nhắc việc'!$A:$A,0)),"-")</f>
        <v>-</v>
      </c>
      <c r="G26" s="118" t="s">
        <v>220</v>
      </c>
      <c r="H26" s="117" t="str">
        <f aca="false">HYPERLINK("#'CH4. Thông điệp nhắc việc'!C"&amp;MATCH("NA058",'CH4. Thông điệp nhắc việc'!$A:$A,0),"CH4: NA058")</f>
        <v>CH4: NA058</v>
      </c>
      <c r="I26" s="117" t="str">
        <f aca="false">HYPERLINK("#'DL04. Tư vấn'!N4","Mở ô")</f>
        <v>Mở ô</v>
      </c>
      <c r="J26" s="4"/>
      <c r="K26" s="4"/>
      <c r="L26" s="4"/>
      <c r="M26" s="4"/>
      <c r="N26" s="4"/>
      <c r="O26" s="4"/>
      <c r="P26" s="4"/>
      <c r="Q26" s="4"/>
      <c r="R26" s="4"/>
      <c r="S26" s="4"/>
      <c r="T26" s="4"/>
      <c r="U26" s="4"/>
      <c r="V26" s="4"/>
      <c r="W26" s="4"/>
      <c r="X26" s="4"/>
      <c r="Y26" s="4"/>
      <c r="Z26" s="4"/>
    </row>
    <row r="27" customFormat="false" ht="51" hidden="false" customHeight="true" outlineLevel="0" collapsed="false">
      <c r="A27" s="115" t="s">
        <v>480</v>
      </c>
      <c r="B27" s="116" t="s">
        <v>537</v>
      </c>
      <c r="C27" s="116" t="s">
        <v>538</v>
      </c>
      <c r="D27" s="115" t="s">
        <v>539</v>
      </c>
      <c r="E27" s="116" t="str">
        <f aca="false" t="array" ref="E27:E27">IFERROR(INDEX('CH4. Thông điệp nhắc việc'!$G:$G,MATCH($D27,'CH4. Thông điệp nhắc việc'!$A:$A,0)),"")</f>
        <v>Khách chưa quyết định, vẫn trong thời gian theo dõi cho phép. Việc cần làm: tiếp tục theo dõi và chăm sóc.</v>
      </c>
      <c r="F27" s="116" t="str">
        <f aca="false" t="array" ref="F27:F27">IFERROR(INDEX('CH4. Thông điệp nhắc việc'!$E:$E,MATCH($D27,'CH4. Thông điệp nhắc việc'!$A:$A,0)),"-")</f>
        <v>NV Tư vấn</v>
      </c>
      <c r="G27" s="118" t="s">
        <v>220</v>
      </c>
      <c r="H27" s="117" t="str">
        <f aca="false">HYPERLINK("#'CH4. Thông điệp nhắc việc'!C"&amp;MATCH("NA004",'CH4. Thông điệp nhắc việc'!$A:$A,0),"CH4: NA004")</f>
        <v>CH4: NA004</v>
      </c>
      <c r="I27" s="117" t="str">
        <f aca="false">HYPERLINK("#'DL04. Tư vấn'!N4","Mở ô")</f>
        <v>Mở ô</v>
      </c>
      <c r="J27" s="4"/>
      <c r="K27" s="4"/>
      <c r="L27" s="4"/>
      <c r="M27" s="4"/>
      <c r="N27" s="4"/>
      <c r="O27" s="4"/>
      <c r="P27" s="4"/>
      <c r="Q27" s="4"/>
      <c r="R27" s="4"/>
      <c r="S27" s="4"/>
      <c r="T27" s="4"/>
      <c r="U27" s="4"/>
      <c r="V27" s="4"/>
      <c r="W27" s="4"/>
      <c r="X27" s="4"/>
      <c r="Y27" s="4"/>
      <c r="Z27" s="4"/>
    </row>
    <row r="28" customFormat="false" ht="19.5" hidden="false" customHeight="true" outlineLevel="0" collapsed="false">
      <c r="A28" s="114" t="s">
        <v>540</v>
      </c>
      <c r="B28" s="114"/>
      <c r="C28" s="114"/>
      <c r="D28" s="114"/>
      <c r="E28" s="114"/>
      <c r="F28" s="114"/>
      <c r="G28" s="114"/>
      <c r="H28" s="114"/>
      <c r="I28" s="114"/>
      <c r="J28" s="4"/>
      <c r="K28" s="4"/>
      <c r="L28" s="4"/>
      <c r="M28" s="4"/>
      <c r="N28" s="4"/>
      <c r="O28" s="4"/>
      <c r="P28" s="4"/>
      <c r="Q28" s="4"/>
      <c r="R28" s="4"/>
      <c r="S28" s="4"/>
      <c r="T28" s="4"/>
      <c r="U28" s="4"/>
      <c r="V28" s="4"/>
      <c r="W28" s="4"/>
      <c r="X28" s="4"/>
      <c r="Y28" s="4"/>
      <c r="Z28" s="4"/>
    </row>
    <row r="29" customFormat="false" ht="51" hidden="false" customHeight="true" outlineLevel="0" collapsed="false">
      <c r="A29" s="115" t="s">
        <v>480</v>
      </c>
      <c r="B29" s="116" t="s">
        <v>541</v>
      </c>
      <c r="C29" s="116" t="s">
        <v>542</v>
      </c>
      <c r="D29" s="115" t="s">
        <v>543</v>
      </c>
      <c r="E29" s="116" t="str">
        <f aca="false" t="array" ref="E29:E29">IFERROR(INDEX('CH4. Thông điệp nhắc việc'!$G:$G,MATCH($D29,'CH4. Thông điệp nhắc việc'!$A:$A,0)),"")</f>
        <v>Đăng ký đã hủy. Chính sách hoàn tiền (cấu hình): hoàn 100% nếu hủy trong 7 ngày, hoàn một phần nếu trong 14 ngày, hoàn mức thấp nếu trong 30 ngày, quá thì không hoàn. Việc cần làm: kiểm tra ngày hủy và xử lý hoàn tiền.</v>
      </c>
      <c r="F29" s="116" t="str">
        <f aca="false" t="array" ref="F29:F29">IFERROR(INDEX('CH4. Thông điệp nhắc việc'!$E:$E,MATCH($D29,'CH4. Thông điệp nhắc việc'!$A:$A,0)),"-")</f>
        <v>Kế toán / Học vụ</v>
      </c>
      <c r="G29" s="117" t="str">
        <f aca="false">HYPERLINK("#'CH2. Tham số &amp; Quy tắc'!B"&amp;MATCH("refundFull_days",'CH2. Tham số &amp; Quy tắc'!$A:$A,0),"CH2: refundFull_days +2")</f>
        <v>CH2: refundFull_days +2</v>
      </c>
      <c r="H29" s="117" t="str">
        <f aca="false">HYPERLINK("#'CH4. Thông điệp nhắc việc'!C"&amp;MATCH("NA059",'CH4. Thông điệp nhắc việc'!$A:$A,0),"CH4: NA059")</f>
        <v>CH4: NA059</v>
      </c>
      <c r="I29" s="117" t="str">
        <f aca="false">HYPERLINK("#'DL06. Đăng ký'!T4","Mở ô")</f>
        <v>Mở ô</v>
      </c>
      <c r="J29" s="4"/>
      <c r="K29" s="4"/>
      <c r="L29" s="4"/>
      <c r="M29" s="4"/>
      <c r="N29" s="4"/>
      <c r="O29" s="4"/>
      <c r="P29" s="4"/>
      <c r="Q29" s="4"/>
      <c r="R29" s="4"/>
      <c r="S29" s="4"/>
      <c r="T29" s="4"/>
      <c r="U29" s="4"/>
      <c r="V29" s="4"/>
      <c r="W29" s="4"/>
      <c r="X29" s="4"/>
      <c r="Y29" s="4"/>
      <c r="Z29" s="4"/>
    </row>
    <row r="30" customFormat="false" ht="51" hidden="false" customHeight="true" outlineLevel="0" collapsed="false">
      <c r="A30" s="115" t="s">
        <v>480</v>
      </c>
      <c r="B30" s="116" t="s">
        <v>544</v>
      </c>
      <c r="C30" s="116" t="s">
        <v>545</v>
      </c>
      <c r="D30" s="115" t="s">
        <v>546</v>
      </c>
      <c r="E30" s="116" t="str">
        <f aca="false" t="array" ref="E30:E30">IFERROR(INDEX('CH4. Thông điệp nhắc việc'!$G:$G,MATCH($D30,'CH4. Thông điệp nhắc việc'!$A:$A,0)),"")</f>
        <v>Đăng ký để ở trạng thái chờ quá 72 giờ (cấu hình slaENR_cancel_hours). Việc cần làm: cân nhắc hủy đăng ký ngay để dọn dữ liệu ảo.</v>
      </c>
      <c r="F30" s="116" t="str">
        <f aca="false" t="array" ref="F30:F30">IFERROR(INDEX('CH4. Thông điệp nhắc việc'!$E:$E,MATCH($D30,'CH4. Thông điệp nhắc việc'!$A:$A,0)),"-")</f>
        <v>NV Tư vấn / Học vụ</v>
      </c>
      <c r="G30" s="117" t="str">
        <f aca="false">HYPERLINK("#'CH2. Tham số &amp; Quy tắc'!B"&amp;MATCH("slaENR_cancel_hours",'CH2. Tham số &amp; Quy tắc'!$A:$A,0),"CH2: slaENR_cancel_hours")</f>
        <v>CH2: slaENR_cancel_hours</v>
      </c>
      <c r="H30" s="117" t="str">
        <f aca="false">HYPERLINK("#'CH4. Thông điệp nhắc việc'!C"&amp;MATCH("NA060",'CH4. Thông điệp nhắc việc'!$A:$A,0),"CH4: NA060")</f>
        <v>CH4: NA060</v>
      </c>
      <c r="I30" s="117" t="str">
        <f aca="false">HYPERLINK("#'DL06. Đăng ký'!T4","Mở ô")</f>
        <v>Mở ô</v>
      </c>
      <c r="J30" s="4"/>
      <c r="K30" s="4"/>
      <c r="L30" s="4"/>
      <c r="M30" s="4"/>
      <c r="N30" s="4"/>
      <c r="O30" s="4"/>
      <c r="P30" s="4"/>
      <c r="Q30" s="4"/>
      <c r="R30" s="4"/>
      <c r="S30" s="4"/>
      <c r="T30" s="4"/>
      <c r="U30" s="4"/>
      <c r="V30" s="4"/>
      <c r="W30" s="4"/>
      <c r="X30" s="4"/>
      <c r="Y30" s="4"/>
      <c r="Z30" s="4"/>
    </row>
    <row r="31" customFormat="false" ht="51" hidden="false" customHeight="true" outlineLevel="0" collapsed="false">
      <c r="A31" s="115" t="s">
        <v>480</v>
      </c>
      <c r="B31" s="116" t="s">
        <v>547</v>
      </c>
      <c r="C31" s="116" t="s">
        <v>548</v>
      </c>
      <c r="D31" s="115" t="s">
        <v>549</v>
      </c>
      <c r="E31" s="116" t="str">
        <f aca="false" t="array" ref="E31:E31">IFERROR(INDEX('CH4. Thông điệp nhắc việc'!$G:$G,MATCH($D31,'CH4. Thông điệp nhắc việc'!$A:$A,0)),"")</f>
        <v>Khoản giảm giá vượt mức cho phép 1,000,000đ (cấu hình thresholdDiscount_approval). Việc cần làm: trình cấp trên duyệt trước khi áp dụng.</v>
      </c>
      <c r="F31" s="116" t="str">
        <f aca="false" t="array" ref="F31:F31">IFERROR(INDEX('CH4. Thông điệp nhắc việc'!$E:$E,MATCH($D31,'CH4. Thông điệp nhắc việc'!$A:$A,0)),"-")</f>
        <v>Quản lý</v>
      </c>
      <c r="G31" s="117" t="str">
        <f aca="false">HYPERLINK("#'CH2. Tham số &amp; Quy tắc'!B"&amp;MATCH("thresholdDiscount_approval",'CH2. Tham số &amp; Quy tắc'!$A:$A,0),"CH2: thresholdDiscount_approval")</f>
        <v>CH2: thresholdDiscount_approval</v>
      </c>
      <c r="H31" s="117" t="str">
        <f aca="false">HYPERLINK("#'CH4. Thông điệp nhắc việc'!C"&amp;MATCH("NA061",'CH4. Thông điệp nhắc việc'!$A:$A,0),"CH4: NA061")</f>
        <v>CH4: NA061</v>
      </c>
      <c r="I31" s="117" t="str">
        <f aca="false">HYPERLINK("#'DL06. Đăng ký'!T4","Mở ô")</f>
        <v>Mở ô</v>
      </c>
      <c r="J31" s="4"/>
      <c r="K31" s="4"/>
      <c r="L31" s="4"/>
      <c r="M31" s="4"/>
      <c r="N31" s="4"/>
      <c r="O31" s="4"/>
      <c r="P31" s="4"/>
      <c r="Q31" s="4"/>
      <c r="R31" s="4"/>
      <c r="S31" s="4"/>
      <c r="T31" s="4"/>
      <c r="U31" s="4"/>
      <c r="V31" s="4"/>
      <c r="W31" s="4"/>
      <c r="X31" s="4"/>
      <c r="Y31" s="4"/>
      <c r="Z31" s="4"/>
    </row>
    <row r="32" customFormat="false" ht="51" hidden="false" customHeight="true" outlineLevel="0" collapsed="false">
      <c r="A32" s="115" t="s">
        <v>480</v>
      </c>
      <c r="B32" s="116" t="s">
        <v>550</v>
      </c>
      <c r="C32" s="116" t="s">
        <v>551</v>
      </c>
      <c r="D32" s="115" t="s">
        <v>552</v>
      </c>
      <c r="E32" s="116" t="str">
        <f aca="false" t="array" ref="E32:E32">IFERROR(INDEX('CH4. Thông điệp nhắc việc'!$G:$G,MATCH($D32,'CH4. Thông điệp nhắc việc'!$A:$A,0)),"")</f>
        <v>Đăng ký ở trạng thái chờ đã quá 24 giờ (cấu hình slaENR_pending_hours). Việc cần làm: xác nhận hoặc hủy đăng ký ngay.</v>
      </c>
      <c r="F32" s="116" t="str">
        <f aca="false" t="array" ref="F32:F32">IFERROR(INDEX('CH4. Thông điệp nhắc việc'!$E:$E,MATCH($D32,'CH4. Thông điệp nhắc việc'!$A:$A,0)),"-")</f>
        <v>NV Tư vấn / Học vụ</v>
      </c>
      <c r="G32" s="117" t="str">
        <f aca="false">HYPERLINK("#'CH2. Tham số &amp; Quy tắc'!B"&amp;MATCH("slaENR_pending_hours",'CH2. Tham số &amp; Quy tắc'!$A:$A,0),"CH2: slaENR_pending_hours")</f>
        <v>CH2: slaENR_pending_hours</v>
      </c>
      <c r="H32" s="117" t="str">
        <f aca="false">HYPERLINK("#'CH4. Thông điệp nhắc việc'!C"&amp;MATCH("NA005",'CH4. Thông điệp nhắc việc'!$A:$A,0),"CH4: NA005")</f>
        <v>CH4: NA005</v>
      </c>
      <c r="I32" s="117" t="str">
        <f aca="false">HYPERLINK("#'DL06. Đăng ký'!T4","Mở ô")</f>
        <v>Mở ô</v>
      </c>
      <c r="J32" s="4"/>
      <c r="K32" s="4"/>
      <c r="L32" s="4"/>
      <c r="M32" s="4"/>
      <c r="N32" s="4"/>
      <c r="O32" s="4"/>
      <c r="P32" s="4"/>
      <c r="Q32" s="4"/>
      <c r="R32" s="4"/>
      <c r="S32" s="4"/>
      <c r="T32" s="4"/>
      <c r="U32" s="4"/>
      <c r="V32" s="4"/>
      <c r="W32" s="4"/>
      <c r="X32" s="4"/>
      <c r="Y32" s="4"/>
      <c r="Z32" s="4"/>
    </row>
    <row r="33" customFormat="false" ht="51" hidden="false" customHeight="true" outlineLevel="0" collapsed="false">
      <c r="A33" s="115" t="s">
        <v>480</v>
      </c>
      <c r="B33" s="116" t="s">
        <v>553</v>
      </c>
      <c r="C33" s="116" t="s">
        <v>554</v>
      </c>
      <c r="D33" s="115" t="s">
        <v>555</v>
      </c>
      <c r="E33" s="116" t="str">
        <f aca="false" t="array" ref="E33:E33">IFERROR(INDEX('CH4. Thông điệp nhắc việc'!$G:$G,MATCH($D33,'CH4. Thông điệp nhắc việc'!$A:$A,0)),"")</f>
        <v>Đăng ký đã xác nhận nhưng chưa thu được tiền. Việc cần làm: thu học phí ngay.</v>
      </c>
      <c r="F33" s="116" t="str">
        <f aca="false" t="array" ref="F33:F33">IFERROR(INDEX('CH4. Thông điệp nhắc việc'!$E:$E,MATCH($D33,'CH4. Thông điệp nhắc việc'!$A:$A,0)),"-")</f>
        <v>NV Tư vấn</v>
      </c>
      <c r="G33" s="118" t="s">
        <v>220</v>
      </c>
      <c r="H33" s="117" t="str">
        <f aca="false">HYPERLINK("#'CH4. Thông điệp nhắc việc'!C"&amp;MATCH("NA006",'CH4. Thông điệp nhắc việc'!$A:$A,0),"CH4: NA006")</f>
        <v>CH4: NA006</v>
      </c>
      <c r="I33" s="117" t="str">
        <f aca="false">HYPERLINK("#'DL06. Đăng ký'!T4","Mở ô")</f>
        <v>Mở ô</v>
      </c>
      <c r="J33" s="4"/>
      <c r="K33" s="4"/>
      <c r="L33" s="4"/>
      <c r="M33" s="4"/>
      <c r="N33" s="4"/>
      <c r="O33" s="4"/>
      <c r="P33" s="4"/>
      <c r="Q33" s="4"/>
      <c r="R33" s="4"/>
      <c r="S33" s="4"/>
      <c r="T33" s="4"/>
      <c r="U33" s="4"/>
      <c r="V33" s="4"/>
      <c r="W33" s="4"/>
      <c r="X33" s="4"/>
      <c r="Y33" s="4"/>
      <c r="Z33" s="4"/>
    </row>
    <row r="34" customFormat="false" ht="51" hidden="false" customHeight="true" outlineLevel="0" collapsed="false">
      <c r="A34" s="115" t="s">
        <v>480</v>
      </c>
      <c r="B34" s="116" t="s">
        <v>556</v>
      </c>
      <c r="C34" s="116" t="s">
        <v>557</v>
      </c>
      <c r="D34" s="115" t="s">
        <v>558</v>
      </c>
      <c r="E34" s="116" t="str">
        <f aca="false" t="array" ref="E34:E34">IFERROR(INDEX('CH4. Thông điệp nhắc việc'!$G:$G,MATCH($D34,'CH4. Thông điệp nhắc việc'!$A:$A,0)),"")</f>
        <v>Còn khoản học phí chưa đóng và đã quá hạn 14 ngày (cấu hình slaPayment_grace_days). Việc cần làm: nhắc HV đóng phần còn lại ngay.</v>
      </c>
      <c r="F34" s="116" t="str">
        <f aca="false" t="array" ref="F34:F34">IFERROR(INDEX('CH4. Thông điệp nhắc việc'!$E:$E,MATCH($D34,'CH4. Thông điệp nhắc việc'!$A:$A,0)),"-")</f>
        <v>NV Tư vấn</v>
      </c>
      <c r="G34" s="117" t="str">
        <f aca="false">HYPERLINK("#'CH2. Tham số &amp; Quy tắc'!B"&amp;MATCH("slaPayment_grace_days",'CH2. Tham số &amp; Quy tắc'!$A:$A,0),"CH2: slaPayment_grace_days")</f>
        <v>CH2: slaPayment_grace_days</v>
      </c>
      <c r="H34" s="117" t="str">
        <f aca="false">HYPERLINK("#'CH4. Thông điệp nhắc việc'!C"&amp;MATCH("NA007",'CH4. Thông điệp nhắc việc'!$A:$A,0),"CH4: NA007")</f>
        <v>CH4: NA007</v>
      </c>
      <c r="I34" s="117" t="str">
        <f aca="false">HYPERLINK("#'DL06. Đăng ký'!T4","Mở ô")</f>
        <v>Mở ô</v>
      </c>
      <c r="J34" s="4"/>
      <c r="K34" s="4"/>
      <c r="L34" s="4"/>
      <c r="M34" s="4"/>
      <c r="N34" s="4"/>
      <c r="O34" s="4"/>
      <c r="P34" s="4"/>
      <c r="Q34" s="4"/>
      <c r="R34" s="4"/>
      <c r="S34" s="4"/>
      <c r="T34" s="4"/>
      <c r="U34" s="4"/>
      <c r="V34" s="4"/>
      <c r="W34" s="4"/>
      <c r="X34" s="4"/>
      <c r="Y34" s="4"/>
      <c r="Z34" s="4"/>
    </row>
    <row r="35" customFormat="false" ht="51" hidden="false" customHeight="true" outlineLevel="0" collapsed="false">
      <c r="A35" s="115" t="s">
        <v>480</v>
      </c>
      <c r="B35" s="116" t="s">
        <v>559</v>
      </c>
      <c r="C35" s="116" t="s">
        <v>560</v>
      </c>
      <c r="D35" s="115" t="s">
        <v>561</v>
      </c>
      <c r="E35" s="116" t="str">
        <f aca="false" t="array" ref="E35:E35">IFERROR(INDEX('CH4. Thông điệp nhắc việc'!$G:$G,MATCH($D35,'CH4. Thông điệp nhắc việc'!$A:$A,0)),"")</f>
        <v>Đăng ký đã xác nhận và HV đã đóng đủ tiền. Không cần làm gì thêm.</v>
      </c>
      <c r="F35" s="116" t="str">
        <f aca="false" t="array" ref="F35:F35">IFERROR(INDEX('CH4. Thông điệp nhắc việc'!$E:$E,MATCH($D35,'CH4. Thông điệp nhắc việc'!$A:$A,0)),"-")</f>
        <v>-</v>
      </c>
      <c r="G35" s="118" t="s">
        <v>220</v>
      </c>
      <c r="H35" s="117" t="str">
        <f aca="false">HYPERLINK("#'CH4. Thông điệp nhắc việc'!C"&amp;MATCH("NA009",'CH4. Thông điệp nhắc việc'!$A:$A,0),"CH4: NA009")</f>
        <v>CH4: NA009</v>
      </c>
      <c r="I35" s="117" t="str">
        <f aca="false">HYPERLINK("#'DL06. Đăng ký'!T4","Mở ô")</f>
        <v>Mở ô</v>
      </c>
      <c r="J35" s="4"/>
      <c r="K35" s="4"/>
      <c r="L35" s="4"/>
      <c r="M35" s="4"/>
      <c r="N35" s="4"/>
      <c r="O35" s="4"/>
      <c r="P35" s="4"/>
      <c r="Q35" s="4"/>
      <c r="R35" s="4"/>
      <c r="S35" s="4"/>
      <c r="T35" s="4"/>
      <c r="U35" s="4"/>
      <c r="V35" s="4"/>
      <c r="W35" s="4"/>
      <c r="X35" s="4"/>
      <c r="Y35" s="4"/>
      <c r="Z35" s="4"/>
    </row>
    <row r="36" customFormat="false" ht="51" hidden="false" customHeight="true" outlineLevel="0" collapsed="false">
      <c r="A36" s="119" t="s">
        <v>521</v>
      </c>
      <c r="B36" s="120" t="s">
        <v>562</v>
      </c>
      <c r="C36" s="120" t="s">
        <v>563</v>
      </c>
      <c r="D36" s="119" t="s">
        <v>564</v>
      </c>
      <c r="E36" s="120" t="str">
        <f aca="false" t="array" ref="E36:E36">IFERROR(INDEX('CH4. Thông điệp nhắc việc'!$G:$G,MATCH($D36,'CH4. Thông điệp nhắc việc'!$A:$A,0)),"")</f>
        <v>Đã đủ cọc tối thiểu 5,000,000đ - chuyển enrollment_status = confirmed và tạo Onboarding (DL08)</v>
      </c>
      <c r="F36" s="120" t="str">
        <f aca="false" t="array" ref="F36:F36">IFERROR(INDEX('CH4. Thông điệp nhắc việc'!$E:$E,MATCH($D36,'CH4. Thông điệp nhắc việc'!$A:$A,0)),"-")</f>
        <v>Kế toán / Học vụ</v>
      </c>
      <c r="G36" s="122" t="str">
        <f aca="false">HYPERLINK("#'CH2. Tham số &amp; Quy tắc'!B"&amp;MATCH("thresholdDeposit_minimum",'CH2. Tham số &amp; Quy tắc'!$A:$A,0),"CH2: thresholdDeposit_minimum")</f>
        <v>CH2: thresholdDeposit_minimum</v>
      </c>
      <c r="H36" s="122" t="str">
        <f aca="false">HYPERLINK("#'CH4. Thông điệp nhắc việc'!C"&amp;MATCH("NA087",'CH4. Thông điệp nhắc việc'!$A:$A,0),"CH4: NA087")</f>
        <v>CH4: NA087</v>
      </c>
      <c r="I36" s="122" t="str">
        <f aca="false">HYPERLINK("#'DL06. Đăng ký'!S4","Mở ô")</f>
        <v>Mở ô</v>
      </c>
      <c r="J36" s="4"/>
      <c r="K36" s="4"/>
      <c r="L36" s="4"/>
      <c r="M36" s="4"/>
      <c r="N36" s="4"/>
      <c r="O36" s="4"/>
      <c r="P36" s="4"/>
      <c r="Q36" s="4"/>
      <c r="R36" s="4"/>
      <c r="S36" s="4"/>
      <c r="T36" s="4"/>
      <c r="U36" s="4"/>
      <c r="V36" s="4"/>
      <c r="W36" s="4"/>
      <c r="X36" s="4"/>
      <c r="Y36" s="4"/>
      <c r="Z36" s="4"/>
    </row>
    <row r="37" customFormat="false" ht="51" hidden="false" customHeight="true" outlineLevel="0" collapsed="false">
      <c r="A37" s="119" t="s">
        <v>521</v>
      </c>
      <c r="B37" s="120" t="s">
        <v>565</v>
      </c>
      <c r="C37" s="120" t="s">
        <v>566</v>
      </c>
      <c r="D37" s="119" t="s">
        <v>567</v>
      </c>
      <c r="E37" s="120" t="str">
        <f aca="false" t="array" ref="E37:E37">IFERROR(INDEX('CH4. Thông điệp nhắc việc'!$G:$G,MATCH($D37,'CH4. Thông điệp nhắc việc'!$A:$A,0)),"")</f>
        <v>Đã thanh toán đủ - chuyển sang Onboarding (DL08) nếu chưa</v>
      </c>
      <c r="F37" s="120" t="str">
        <f aca="false" t="array" ref="F37:F37">IFERROR(INDEX('CH4. Thông điệp nhắc việc'!$E:$E,MATCH($D37,'CH4. Thông điệp nhắc việc'!$A:$A,0)),"-")</f>
        <v>Kế toán / Học vụ</v>
      </c>
      <c r="G37" s="121" t="s">
        <v>220</v>
      </c>
      <c r="H37" s="122" t="str">
        <f aca="false">HYPERLINK("#'CH4. Thông điệp nhắc việc'!C"&amp;MATCH("NA088",'CH4. Thông điệp nhắc việc'!$A:$A,0),"CH4: NA088")</f>
        <v>CH4: NA088</v>
      </c>
      <c r="I37" s="122" t="str">
        <f aca="false">HYPERLINK("#'DL06. Đăng ký'!S4","Mở ô")</f>
        <v>Mở ô</v>
      </c>
      <c r="J37" s="4"/>
      <c r="K37" s="4"/>
      <c r="L37" s="4"/>
      <c r="M37" s="4"/>
      <c r="N37" s="4"/>
      <c r="O37" s="4"/>
      <c r="P37" s="4"/>
      <c r="Q37" s="4"/>
      <c r="R37" s="4"/>
      <c r="S37" s="4"/>
      <c r="T37" s="4"/>
      <c r="U37" s="4"/>
      <c r="V37" s="4"/>
      <c r="W37" s="4"/>
      <c r="X37" s="4"/>
      <c r="Y37" s="4"/>
      <c r="Z37" s="4"/>
    </row>
    <row r="38" customFormat="false" ht="19.5" hidden="false" customHeight="true" outlineLevel="0" collapsed="false">
      <c r="A38" s="114" t="s">
        <v>568</v>
      </c>
      <c r="B38" s="114"/>
      <c r="C38" s="114"/>
      <c r="D38" s="114"/>
      <c r="E38" s="114"/>
      <c r="F38" s="114"/>
      <c r="G38" s="114"/>
      <c r="H38" s="114"/>
      <c r="I38" s="114"/>
      <c r="J38" s="4"/>
      <c r="K38" s="4"/>
      <c r="L38" s="4"/>
      <c r="M38" s="4"/>
      <c r="N38" s="4"/>
      <c r="O38" s="4"/>
      <c r="P38" s="4"/>
      <c r="Q38" s="4"/>
      <c r="R38" s="4"/>
      <c r="S38" s="4"/>
      <c r="T38" s="4"/>
      <c r="U38" s="4"/>
      <c r="V38" s="4"/>
      <c r="W38" s="4"/>
      <c r="X38" s="4"/>
      <c r="Y38" s="4"/>
      <c r="Z38" s="4"/>
    </row>
    <row r="39" customFormat="false" ht="51" hidden="false" customHeight="true" outlineLevel="0" collapsed="false">
      <c r="A39" s="115" t="s">
        <v>480</v>
      </c>
      <c r="B39" s="116" t="s">
        <v>569</v>
      </c>
      <c r="C39" s="116" t="s">
        <v>570</v>
      </c>
      <c r="D39" s="115" t="s">
        <v>571</v>
      </c>
      <c r="E39" s="116" t="str">
        <f aca="false" t="array" ref="E39:E39">IFERROR(INDEX('CH4. Thông điệp nhắc việc'!$G:$G,MATCH($D39,'CH4. Thông điệp nhắc việc'!$A:$A,0)),"")</f>
        <v>Đã xếp lớp nhưng quá 24 giờ (cấu hình slaClassInfoZalo_hours) chưa gửi thông tin lớp. Việc cần làm: gửi thông tin lớp qua Zalo cho HV ngay.</v>
      </c>
      <c r="F39" s="116" t="str">
        <f aca="false" t="array" ref="F39:F39">IFERROR(INDEX('CH4. Thông điệp nhắc việc'!$E:$E,MATCH($D39,'CH4. Thông điệp nhắc việc'!$A:$A,0)),"-")</f>
        <v>Học vụ</v>
      </c>
      <c r="G39" s="117" t="str">
        <f aca="false">HYPERLINK("#'CH2. Tham số &amp; Quy tắc'!B"&amp;MATCH("slaClassInfoZalo_hours",'CH2. Tham số &amp; Quy tắc'!$A:$A,0),"CH2: slaClassInfoZalo_hours")</f>
        <v>CH2: slaClassInfoZalo_hours</v>
      </c>
      <c r="H39" s="117" t="str">
        <f aca="false">HYPERLINK("#'CH4. Thông điệp nhắc việc'!C"&amp;MATCH("NA062",'CH4. Thông điệp nhắc việc'!$A:$A,0),"CH4: NA062")</f>
        <v>CH4: NA062</v>
      </c>
      <c r="I39" s="117" t="str">
        <f aca="false">HYPERLINK("#'DL08. Xếp lớp &amp; Nhập học'!Q4","Mở ô")</f>
        <v>Mở ô</v>
      </c>
      <c r="J39" s="4"/>
      <c r="K39" s="4"/>
      <c r="L39" s="4"/>
      <c r="M39" s="4"/>
      <c r="N39" s="4"/>
      <c r="O39" s="4"/>
      <c r="P39" s="4"/>
      <c r="Q39" s="4"/>
      <c r="R39" s="4"/>
      <c r="S39" s="4"/>
      <c r="T39" s="4"/>
      <c r="U39" s="4"/>
      <c r="V39" s="4"/>
      <c r="W39" s="4"/>
      <c r="X39" s="4"/>
      <c r="Y39" s="4"/>
      <c r="Z39" s="4"/>
    </row>
    <row r="40" customFormat="false" ht="51" hidden="false" customHeight="true" outlineLevel="0" collapsed="false">
      <c r="A40" s="115" t="s">
        <v>480</v>
      </c>
      <c r="B40" s="116" t="s">
        <v>572</v>
      </c>
      <c r="C40" s="116" t="s">
        <v>573</v>
      </c>
      <c r="D40" s="115" t="s">
        <v>574</v>
      </c>
      <c r="E40" s="116" t="str">
        <f aca="false" t="array" ref="E40:E40">IFERROR(INDEX('CH4. Thông điệp nhắc việc'!$G:$G,MATCH($D40,'CH4. Thông điệp nhắc việc'!$A:$A,0)),"")</f>
        <v>Đăng ký đã xác nhận nhưng quá 48 giờ (cấu hình slaPLR48_hours) chưa xếp lớp. Việc cần làm: xếp lớp ngay.</v>
      </c>
      <c r="F40" s="116" t="str">
        <f aca="false" t="array" ref="F40:F40">IFERROR(INDEX('CH4. Thông điệp nhắc việc'!$E:$E,MATCH($D40,'CH4. Thông điệp nhắc việc'!$A:$A,0)),"-")</f>
        <v>Học vụ</v>
      </c>
      <c r="G40" s="117" t="str">
        <f aca="false">HYPERLINK("#'CH2. Tham số &amp; Quy tắc'!B"&amp;MATCH("slaPLR48_hours",'CH2. Tham số &amp; Quy tắc'!$A:$A,0),"CH2: slaPLR48_hours")</f>
        <v>CH2: slaPLR48_hours</v>
      </c>
      <c r="H40" s="117" t="str">
        <f aca="false">HYPERLINK("#'CH4. Thông điệp nhắc việc'!C"&amp;MATCH("NA063",'CH4. Thông điệp nhắc việc'!$A:$A,0),"CH4: NA063")</f>
        <v>CH4: NA063</v>
      </c>
      <c r="I40" s="117" t="str">
        <f aca="false">HYPERLINK("#'DL08. Xếp lớp &amp; Nhập học'!Q4","Mở ô")</f>
        <v>Mở ô</v>
      </c>
      <c r="J40" s="4"/>
      <c r="K40" s="4"/>
      <c r="L40" s="4"/>
      <c r="M40" s="4"/>
      <c r="N40" s="4"/>
      <c r="O40" s="4"/>
      <c r="P40" s="4"/>
      <c r="Q40" s="4"/>
      <c r="R40" s="4"/>
      <c r="S40" s="4"/>
      <c r="T40" s="4"/>
      <c r="U40" s="4"/>
      <c r="V40" s="4"/>
      <c r="W40" s="4"/>
      <c r="X40" s="4"/>
      <c r="Y40" s="4"/>
      <c r="Z40" s="4"/>
    </row>
    <row r="41" customFormat="false" ht="51" hidden="false" customHeight="true" outlineLevel="0" collapsed="false">
      <c r="A41" s="115" t="s">
        <v>480</v>
      </c>
      <c r="B41" s="116" t="s">
        <v>575</v>
      </c>
      <c r="C41" s="116" t="s">
        <v>576</v>
      </c>
      <c r="D41" s="115" t="s">
        <v>577</v>
      </c>
      <c r="E41" s="116" t="str">
        <f aca="false" t="array" ref="E41:E41">IFERROR(INDEX('CH4. Thông điệp nhắc việc'!$G:$G,MATCH($D41,'CH4. Thông điệp nhắc việc'!$A:$A,0)),"")</f>
        <v>Đã xếp lớp nhưng quá 72 giờ (cấu hình slaOBT_hours) chưa hoàn tất nhập học. Việc cần làm: kiểm tra và đẩy nhanh nhập học ngay.</v>
      </c>
      <c r="F41" s="116" t="str">
        <f aca="false" t="array" ref="F41:F41">IFERROR(INDEX('CH4. Thông điệp nhắc việc'!$E:$E,MATCH($D41,'CH4. Thông điệp nhắc việc'!$A:$A,0)),"-")</f>
        <v>Học vụ</v>
      </c>
      <c r="G41" s="117" t="str">
        <f aca="false">HYPERLINK("#'CH2. Tham số &amp; Quy tắc'!B"&amp;MATCH("slaOBT_hours",'CH2. Tham số &amp; Quy tắc'!$A:$A,0),"CH2: slaOBT_hours")</f>
        <v>CH2: slaOBT_hours</v>
      </c>
      <c r="H41" s="117" t="str">
        <f aca="false">HYPERLINK("#'CH4. Thông điệp nhắc việc'!C"&amp;MATCH("NA010",'CH4. Thông điệp nhắc việc'!$A:$A,0),"CH4: NA010")</f>
        <v>CH4: NA010</v>
      </c>
      <c r="I41" s="117" t="str">
        <f aca="false">HYPERLINK("#'DL08. Xếp lớp &amp; Nhập học'!Q4","Mở ô")</f>
        <v>Mở ô</v>
      </c>
      <c r="J41" s="4"/>
      <c r="K41" s="4"/>
      <c r="L41" s="4"/>
      <c r="M41" s="4"/>
      <c r="N41" s="4"/>
      <c r="O41" s="4"/>
      <c r="P41" s="4"/>
      <c r="Q41" s="4"/>
      <c r="R41" s="4"/>
      <c r="S41" s="4"/>
      <c r="T41" s="4"/>
      <c r="U41" s="4"/>
      <c r="V41" s="4"/>
      <c r="W41" s="4"/>
      <c r="X41" s="4"/>
      <c r="Y41" s="4"/>
      <c r="Z41" s="4"/>
    </row>
    <row r="42" customFormat="false" ht="51" hidden="false" customHeight="true" outlineLevel="0" collapsed="false">
      <c r="A42" s="115" t="s">
        <v>480</v>
      </c>
      <c r="B42" s="116" t="s">
        <v>578</v>
      </c>
      <c r="C42" s="116" t="s">
        <v>579</v>
      </c>
      <c r="D42" s="115" t="s">
        <v>580</v>
      </c>
      <c r="E42" s="116" t="str">
        <f aca="false" t="array" ref="E42:E42">IFERROR(INDEX('CH4. Thông điệp nhắc việc'!$G:$G,MATCH($D42,'CH4. Thông điệp nhắc việc'!$A:$A,0)),"")</f>
        <v>Nhập học đang dở và đã quá 72 giờ (cấu hình slaOBT_hours). Việc cần làm: gửi tài liệu và hoàn tất thủ tục ngay.</v>
      </c>
      <c r="F42" s="116" t="str">
        <f aca="false" t="array" ref="F42:F42">IFERROR(INDEX('CH4. Thông điệp nhắc việc'!$E:$E,MATCH($D42,'CH4. Thông điệp nhắc việc'!$A:$A,0)),"-")</f>
        <v>Học vụ</v>
      </c>
      <c r="G42" s="117" t="str">
        <f aca="false">HYPERLINK("#'CH2. Tham số &amp; Quy tắc'!B"&amp;MATCH("slaOBT_hours",'CH2. Tham số &amp; Quy tắc'!$A:$A,0),"CH2: slaOBT_hours")</f>
        <v>CH2: slaOBT_hours</v>
      </c>
      <c r="H42" s="117" t="str">
        <f aca="false">HYPERLINK("#'CH4. Thông điệp nhắc việc'!C"&amp;MATCH("NA011",'CH4. Thông điệp nhắc việc'!$A:$A,0),"CH4: NA011")</f>
        <v>CH4: NA011</v>
      </c>
      <c r="I42" s="117" t="str">
        <f aca="false">HYPERLINK("#'DL08. Xếp lớp &amp; Nhập học'!Q4","Mở ô")</f>
        <v>Mở ô</v>
      </c>
      <c r="J42" s="4"/>
      <c r="K42" s="4"/>
      <c r="L42" s="4"/>
      <c r="M42" s="4"/>
      <c r="N42" s="4"/>
      <c r="O42" s="4"/>
      <c r="P42" s="4"/>
      <c r="Q42" s="4"/>
      <c r="R42" s="4"/>
      <c r="S42" s="4"/>
      <c r="T42" s="4"/>
      <c r="U42" s="4"/>
      <c r="V42" s="4"/>
      <c r="W42" s="4"/>
      <c r="X42" s="4"/>
      <c r="Y42" s="4"/>
      <c r="Z42" s="4"/>
    </row>
    <row r="43" customFormat="false" ht="51" hidden="false" customHeight="true" outlineLevel="0" collapsed="false">
      <c r="A43" s="115" t="s">
        <v>480</v>
      </c>
      <c r="B43" s="116" t="s">
        <v>581</v>
      </c>
      <c r="C43" s="116" t="s">
        <v>582</v>
      </c>
      <c r="D43" s="115" t="s">
        <v>583</v>
      </c>
      <c r="E43" s="116" t="str">
        <f aca="false" t="array" ref="E43:E43">IFERROR(INDEX('CH4. Thông điệp nhắc việc'!$G:$G,MATCH($D43,'CH4. Thông điệp nhắc việc'!$A:$A,0)),"")</f>
        <v>HV đã hoàn tất nhập học. Không cần làm gì thêm.</v>
      </c>
      <c r="F43" s="116" t="str">
        <f aca="false" t="array" ref="F43:F43">IFERROR(INDEX('CH4. Thông điệp nhắc việc'!$E:$E,MATCH($D43,'CH4. Thông điệp nhắc việc'!$A:$A,0)),"-")</f>
        <v>Học vụ</v>
      </c>
      <c r="G43" s="118" t="s">
        <v>220</v>
      </c>
      <c r="H43" s="117" t="str">
        <f aca="false">HYPERLINK("#'CH4. Thông điệp nhắc việc'!C"&amp;MATCH("NA012",'CH4. Thông điệp nhắc việc'!$A:$A,0),"CH4: NA012")</f>
        <v>CH4: NA012</v>
      </c>
      <c r="I43" s="117" t="str">
        <f aca="false">HYPERLINK("#'DL08. Xếp lớp &amp; Nhập học'!Q4","Mở ô")</f>
        <v>Mở ô</v>
      </c>
      <c r="J43" s="4"/>
      <c r="K43" s="4"/>
      <c r="L43" s="4"/>
      <c r="M43" s="4"/>
      <c r="N43" s="4"/>
      <c r="O43" s="4"/>
      <c r="P43" s="4"/>
      <c r="Q43" s="4"/>
      <c r="R43" s="4"/>
      <c r="S43" s="4"/>
      <c r="T43" s="4"/>
      <c r="U43" s="4"/>
      <c r="V43" s="4"/>
      <c r="W43" s="4"/>
      <c r="X43" s="4"/>
      <c r="Y43" s="4"/>
      <c r="Z43" s="4"/>
    </row>
    <row r="44" customFormat="false" ht="51" hidden="false" customHeight="true" outlineLevel="0" collapsed="false">
      <c r="A44" s="115" t="s">
        <v>480</v>
      </c>
      <c r="B44" s="116" t="s">
        <v>584</v>
      </c>
      <c r="C44" s="116" t="s">
        <v>585</v>
      </c>
      <c r="D44" s="115" t="s">
        <v>586</v>
      </c>
      <c r="E44" s="116" t="str">
        <f aca="false" t="array" ref="E44:E44">IFERROR(INDEX('CH4. Thông điệp nhắc việc'!$G:$G,MATCH($D44,'CH4. Thông điệp nhắc việc'!$A:$A,0)),"")</f>
        <v>Đang trong thời hạn xử lý cho phép, chưa cần thúc.</v>
      </c>
      <c r="F44" s="116" t="str">
        <f aca="false" t="array" ref="F44:F44">IFERROR(INDEX('CH4. Thông điệp nhắc việc'!$E:$E,MATCH($D44,'CH4. Thông điệp nhắc việc'!$A:$A,0)),"-")</f>
        <v>Học vụ</v>
      </c>
      <c r="G44" s="118" t="s">
        <v>220</v>
      </c>
      <c r="H44" s="117" t="str">
        <f aca="false">HYPERLINK("#'CH4. Thông điệp nhắc việc'!C"&amp;MATCH("NA013",'CH4. Thông điệp nhắc việc'!$A:$A,0),"CH4: NA013")</f>
        <v>CH4: NA013</v>
      </c>
      <c r="I44" s="117" t="str">
        <f aca="false">HYPERLINK("#'DL08. Xếp lớp &amp; Nhập học'!Q4","Mở ô")</f>
        <v>Mở ô</v>
      </c>
      <c r="J44" s="4"/>
      <c r="K44" s="4"/>
      <c r="L44" s="4"/>
      <c r="M44" s="4"/>
      <c r="N44" s="4"/>
      <c r="O44" s="4"/>
      <c r="P44" s="4"/>
      <c r="Q44" s="4"/>
      <c r="R44" s="4"/>
      <c r="S44" s="4"/>
      <c r="T44" s="4"/>
      <c r="U44" s="4"/>
      <c r="V44" s="4"/>
      <c r="W44" s="4"/>
      <c r="X44" s="4"/>
      <c r="Y44" s="4"/>
      <c r="Z44" s="4"/>
    </row>
    <row r="45" customFormat="false" ht="51" hidden="false" customHeight="true" outlineLevel="0" collapsed="false">
      <c r="A45" s="119" t="s">
        <v>521</v>
      </c>
      <c r="B45" s="120" t="s">
        <v>587</v>
      </c>
      <c r="C45" s="120" t="s">
        <v>588</v>
      </c>
      <c r="D45" s="119" t="s">
        <v>589</v>
      </c>
      <c r="E45" s="120" t="str">
        <f aca="false" t="array" ref="E45:E45">IFERROR(INDEX('CH4. Thông điệp nhắc việc'!$G:$G,MATCH($D45,'CH4. Thông điệp nhắc việc'!$A:$A,0)),"")</f>
        <v>Hoàn tất - set student.status = active (DL09)</v>
      </c>
      <c r="F45" s="120" t="str">
        <f aca="false" t="array" ref="F45:F45">IFERROR(INDEX('CH4. Thông điệp nhắc việc'!$E:$E,MATCH($D45,'CH4. Thông điệp nhắc việc'!$A:$A,0)),"-")</f>
        <v>Học vụ</v>
      </c>
      <c r="G45" s="121" t="s">
        <v>220</v>
      </c>
      <c r="H45" s="122" t="str">
        <f aca="false">HYPERLINK("#'CH4. Thông điệp nhắc việc'!C"&amp;MATCH("NA089",'CH4. Thông điệp nhắc việc'!$A:$A,0),"CH4: NA089")</f>
        <v>CH4: NA089</v>
      </c>
      <c r="I45" s="122" t="str">
        <f aca="false">HYPERLINK("#'DL08. Xếp lớp &amp; Nhập học'!P4","Mở ô")</f>
        <v>Mở ô</v>
      </c>
      <c r="J45" s="4"/>
      <c r="K45" s="4"/>
      <c r="L45" s="4"/>
      <c r="M45" s="4"/>
      <c r="N45" s="4"/>
      <c r="O45" s="4"/>
      <c r="P45" s="4"/>
      <c r="Q45" s="4"/>
      <c r="R45" s="4"/>
      <c r="S45" s="4"/>
      <c r="T45" s="4"/>
      <c r="U45" s="4"/>
      <c r="V45" s="4"/>
      <c r="W45" s="4"/>
      <c r="X45" s="4"/>
      <c r="Y45" s="4"/>
      <c r="Z45" s="4"/>
    </row>
    <row r="46" customFormat="false" ht="51" hidden="false" customHeight="true" outlineLevel="0" collapsed="false">
      <c r="A46" s="119" t="s">
        <v>521</v>
      </c>
      <c r="B46" s="120" t="s">
        <v>590</v>
      </c>
      <c r="C46" s="120" t="s">
        <v>591</v>
      </c>
      <c r="D46" s="119" t="s">
        <v>592</v>
      </c>
      <c r="E46" s="120" t="str">
        <f aca="false" t="array" ref="E46:E46">IFERROR(INDEX('CH4. Thông điệp nhắc việc'!$G:$G,MATCH($D46,'CH4. Thông điệp nhắc việc'!$A:$A,0)),"")</f>
        <v>Gửi: lịch học + giáo trình + nội quy + LMS guide, rồi set onboarding_status = completed</v>
      </c>
      <c r="F46" s="120" t="str">
        <f aca="false" t="array" ref="F46:F46">IFERROR(INDEX('CH4. Thông điệp nhắc việc'!$E:$E,MATCH($D46,'CH4. Thông điệp nhắc việc'!$A:$A,0)),"-")</f>
        <v>Học vụ</v>
      </c>
      <c r="G46" s="121" t="s">
        <v>220</v>
      </c>
      <c r="H46" s="122" t="str">
        <f aca="false">HYPERLINK("#'CH4. Thông điệp nhắc việc'!C"&amp;MATCH("NA090",'CH4. Thông điệp nhắc việc'!$A:$A,0),"CH4: NA090")</f>
        <v>CH4: NA090</v>
      </c>
      <c r="I46" s="122" t="str">
        <f aca="false">HYPERLINK("#'DL08. Xếp lớp &amp; Nhập học'!P4","Mở ô")</f>
        <v>Mở ô</v>
      </c>
      <c r="J46" s="4"/>
      <c r="K46" s="4"/>
      <c r="L46" s="4"/>
      <c r="M46" s="4"/>
      <c r="N46" s="4"/>
      <c r="O46" s="4"/>
      <c r="P46" s="4"/>
      <c r="Q46" s="4"/>
      <c r="R46" s="4"/>
      <c r="S46" s="4"/>
      <c r="T46" s="4"/>
      <c r="U46" s="4"/>
      <c r="V46" s="4"/>
      <c r="W46" s="4"/>
      <c r="X46" s="4"/>
      <c r="Y46" s="4"/>
      <c r="Z46" s="4"/>
    </row>
    <row r="47" customFormat="false" ht="19.5" hidden="false" customHeight="true" outlineLevel="0" collapsed="false">
      <c r="A47" s="114" t="s">
        <v>593</v>
      </c>
      <c r="B47" s="114"/>
      <c r="C47" s="114"/>
      <c r="D47" s="114"/>
      <c r="E47" s="114"/>
      <c r="F47" s="114"/>
      <c r="G47" s="114"/>
      <c r="H47" s="114"/>
      <c r="I47" s="114"/>
      <c r="J47" s="4"/>
      <c r="K47" s="4"/>
      <c r="L47" s="4"/>
      <c r="M47" s="4"/>
      <c r="N47" s="4"/>
      <c r="O47" s="4"/>
      <c r="P47" s="4"/>
      <c r="Q47" s="4"/>
      <c r="R47" s="4"/>
      <c r="S47" s="4"/>
      <c r="T47" s="4"/>
      <c r="U47" s="4"/>
      <c r="V47" s="4"/>
      <c r="W47" s="4"/>
      <c r="X47" s="4"/>
      <c r="Y47" s="4"/>
      <c r="Z47" s="4"/>
    </row>
    <row r="48" customFormat="false" ht="51" hidden="false" customHeight="true" outlineLevel="0" collapsed="false">
      <c r="A48" s="115" t="s">
        <v>480</v>
      </c>
      <c r="B48" s="116" t="s">
        <v>594</v>
      </c>
      <c r="C48" s="116" t="s">
        <v>595</v>
      </c>
      <c r="D48" s="115" t="s">
        <v>596</v>
      </c>
      <c r="E48" s="116" t="str">
        <f aca="false" t="array" ref="E48:E48">IFERROR(INDEX('CH4. Thông điệp nhắc việc'!$G:$G,MATCH($D48,'CH4. Thông điệp nhắc việc'!$A:$A,0)),"")</f>
        <v>HV vắng không phép từ 2 buổi trở lên (cấu hình thresholdAtRisk_absences). Việc cần làm: đánh dấu nguy cơ chuyên cần, học vụ liên hệ HV ngay.</v>
      </c>
      <c r="F48" s="116" t="str">
        <f aca="false" t="array" ref="F48:F48">IFERROR(INDEX('CH4. Thông điệp nhắc việc'!$E:$E,MATCH($D48,'CH4. Thông điệp nhắc việc'!$A:$A,0)),"-")</f>
        <v>Học vụ</v>
      </c>
      <c r="G48" s="117" t="str">
        <f aca="false">HYPERLINK("#'CH2. Tham số &amp; Quy tắc'!B"&amp;MATCH("thresholdAtRisk_absences",'CH2. Tham số &amp; Quy tắc'!$A:$A,0),"CH2: thresholdAtRisk_absences")</f>
        <v>CH2: thresholdAtRisk_absences</v>
      </c>
      <c r="H48" s="117" t="str">
        <f aca="false">HYPERLINK("#'CH4. Thông điệp nhắc việc'!C"&amp;MATCH("NA064",'CH4. Thông điệp nhắc việc'!$A:$A,0),"CH4: NA064")</f>
        <v>CH4: NA064</v>
      </c>
      <c r="I48" s="117" t="str">
        <f aca="false">HYPERLINK("#'DL09. Học viên'!AD4","Mở ô")</f>
        <v>Mở ô</v>
      </c>
      <c r="J48" s="4"/>
      <c r="K48" s="4"/>
      <c r="L48" s="4"/>
      <c r="M48" s="4"/>
      <c r="N48" s="4"/>
      <c r="O48" s="4"/>
      <c r="P48" s="4"/>
      <c r="Q48" s="4"/>
      <c r="R48" s="4"/>
      <c r="S48" s="4"/>
      <c r="T48" s="4"/>
      <c r="U48" s="4"/>
      <c r="V48" s="4"/>
      <c r="W48" s="4"/>
      <c r="X48" s="4"/>
      <c r="Y48" s="4"/>
      <c r="Z48" s="4"/>
    </row>
    <row r="49" customFormat="false" ht="51" hidden="false" customHeight="true" outlineLevel="0" collapsed="false">
      <c r="A49" s="115" t="s">
        <v>480</v>
      </c>
      <c r="B49" s="116" t="s">
        <v>597</v>
      </c>
      <c r="C49" s="116" t="s">
        <v>598</v>
      </c>
      <c r="D49" s="115" t="s">
        <v>599</v>
      </c>
      <c r="E49" s="116" t="str">
        <f aca="false" t="array" ref="E49:E49">IFERROR(INDEX('CH4. Thông điệp nhắc việc'!$G:$G,MATCH($D49,'CH4. Thông điệp nhắc việc'!$A:$A,0)),"")</f>
        <v>HV thiếu bài tập từ 3 lần trở lên (cấu hình thresholdAtRisk_hw_missing). Việc cần làm: đánh dấu nguy cơ học thuật, can thiệp ngay.</v>
      </c>
      <c r="F49" s="116" t="str">
        <f aca="false" t="array" ref="F49:F49">IFERROR(INDEX('CH4. Thông điệp nhắc việc'!$E:$E,MATCH($D49,'CH4. Thông điệp nhắc việc'!$A:$A,0)),"-")</f>
        <v>Học vụ</v>
      </c>
      <c r="G49" s="117" t="str">
        <f aca="false">HYPERLINK("#'CH2. Tham số &amp; Quy tắc'!B"&amp;MATCH("thresholdAtRisk_hw_missing",'CH2. Tham số &amp; Quy tắc'!$A:$A,0),"CH2: thresholdAtRisk_hw_missing")</f>
        <v>CH2: thresholdAtRisk_hw_missing</v>
      </c>
      <c r="H49" s="117" t="str">
        <f aca="false">HYPERLINK("#'CH4. Thông điệp nhắc việc'!C"&amp;MATCH("NA065",'CH4. Thông điệp nhắc việc'!$A:$A,0),"CH4: NA065")</f>
        <v>CH4: NA065</v>
      </c>
      <c r="I49" s="117" t="str">
        <f aca="false">HYPERLINK("#'DL09. Học viên'!AD4","Mở ô")</f>
        <v>Mở ô</v>
      </c>
      <c r="J49" s="4"/>
      <c r="K49" s="4"/>
      <c r="L49" s="4"/>
      <c r="M49" s="4"/>
      <c r="N49" s="4"/>
      <c r="O49" s="4"/>
      <c r="P49" s="4"/>
      <c r="Q49" s="4"/>
      <c r="R49" s="4"/>
      <c r="S49" s="4"/>
      <c r="T49" s="4"/>
      <c r="U49" s="4"/>
      <c r="V49" s="4"/>
      <c r="W49" s="4"/>
      <c r="X49" s="4"/>
      <c r="Y49" s="4"/>
      <c r="Z49" s="4"/>
    </row>
    <row r="50" customFormat="false" ht="51" hidden="false" customHeight="true" outlineLevel="0" collapsed="false">
      <c r="A50" s="115" t="s">
        <v>480</v>
      </c>
      <c r="B50" s="116" t="s">
        <v>600</v>
      </c>
      <c r="C50" s="116" t="s">
        <v>601</v>
      </c>
      <c r="D50" s="115" t="s">
        <v>602</v>
      </c>
      <c r="E50" s="116" t="str">
        <f aca="false" t="array" ref="E50:E50">IFERROR(INDEX('CH4. Thông điệp nhắc việc'!$G:$G,MATCH($D50,'CH4. Thông điệp nhắc việc'!$A:$A,0)),"")</f>
        <v>HV vừa yếu chuyên cần vừa yếu học thuật (mức nguy hiểm). Việc cần làm: họp 4 bên gấp và đặt buổi WOW kèm học thuật.</v>
      </c>
      <c r="F50" s="116" t="str">
        <f aca="false" t="array" ref="F50:F50">IFERROR(INDEX('CH4. Thông điệp nhắc việc'!$E:$E,MATCH($D50,'CH4. Thông điệp nhắc việc'!$A:$A,0)),"-")</f>
        <v>Học vụ + Quản lý</v>
      </c>
      <c r="G50" s="118" t="s">
        <v>220</v>
      </c>
      <c r="H50" s="117" t="str">
        <f aca="false">HYPERLINK("#'CH4. Thông điệp nhắc việc'!C"&amp;MATCH("NA014",'CH4. Thông điệp nhắc việc'!$A:$A,0),"CH4: NA014")</f>
        <v>CH4: NA014</v>
      </c>
      <c r="I50" s="117" t="str">
        <f aca="false">HYPERLINK("#'DL09. Học viên'!AD4","Mở ô")</f>
        <v>Mở ô</v>
      </c>
      <c r="J50" s="4"/>
      <c r="K50" s="4"/>
      <c r="L50" s="4"/>
      <c r="M50" s="4"/>
      <c r="N50" s="4"/>
      <c r="O50" s="4"/>
      <c r="P50" s="4"/>
      <c r="Q50" s="4"/>
      <c r="R50" s="4"/>
      <c r="S50" s="4"/>
      <c r="T50" s="4"/>
      <c r="U50" s="4"/>
      <c r="V50" s="4"/>
      <c r="W50" s="4"/>
      <c r="X50" s="4"/>
      <c r="Y50" s="4"/>
      <c r="Z50" s="4"/>
    </row>
    <row r="51" customFormat="false" ht="51" hidden="false" customHeight="true" outlineLevel="0" collapsed="false">
      <c r="A51" s="115" t="s">
        <v>480</v>
      </c>
      <c r="B51" s="116" t="s">
        <v>603</v>
      </c>
      <c r="C51" s="116" t="s">
        <v>604</v>
      </c>
      <c r="D51" s="115" t="s">
        <v>605</v>
      </c>
      <c r="E51" s="116" t="str">
        <f aca="false" t="array" ref="E51:E51">IFERROR(INDEX('CH4. Thông điệp nhắc việc'!$G:$G,MATCH($D51,'CH4. Thông điệp nhắc việc'!$A:$A,0)),"")</f>
        <v>Tiến độ học thuật của HV rớt khỏi lộ trình. Việc cần làm: họp 3 bên gấp (trong 24 giờ) và đặt buổi WOW.</v>
      </c>
      <c r="F51" s="116" t="str">
        <f aca="false" t="array" ref="F51:F51">IFERROR(INDEX('CH4. Thông điệp nhắc việc'!$E:$E,MATCH($D51,'CH4. Thông điệp nhắc việc'!$A:$A,0)),"-")</f>
        <v>Học vụ</v>
      </c>
      <c r="G51" s="118" t="s">
        <v>220</v>
      </c>
      <c r="H51" s="117" t="str">
        <f aca="false">HYPERLINK("#'CH4. Thông điệp nhắc việc'!C"&amp;MATCH("NA015",'CH4. Thông điệp nhắc việc'!$A:$A,0),"CH4: NA015")</f>
        <v>CH4: NA015</v>
      </c>
      <c r="I51" s="117" t="str">
        <f aca="false">HYPERLINK("#'DL09. Học viên'!AD4","Mở ô")</f>
        <v>Mở ô</v>
      </c>
      <c r="J51" s="4"/>
      <c r="K51" s="4"/>
      <c r="L51" s="4"/>
      <c r="M51" s="4"/>
      <c r="N51" s="4"/>
      <c r="O51" s="4"/>
      <c r="P51" s="4"/>
      <c r="Q51" s="4"/>
      <c r="R51" s="4"/>
      <c r="S51" s="4"/>
      <c r="T51" s="4"/>
      <c r="U51" s="4"/>
      <c r="V51" s="4"/>
      <c r="W51" s="4"/>
      <c r="X51" s="4"/>
      <c r="Y51" s="4"/>
      <c r="Z51" s="4"/>
    </row>
    <row r="52" customFormat="false" ht="51" hidden="false" customHeight="true" outlineLevel="0" collapsed="false">
      <c r="A52" s="115" t="s">
        <v>480</v>
      </c>
      <c r="B52" s="116" t="s">
        <v>606</v>
      </c>
      <c r="C52" s="116" t="s">
        <v>607</v>
      </c>
      <c r="D52" s="115" t="s">
        <v>608</v>
      </c>
      <c r="E52" s="116" t="str">
        <f aca="false" t="array" ref="E52:E52">IFERROR(INDEX('CH4. Thông điệp nhắc việc'!$G:$G,MATCH($D52,'CH4. Thông điệp nhắc việc'!$A:$A,0)),"")</f>
        <v>Chuyên cần của HV sa sút nặng. Việc cần làm: họp 3 bên gấp (trong 24 giờ).</v>
      </c>
      <c r="F52" s="116" t="str">
        <f aca="false" t="array" ref="F52:F52">IFERROR(INDEX('CH4. Thông điệp nhắc việc'!$E:$E,MATCH($D52,'CH4. Thông điệp nhắc việc'!$A:$A,0)),"-")</f>
        <v>Học vụ</v>
      </c>
      <c r="G52" s="118" t="s">
        <v>220</v>
      </c>
      <c r="H52" s="117" t="str">
        <f aca="false">HYPERLINK("#'CH4. Thông điệp nhắc việc'!C"&amp;MATCH("NA016",'CH4. Thông điệp nhắc việc'!$A:$A,0),"CH4: NA016")</f>
        <v>CH4: NA016</v>
      </c>
      <c r="I52" s="117" t="str">
        <f aca="false">HYPERLINK("#'DL09. Học viên'!AD4","Mở ô")</f>
        <v>Mở ô</v>
      </c>
      <c r="J52" s="4"/>
      <c r="K52" s="4"/>
      <c r="L52" s="4"/>
      <c r="M52" s="4"/>
      <c r="N52" s="4"/>
      <c r="O52" s="4"/>
      <c r="P52" s="4"/>
      <c r="Q52" s="4"/>
      <c r="R52" s="4"/>
      <c r="S52" s="4"/>
      <c r="T52" s="4"/>
      <c r="U52" s="4"/>
      <c r="V52" s="4"/>
      <c r="W52" s="4"/>
      <c r="X52" s="4"/>
      <c r="Y52" s="4"/>
      <c r="Z52" s="4"/>
    </row>
    <row r="53" customFormat="false" ht="51" hidden="false" customHeight="true" outlineLevel="0" collapsed="false">
      <c r="A53" s="115" t="s">
        <v>480</v>
      </c>
      <c r="B53" s="116" t="s">
        <v>609</v>
      </c>
      <c r="C53" s="116" t="s">
        <v>610</v>
      </c>
      <c r="D53" s="115" t="s">
        <v>611</v>
      </c>
      <c r="E53" s="116" t="str">
        <f aca="false" t="array" ref="E53:E53">IFERROR(INDEX('CH4. Thông điệp nhắc việc'!$G:$G,MATCH($D53,'CH4. Thông điệp nhắc việc'!$A:$A,0)),"")</f>
        <v>Học thuật của HV có dấu hiệu rủi ro (at-risk). Việc cần làm: học vụ đặt buổi WOW kèm học thuật (academic_support, theo SOP P7).</v>
      </c>
      <c r="F53" s="116" t="str">
        <f aca="false" t="array" ref="F53:F53">IFERROR(INDEX('CH4. Thông điệp nhắc việc'!$E:$E,MATCH($D53,'CH4. Thông điệp nhắc việc'!$A:$A,0)),"-")</f>
        <v>Học vụ</v>
      </c>
      <c r="G53" s="118" t="s">
        <v>220</v>
      </c>
      <c r="H53" s="117" t="str">
        <f aca="false">HYPERLINK("#'CH4. Thông điệp nhắc việc'!C"&amp;MATCH("NA066",'CH4. Thông điệp nhắc việc'!$A:$A,0),"CH4: NA066")</f>
        <v>CH4: NA066</v>
      </c>
      <c r="I53" s="117" t="str">
        <f aca="false">HYPERLINK("#'DL09. Học viên'!AD4","Mở ô")</f>
        <v>Mở ô</v>
      </c>
      <c r="J53" s="4"/>
      <c r="K53" s="4"/>
      <c r="L53" s="4"/>
      <c r="M53" s="4"/>
      <c r="N53" s="4"/>
      <c r="O53" s="4"/>
      <c r="P53" s="4"/>
      <c r="Q53" s="4"/>
      <c r="R53" s="4"/>
      <c r="S53" s="4"/>
      <c r="T53" s="4"/>
      <c r="U53" s="4"/>
      <c r="V53" s="4"/>
      <c r="W53" s="4"/>
      <c r="X53" s="4"/>
      <c r="Y53" s="4"/>
      <c r="Z53" s="4"/>
    </row>
    <row r="54" customFormat="false" ht="51" hidden="false" customHeight="true" outlineLevel="0" collapsed="false">
      <c r="A54" s="115" t="s">
        <v>480</v>
      </c>
      <c r="B54" s="116" t="s">
        <v>612</v>
      </c>
      <c r="C54" s="116" t="s">
        <v>613</v>
      </c>
      <c r="D54" s="115" t="s">
        <v>614</v>
      </c>
      <c r="E54" s="116" t="str">
        <f aca="false" t="array" ref="E54:E54">IFERROR(INDEX('CH4. Thông điệp nhắc việc'!$G:$G,MATCH($D54,'CH4. Thông điệp nhắc việc'!$A:$A,0)),"")</f>
        <v>Chuyên cần có dấu hiệu rủi ro. Việc cần làm: can thiệp, liên hệ HV trong 24-48 giờ.</v>
      </c>
      <c r="F54" s="116" t="str">
        <f aca="false" t="array" ref="F54:F54">IFERROR(INDEX('CH4. Thông điệp nhắc việc'!$E:$E,MATCH($D54,'CH4. Thông điệp nhắc việc'!$A:$A,0)),"-")</f>
        <v>Học vụ</v>
      </c>
      <c r="G54" s="118" t="s">
        <v>220</v>
      </c>
      <c r="H54" s="117" t="str">
        <f aca="false">HYPERLINK("#'CH4. Thông điệp nhắc việc'!C"&amp;MATCH("NA017",'CH4. Thông điệp nhắc việc'!$A:$A,0),"CH4: NA017")</f>
        <v>CH4: NA017</v>
      </c>
      <c r="I54" s="117" t="str">
        <f aca="false">HYPERLINK("#'DL09. Học viên'!AD4","Mở ô")</f>
        <v>Mở ô</v>
      </c>
      <c r="J54" s="4"/>
      <c r="K54" s="4"/>
      <c r="L54" s="4"/>
      <c r="M54" s="4"/>
      <c r="N54" s="4"/>
      <c r="O54" s="4"/>
      <c r="P54" s="4"/>
      <c r="Q54" s="4"/>
      <c r="R54" s="4"/>
      <c r="S54" s="4"/>
      <c r="T54" s="4"/>
      <c r="U54" s="4"/>
      <c r="V54" s="4"/>
      <c r="W54" s="4"/>
      <c r="X54" s="4"/>
      <c r="Y54" s="4"/>
      <c r="Z54" s="4"/>
    </row>
    <row r="55" customFormat="false" ht="51" hidden="false" customHeight="true" outlineLevel="0" collapsed="false">
      <c r="A55" s="115" t="s">
        <v>480</v>
      </c>
      <c r="B55" s="116" t="s">
        <v>615</v>
      </c>
      <c r="C55" s="116" t="s">
        <v>616</v>
      </c>
      <c r="D55" s="115" t="s">
        <v>617</v>
      </c>
      <c r="E55" s="116" t="str">
        <f aca="false" t="array" ref="E55:E55">IFERROR(INDEX('CH4. Thông điệp nhắc việc'!$G:$G,MATCH($D55,'CH4. Thông điệp nhắc việc'!$A:$A,0)),"")</f>
        <v>HV không có hoạt động học quá 7 ngày (cấu hình slaActivity_inactive_days). Việc cần làm: liên hệ kiểm tra tình hình HV ngay.</v>
      </c>
      <c r="F55" s="116" t="str">
        <f aca="false" t="array" ref="F55:F55">IFERROR(INDEX('CH4. Thông điệp nhắc việc'!$E:$E,MATCH($D55,'CH4. Thông điệp nhắc việc'!$A:$A,0)),"-")</f>
        <v>Học vụ</v>
      </c>
      <c r="G55" s="117" t="str">
        <f aca="false">HYPERLINK("#'CH2. Tham số &amp; Quy tắc'!B"&amp;MATCH("slaActivity_inactive_days",'CH2. Tham số &amp; Quy tắc'!$A:$A,0),"CH2: slaActivity_inactive_days")</f>
        <v>CH2: slaActivity_inactive_days</v>
      </c>
      <c r="H55" s="117" t="str">
        <f aca="false">HYPERLINK("#'CH4. Thông điệp nhắc việc'!C"&amp;MATCH("NA067",'CH4. Thông điệp nhắc việc'!$A:$A,0),"CH4: NA067")</f>
        <v>CH4: NA067</v>
      </c>
      <c r="I55" s="117" t="str">
        <f aca="false">HYPERLINK("#'DL09. Học viên'!AD4","Mở ô")</f>
        <v>Mở ô</v>
      </c>
      <c r="J55" s="4"/>
      <c r="K55" s="4"/>
      <c r="L55" s="4"/>
      <c r="M55" s="4"/>
      <c r="N55" s="4"/>
      <c r="O55" s="4"/>
      <c r="P55" s="4"/>
      <c r="Q55" s="4"/>
      <c r="R55" s="4"/>
      <c r="S55" s="4"/>
      <c r="T55" s="4"/>
      <c r="U55" s="4"/>
      <c r="V55" s="4"/>
      <c r="W55" s="4"/>
      <c r="X55" s="4"/>
      <c r="Y55" s="4"/>
      <c r="Z55" s="4"/>
    </row>
    <row r="56" customFormat="false" ht="51" hidden="false" customHeight="true" outlineLevel="0" collapsed="false">
      <c r="A56" s="115" t="s">
        <v>480</v>
      </c>
      <c r="B56" s="116" t="s">
        <v>618</v>
      </c>
      <c r="C56" s="116" t="s">
        <v>585</v>
      </c>
      <c r="D56" s="115" t="s">
        <v>619</v>
      </c>
      <c r="E56" s="116" t="str">
        <f aca="false" t="array" ref="E56:E56">IFERROR(INDEX('CH4. Thông điệp nhắc việc'!$G:$G,MATCH($D56,'CH4. Thông điệp nhắc việc'!$A:$A,0)),"")</f>
        <v>HV đang học đều và ổn định. Không cần làm gì thêm.</v>
      </c>
      <c r="F56" s="116" t="str">
        <f aca="false" t="array" ref="F56:F56">IFERROR(INDEX('CH4. Thông điệp nhắc việc'!$E:$E,MATCH($D56,'CH4. Thông điệp nhắc việc'!$A:$A,0)),"-")</f>
        <v>-</v>
      </c>
      <c r="G56" s="118" t="s">
        <v>220</v>
      </c>
      <c r="H56" s="117" t="str">
        <f aca="false">HYPERLINK("#'CH4. Thông điệp nhắc việc'!C"&amp;MATCH("NA018",'CH4. Thông điệp nhắc việc'!$A:$A,0),"CH4: NA018")</f>
        <v>CH4: NA018</v>
      </c>
      <c r="I56" s="117" t="str">
        <f aca="false">HYPERLINK("#'DL09. Học viên'!AD4","Mở ô")</f>
        <v>Mở ô</v>
      </c>
      <c r="J56" s="4"/>
      <c r="K56" s="4"/>
      <c r="L56" s="4"/>
      <c r="M56" s="4"/>
      <c r="N56" s="4"/>
      <c r="O56" s="4"/>
      <c r="P56" s="4"/>
      <c r="Q56" s="4"/>
      <c r="R56" s="4"/>
      <c r="S56" s="4"/>
      <c r="T56" s="4"/>
      <c r="U56" s="4"/>
      <c r="V56" s="4"/>
      <c r="W56" s="4"/>
      <c r="X56" s="4"/>
      <c r="Y56" s="4"/>
      <c r="Z56" s="4"/>
    </row>
    <row r="57" customFormat="false" ht="19.5" hidden="false" customHeight="true" outlineLevel="0" collapsed="false">
      <c r="A57" s="114" t="s">
        <v>620</v>
      </c>
      <c r="B57" s="114"/>
      <c r="C57" s="114"/>
      <c r="D57" s="114"/>
      <c r="E57" s="114"/>
      <c r="F57" s="114"/>
      <c r="G57" s="114"/>
      <c r="H57" s="114"/>
      <c r="I57" s="114"/>
      <c r="J57" s="4"/>
      <c r="K57" s="4"/>
      <c r="L57" s="4"/>
      <c r="M57" s="4"/>
      <c r="N57" s="4"/>
      <c r="O57" s="4"/>
      <c r="P57" s="4"/>
      <c r="Q57" s="4"/>
      <c r="R57" s="4"/>
      <c r="S57" s="4"/>
      <c r="T57" s="4"/>
      <c r="U57" s="4"/>
      <c r="V57" s="4"/>
      <c r="W57" s="4"/>
      <c r="X57" s="4"/>
      <c r="Y57" s="4"/>
      <c r="Z57" s="4"/>
    </row>
    <row r="58" customFormat="false" ht="51" hidden="false" customHeight="true" outlineLevel="0" collapsed="false">
      <c r="A58" s="115" t="s">
        <v>480</v>
      </c>
      <c r="B58" s="116" t="s">
        <v>621</v>
      </c>
      <c r="C58" s="116" t="s">
        <v>622</v>
      </c>
      <c r="D58" s="115" t="s">
        <v>623</v>
      </c>
      <c r="E58" s="116" t="str">
        <f aca="false" t="array" ref="E58:E58">IFERROR(INDEX('CH4. Thông điệp nhắc việc'!$G:$G,MATCH($D58,'CH4. Thông điệp nhắc việc'!$A:$A,0)),"")</f>
        <v>Đã quá 30 phút sau giờ vào lớp (cấu hình slaTeacherAttendance_minutes) mà buổi chưa bắt đầu. Việc cần làm: kiểm tra giáo viên và điểm danh ngay.</v>
      </c>
      <c r="F58" s="116" t="str">
        <f aca="false" t="array" ref="F58:F58">IFERROR(INDEX('CH4. Thông điệp nhắc việc'!$E:$E,MATCH($D58,'CH4. Thông điệp nhắc việc'!$A:$A,0)),"-")</f>
        <v>Học vụ / GV</v>
      </c>
      <c r="G58" s="117" t="str">
        <f aca="false">HYPERLINK("#'CH2. Tham số &amp; Quy tắc'!B"&amp;MATCH("slaTeacherAttendance_minutes",'CH2. Tham số &amp; Quy tắc'!$A:$A,0),"CH2: slaTeacherAttendance_minutes")</f>
        <v>CH2: slaTeacherAttendance_minutes</v>
      </c>
      <c r="H58" s="117" t="str">
        <f aca="false">HYPERLINK("#'CH4. Thông điệp nhắc việc'!C"&amp;MATCH("NA068",'CH4. Thông điệp nhắc việc'!$A:$A,0),"CH4: NA068")</f>
        <v>CH4: NA068</v>
      </c>
      <c r="I58" s="117" t="str">
        <f aca="false">HYPERLINK("#'DL11. Buổi học'!Q4","Mở ô")</f>
        <v>Mở ô</v>
      </c>
      <c r="J58" s="4"/>
      <c r="K58" s="4"/>
      <c r="L58" s="4"/>
      <c r="M58" s="4"/>
      <c r="N58" s="4"/>
      <c r="O58" s="4"/>
      <c r="P58" s="4"/>
      <c r="Q58" s="4"/>
      <c r="R58" s="4"/>
      <c r="S58" s="4"/>
      <c r="T58" s="4"/>
      <c r="U58" s="4"/>
      <c r="V58" s="4"/>
      <c r="W58" s="4"/>
      <c r="X58" s="4"/>
      <c r="Y58" s="4"/>
      <c r="Z58" s="4"/>
    </row>
    <row r="59" customFormat="false" ht="51" hidden="false" customHeight="true" outlineLevel="0" collapsed="false">
      <c r="A59" s="115" t="s">
        <v>480</v>
      </c>
      <c r="B59" s="116" t="s">
        <v>624</v>
      </c>
      <c r="C59" s="116" t="s">
        <v>625</v>
      </c>
      <c r="D59" s="115" t="s">
        <v>626</v>
      </c>
      <c r="E59" s="116" t="str">
        <f aca="false" t="array" ref="E59:E59">IFERROR(INDEX('CH4. Thông điệp nhắc việc'!$G:$G,MATCH($D59,'CH4. Thông điệp nhắc việc'!$A:$A,0)),"")</f>
        <v>Buổi học sắp tới. Việc cần làm: chuẩn bị giáo án trước buổi.</v>
      </c>
      <c r="F59" s="116" t="str">
        <f aca="false" t="array" ref="F59:F59">IFERROR(INDEX('CH4. Thông điệp nhắc việc'!$E:$E,MATCH($D59,'CH4. Thông điệp nhắc việc'!$A:$A,0)),"-")</f>
        <v>Giáo viên</v>
      </c>
      <c r="G59" s="118" t="s">
        <v>220</v>
      </c>
      <c r="H59" s="117" t="str">
        <f aca="false">HYPERLINK("#'CH4. Thông điệp nhắc việc'!C"&amp;MATCH("NA019",'CH4. Thông điệp nhắc việc'!$A:$A,0),"CH4: NA019")</f>
        <v>CH4: NA019</v>
      </c>
      <c r="I59" s="117" t="str">
        <f aca="false">HYPERLINK("#'DL11. Buổi học'!Q4","Mở ô")</f>
        <v>Mở ô</v>
      </c>
      <c r="J59" s="4"/>
      <c r="K59" s="4"/>
      <c r="L59" s="4"/>
      <c r="M59" s="4"/>
      <c r="N59" s="4"/>
      <c r="O59" s="4"/>
      <c r="P59" s="4"/>
      <c r="Q59" s="4"/>
      <c r="R59" s="4"/>
      <c r="S59" s="4"/>
      <c r="T59" s="4"/>
      <c r="U59" s="4"/>
      <c r="V59" s="4"/>
      <c r="W59" s="4"/>
      <c r="X59" s="4"/>
      <c r="Y59" s="4"/>
      <c r="Z59" s="4"/>
    </row>
    <row r="60" customFormat="false" ht="51" hidden="false" customHeight="true" outlineLevel="0" collapsed="false">
      <c r="A60" s="115" t="s">
        <v>480</v>
      </c>
      <c r="B60" s="116" t="s">
        <v>627</v>
      </c>
      <c r="C60" s="116" t="s">
        <v>628</v>
      </c>
      <c r="D60" s="115" t="s">
        <v>629</v>
      </c>
      <c r="E60" s="116" t="str">
        <f aca="false" t="array" ref="E60:E60">IFERROR(INDEX('CH4. Thông điệp nhắc việc'!$G:$G,MATCH($D60,'CH4. Thông điệp nhắc việc'!$A:$A,0)),"")</f>
        <v>Buổi đang diễn ra. Sau buổi nhớ điểm danh và ghi nhận xét (teacher_note).</v>
      </c>
      <c r="F60" s="116" t="str">
        <f aca="false" t="array" ref="F60:F60">IFERROR(INDEX('CH4. Thông điệp nhắc việc'!$E:$E,MATCH($D60,'CH4. Thông điệp nhắc việc'!$A:$A,0)),"-")</f>
        <v>Giáo viên</v>
      </c>
      <c r="G60" s="118" t="s">
        <v>220</v>
      </c>
      <c r="H60" s="117" t="str">
        <f aca="false">HYPERLINK("#'CH4. Thông điệp nhắc việc'!C"&amp;MATCH("NA020",'CH4. Thông điệp nhắc việc'!$A:$A,0),"CH4: NA020")</f>
        <v>CH4: NA020</v>
      </c>
      <c r="I60" s="117" t="str">
        <f aca="false">HYPERLINK("#'DL11. Buổi học'!Q4","Mở ô")</f>
        <v>Mở ô</v>
      </c>
      <c r="J60" s="4"/>
      <c r="K60" s="4"/>
      <c r="L60" s="4"/>
      <c r="M60" s="4"/>
      <c r="N60" s="4"/>
      <c r="O60" s="4"/>
      <c r="P60" s="4"/>
      <c r="Q60" s="4"/>
      <c r="R60" s="4"/>
      <c r="S60" s="4"/>
      <c r="T60" s="4"/>
      <c r="U60" s="4"/>
      <c r="V60" s="4"/>
      <c r="W60" s="4"/>
      <c r="X60" s="4"/>
      <c r="Y60" s="4"/>
      <c r="Z60" s="4"/>
    </row>
    <row r="61" customFormat="false" ht="51" hidden="false" customHeight="true" outlineLevel="0" collapsed="false">
      <c r="A61" s="115" t="s">
        <v>480</v>
      </c>
      <c r="B61" s="116" t="s">
        <v>630</v>
      </c>
      <c r="C61" s="116" t="s">
        <v>631</v>
      </c>
      <c r="D61" s="115" t="s">
        <v>632</v>
      </c>
      <c r="E61" s="116" t="str">
        <f aca="false" t="array" ref="E61:E61">IFERROR(INDEX('CH4. Thông điệp nhắc việc'!$G:$G,MATCH($D61,'CH4. Thông điệp nhắc việc'!$A:$A,0)),"")</f>
        <v>Buổi đã xong nhưng quá 48 giờ (cấu hình slaTeacherNote_hours) chưa ghi nhận xét. Việc cần làm: ghi teacher_note ngay.</v>
      </c>
      <c r="F61" s="116" t="str">
        <f aca="false" t="array" ref="F61:F61">IFERROR(INDEX('CH4. Thông điệp nhắc việc'!$E:$E,MATCH($D61,'CH4. Thông điệp nhắc việc'!$A:$A,0)),"-")</f>
        <v>Giáo viên</v>
      </c>
      <c r="G61" s="117" t="str">
        <f aca="false">HYPERLINK("#'CH2. Tham số &amp; Quy tắc'!B"&amp;MATCH("slaTeacherNote_hours",'CH2. Tham số &amp; Quy tắc'!$A:$A,0),"CH2: slaTeacherNote_hours")</f>
        <v>CH2: slaTeacherNote_hours</v>
      </c>
      <c r="H61" s="117" t="str">
        <f aca="false">HYPERLINK("#'CH4. Thông điệp nhắc việc'!C"&amp;MATCH("NA021",'CH4. Thông điệp nhắc việc'!$A:$A,0),"CH4: NA021")</f>
        <v>CH4: NA021</v>
      </c>
      <c r="I61" s="117" t="str">
        <f aca="false">HYPERLINK("#'DL11. Buổi học'!Q4","Mở ô")</f>
        <v>Mở ô</v>
      </c>
      <c r="J61" s="4"/>
      <c r="K61" s="4"/>
      <c r="L61" s="4"/>
      <c r="M61" s="4"/>
      <c r="N61" s="4"/>
      <c r="O61" s="4"/>
      <c r="P61" s="4"/>
      <c r="Q61" s="4"/>
      <c r="R61" s="4"/>
      <c r="S61" s="4"/>
      <c r="T61" s="4"/>
      <c r="U61" s="4"/>
      <c r="V61" s="4"/>
      <c r="W61" s="4"/>
      <c r="X61" s="4"/>
      <c r="Y61" s="4"/>
      <c r="Z61" s="4"/>
    </row>
    <row r="62" customFormat="false" ht="51" hidden="false" customHeight="true" outlineLevel="0" collapsed="false">
      <c r="A62" s="115" t="s">
        <v>480</v>
      </c>
      <c r="B62" s="116" t="s">
        <v>633</v>
      </c>
      <c r="C62" s="116" t="s">
        <v>634</v>
      </c>
      <c r="D62" s="115" t="s">
        <v>635</v>
      </c>
      <c r="E62" s="116" t="str">
        <f aca="false" t="array" ref="E62:E62">IFERROR(INDEX('CH4. Thông điệp nhắc việc'!$G:$G,MATCH($D62,'CH4. Thông điệp nhắc việc'!$A:$A,0)),"")</f>
        <v>Buổi đã xong, cần ghi nhận xét (teacher_note) trong hạn 48 giờ (cấu hình slaTeacherNote_hours). Việc cần làm: ghi nhận xét buổi.</v>
      </c>
      <c r="F62" s="116" t="str">
        <f aca="false" t="array" ref="F62:F62">IFERROR(INDEX('CH4. Thông điệp nhắc việc'!$E:$E,MATCH($D62,'CH4. Thông điệp nhắc việc'!$A:$A,0)),"-")</f>
        <v>Giáo viên</v>
      </c>
      <c r="G62" s="117" t="str">
        <f aca="false">HYPERLINK("#'CH2. Tham số &amp; Quy tắc'!B"&amp;MATCH("slaTeacherNote_hours",'CH2. Tham số &amp; Quy tắc'!$A:$A,0),"CH2: slaTeacherNote_hours")</f>
        <v>CH2: slaTeacherNote_hours</v>
      </c>
      <c r="H62" s="117" t="str">
        <f aca="false">HYPERLINK("#'CH4. Thông điệp nhắc việc'!C"&amp;MATCH("NA069",'CH4. Thông điệp nhắc việc'!$A:$A,0),"CH4: NA069")</f>
        <v>CH4: NA069</v>
      </c>
      <c r="I62" s="117" t="str">
        <f aca="false">HYPERLINK("#'DL11. Buổi học'!Q4","Mở ô")</f>
        <v>Mở ô</v>
      </c>
      <c r="J62" s="4"/>
      <c r="K62" s="4"/>
      <c r="L62" s="4"/>
      <c r="M62" s="4"/>
      <c r="N62" s="4"/>
      <c r="O62" s="4"/>
      <c r="P62" s="4"/>
      <c r="Q62" s="4"/>
      <c r="R62" s="4"/>
      <c r="S62" s="4"/>
      <c r="T62" s="4"/>
      <c r="U62" s="4"/>
      <c r="V62" s="4"/>
      <c r="W62" s="4"/>
      <c r="X62" s="4"/>
      <c r="Y62" s="4"/>
      <c r="Z62" s="4"/>
    </row>
    <row r="63" customFormat="false" ht="51" hidden="false" customHeight="true" outlineLevel="0" collapsed="false">
      <c r="A63" s="115" t="s">
        <v>480</v>
      </c>
      <c r="B63" s="116" t="s">
        <v>636</v>
      </c>
      <c r="C63" s="116" t="s">
        <v>637</v>
      </c>
      <c r="D63" s="115" t="s">
        <v>638</v>
      </c>
      <c r="E63" s="116" t="str">
        <f aca="false" t="array" ref="E63:E63">IFERROR(INDEX('CH4. Thông điệp nhắc việc'!$G:$G,MATCH($D63,'CH4. Thông điệp nhắc việc'!$A:$A,0)),"")</f>
        <v>Đã hoàn tất. Không cần làm gì thêm ở bước này.</v>
      </c>
      <c r="F63" s="116" t="str">
        <f aca="false" t="array" ref="F63:F63">IFERROR(INDEX('CH4. Thông điệp nhắc việc'!$E:$E,MATCH($D63,'CH4. Thông điệp nhắc việc'!$A:$A,0)),"-")</f>
        <v>Giáo viên</v>
      </c>
      <c r="G63" s="118" t="s">
        <v>220</v>
      </c>
      <c r="H63" s="117" t="str">
        <f aca="false">HYPERLINK("#'CH4. Thông điệp nhắc việc'!C"&amp;MATCH("NA022",'CH4. Thông điệp nhắc việc'!$A:$A,0),"CH4: NA022")</f>
        <v>CH4: NA022</v>
      </c>
      <c r="I63" s="117" t="str">
        <f aca="false">HYPERLINK("#'DL11. Buổi học'!Q4","Mở ô")</f>
        <v>Mở ô</v>
      </c>
      <c r="J63" s="4"/>
      <c r="K63" s="4"/>
      <c r="L63" s="4"/>
      <c r="M63" s="4"/>
      <c r="N63" s="4"/>
      <c r="O63" s="4"/>
      <c r="P63" s="4"/>
      <c r="Q63" s="4"/>
      <c r="R63" s="4"/>
      <c r="S63" s="4"/>
      <c r="T63" s="4"/>
      <c r="U63" s="4"/>
      <c r="V63" s="4"/>
      <c r="W63" s="4"/>
      <c r="X63" s="4"/>
      <c r="Y63" s="4"/>
      <c r="Z63" s="4"/>
    </row>
    <row r="64" customFormat="false" ht="51" hidden="false" customHeight="true" outlineLevel="0" collapsed="false">
      <c r="A64" s="115" t="s">
        <v>480</v>
      </c>
      <c r="B64" s="116" t="s">
        <v>639</v>
      </c>
      <c r="C64" s="116" t="s">
        <v>640</v>
      </c>
      <c r="D64" s="115" t="s">
        <v>641</v>
      </c>
      <c r="E64" s="116" t="str">
        <f aca="false" t="array" ref="E64:E64">IFERROR(INDEX('CH4. Thông điệp nhắc việc'!$G:$G,MATCH($D64,'CH4. Thông điệp nhắc việc'!$A:$A,0)),"")</f>
        <v>Buổi học bị hủy. Việc cần làm: lên lịch học bù.</v>
      </c>
      <c r="F64" s="116" t="str">
        <f aca="false" t="array" ref="F64:F64">IFERROR(INDEX('CH4. Thông điệp nhắc việc'!$E:$E,MATCH($D64,'CH4. Thông điệp nhắc việc'!$A:$A,0)),"-")</f>
        <v>Học vụ</v>
      </c>
      <c r="G64" s="118" t="s">
        <v>220</v>
      </c>
      <c r="H64" s="117" t="str">
        <f aca="false">HYPERLINK("#'CH4. Thông điệp nhắc việc'!C"&amp;MATCH("NA023",'CH4. Thông điệp nhắc việc'!$A:$A,0),"CH4: NA023")</f>
        <v>CH4: NA023</v>
      </c>
      <c r="I64" s="117" t="str">
        <f aca="false">HYPERLINK("#'DL11. Buổi học'!Q4","Mở ô")</f>
        <v>Mở ô</v>
      </c>
      <c r="J64" s="4"/>
      <c r="K64" s="4"/>
      <c r="L64" s="4"/>
      <c r="M64" s="4"/>
      <c r="N64" s="4"/>
      <c r="O64" s="4"/>
      <c r="P64" s="4"/>
      <c r="Q64" s="4"/>
      <c r="R64" s="4"/>
      <c r="S64" s="4"/>
      <c r="T64" s="4"/>
      <c r="U64" s="4"/>
      <c r="V64" s="4"/>
      <c r="W64" s="4"/>
      <c r="X64" s="4"/>
      <c r="Y64" s="4"/>
      <c r="Z64" s="4"/>
    </row>
    <row r="65" customFormat="false" ht="51" hidden="false" customHeight="true" outlineLevel="0" collapsed="false">
      <c r="A65" s="115" t="s">
        <v>480</v>
      </c>
      <c r="B65" s="116" t="s">
        <v>642</v>
      </c>
      <c r="C65" s="116" t="s">
        <v>643</v>
      </c>
      <c r="D65" s="115" t="s">
        <v>644</v>
      </c>
      <c r="E65" s="116" t="str">
        <f aca="false" t="array" ref="E65:E65">IFERROR(INDEX('CH4. Thông điệp nhắc việc'!$G:$G,MATCH($D65,'CH4. Thông điệp nhắc việc'!$A:$A,0)),"")</f>
        <v>Buổi học đã dời. Việc cần làm: cập nhật lại lịch.</v>
      </c>
      <c r="F65" s="116" t="str">
        <f aca="false" t="array" ref="F65:F65">IFERROR(INDEX('CH4. Thông điệp nhắc việc'!$E:$E,MATCH($D65,'CH4. Thông điệp nhắc việc'!$A:$A,0)),"-")</f>
        <v>Học vụ</v>
      </c>
      <c r="G65" s="118" t="s">
        <v>220</v>
      </c>
      <c r="H65" s="117" t="str">
        <f aca="false">HYPERLINK("#'CH4. Thông điệp nhắc việc'!C"&amp;MATCH("NA024",'CH4. Thông điệp nhắc việc'!$A:$A,0),"CH4: NA024")</f>
        <v>CH4: NA024</v>
      </c>
      <c r="I65" s="117" t="str">
        <f aca="false">HYPERLINK("#'DL11. Buổi học'!Q4","Mở ô")</f>
        <v>Mở ô</v>
      </c>
      <c r="J65" s="4"/>
      <c r="K65" s="4"/>
      <c r="L65" s="4"/>
      <c r="M65" s="4"/>
      <c r="N65" s="4"/>
      <c r="O65" s="4"/>
      <c r="P65" s="4"/>
      <c r="Q65" s="4"/>
      <c r="R65" s="4"/>
      <c r="S65" s="4"/>
      <c r="T65" s="4"/>
      <c r="U65" s="4"/>
      <c r="V65" s="4"/>
      <c r="W65" s="4"/>
      <c r="X65" s="4"/>
      <c r="Y65" s="4"/>
      <c r="Z65" s="4"/>
    </row>
    <row r="66" customFormat="false" ht="19.5" hidden="false" customHeight="true" outlineLevel="0" collapsed="false">
      <c r="A66" s="114" t="s">
        <v>645</v>
      </c>
      <c r="B66" s="114"/>
      <c r="C66" s="114"/>
      <c r="D66" s="114"/>
      <c r="E66" s="114"/>
      <c r="F66" s="114"/>
      <c r="G66" s="114"/>
      <c r="H66" s="114"/>
      <c r="I66" s="114"/>
      <c r="J66" s="4"/>
      <c r="K66" s="4"/>
      <c r="L66" s="4"/>
      <c r="M66" s="4"/>
      <c r="N66" s="4"/>
      <c r="O66" s="4"/>
      <c r="P66" s="4"/>
      <c r="Q66" s="4"/>
      <c r="R66" s="4"/>
      <c r="S66" s="4"/>
      <c r="T66" s="4"/>
      <c r="U66" s="4"/>
      <c r="V66" s="4"/>
      <c r="W66" s="4"/>
      <c r="X66" s="4"/>
      <c r="Y66" s="4"/>
      <c r="Z66" s="4"/>
    </row>
    <row r="67" customFormat="false" ht="51" hidden="false" customHeight="true" outlineLevel="0" collapsed="false">
      <c r="A67" s="115" t="s">
        <v>480</v>
      </c>
      <c r="B67" s="116" t="s">
        <v>646</v>
      </c>
      <c r="C67" s="116" t="s">
        <v>647</v>
      </c>
      <c r="D67" s="115" t="s">
        <v>648</v>
      </c>
      <c r="E67" s="116" t="str">
        <f aca="false" t="array" ref="E67:E67">IFERROR(INDEX('CH4. Thông điệp nhắc việc'!$G:$G,MATCH($D67,'CH4. Thông điệp nhắc việc'!$A:$A,0)),"")</f>
        <v>HV vắng không phép đã quá 24 giờ (cấu hình slaAbsenceCall_hours). Việc cần làm: GỌI HV/phụ huynh ngay.</v>
      </c>
      <c r="F67" s="116" t="str">
        <f aca="false" t="array" ref="F67:F67">IFERROR(INDEX('CH4. Thông điệp nhắc việc'!$E:$E,MATCH($D67,'CH4. Thông điệp nhắc việc'!$A:$A,0)),"-")</f>
        <v>Học vụ</v>
      </c>
      <c r="G67" s="117" t="str">
        <f aca="false">HYPERLINK("#'CH2. Tham số &amp; Quy tắc'!B"&amp;MATCH("slaAbsenceCall_hours",'CH2. Tham số &amp; Quy tắc'!$A:$A,0),"CH2: slaAbsenceCall_hours")</f>
        <v>CH2: slaAbsenceCall_hours</v>
      </c>
      <c r="H67" s="117" t="str">
        <f aca="false">HYPERLINK("#'CH4. Thông điệp nhắc việc'!C"&amp;MATCH("NA070",'CH4. Thông điệp nhắc việc'!$A:$A,0),"CH4: NA070")</f>
        <v>CH4: NA070</v>
      </c>
      <c r="I67" s="117" t="str">
        <f aca="false">HYPERLINK("#'DL12. Điểm danh'!J4","Mở ô")</f>
        <v>Mở ô</v>
      </c>
      <c r="J67" s="4"/>
      <c r="K67" s="4"/>
      <c r="L67" s="4"/>
      <c r="M67" s="4"/>
      <c r="N67" s="4"/>
      <c r="O67" s="4"/>
      <c r="P67" s="4"/>
      <c r="Q67" s="4"/>
      <c r="R67" s="4"/>
      <c r="S67" s="4"/>
      <c r="T67" s="4"/>
      <c r="U67" s="4"/>
      <c r="V67" s="4"/>
      <c r="W67" s="4"/>
      <c r="X67" s="4"/>
      <c r="Y67" s="4"/>
      <c r="Z67" s="4"/>
    </row>
    <row r="68" customFormat="false" ht="51" hidden="false" customHeight="true" outlineLevel="0" collapsed="false">
      <c r="A68" s="115" t="s">
        <v>480</v>
      </c>
      <c r="B68" s="116" t="s">
        <v>649</v>
      </c>
      <c r="C68" s="116" t="s">
        <v>650</v>
      </c>
      <c r="D68" s="115" t="s">
        <v>651</v>
      </c>
      <c r="E68" s="116" t="str">
        <f aca="false" t="array" ref="E68:E68">IFERROR(INDEX('CH4. Thông điệp nhắc việc'!$G:$G,MATCH($D68,'CH4. Thông điệp nhắc việc'!$A:$A,0)),"")</f>
        <v>HV vắng không phép. Việc cần làm: kiểm tra chuỗi buổi vắng và nhắc HV.</v>
      </c>
      <c r="F68" s="116" t="str">
        <f aca="false" t="array" ref="F68:F68">IFERROR(INDEX('CH4. Thông điệp nhắc việc'!$E:$E,MATCH($D68,'CH4. Thông điệp nhắc việc'!$A:$A,0)),"-")</f>
        <v>Giáo viên / Học vụ</v>
      </c>
      <c r="G68" s="118" t="s">
        <v>220</v>
      </c>
      <c r="H68" s="117" t="str">
        <f aca="false">HYPERLINK("#'CH4. Thông điệp nhắc việc'!C"&amp;MATCH("NA025",'CH4. Thông điệp nhắc việc'!$A:$A,0),"CH4: NA025")</f>
        <v>CH4: NA025</v>
      </c>
      <c r="I68" s="117" t="str">
        <f aca="false">HYPERLINK("#'DL12. Điểm danh'!J4","Mở ô")</f>
        <v>Mở ô</v>
      </c>
      <c r="J68" s="4"/>
      <c r="K68" s="4"/>
      <c r="L68" s="4"/>
      <c r="M68" s="4"/>
      <c r="N68" s="4"/>
      <c r="O68" s="4"/>
      <c r="P68" s="4"/>
      <c r="Q68" s="4"/>
      <c r="R68" s="4"/>
      <c r="S68" s="4"/>
      <c r="T68" s="4"/>
      <c r="U68" s="4"/>
      <c r="V68" s="4"/>
      <c r="W68" s="4"/>
      <c r="X68" s="4"/>
      <c r="Y68" s="4"/>
      <c r="Z68" s="4"/>
    </row>
    <row r="69" customFormat="false" ht="51" hidden="false" customHeight="true" outlineLevel="0" collapsed="false">
      <c r="A69" s="115" t="s">
        <v>480</v>
      </c>
      <c r="B69" s="116" t="s">
        <v>652</v>
      </c>
      <c r="C69" s="116" t="s">
        <v>653</v>
      </c>
      <c r="D69" s="115" t="s">
        <v>654</v>
      </c>
      <c r="E69" s="116" t="str">
        <f aca="false" t="array" ref="E69:E69">IFERROR(INDEX('CH4. Thông điệp nhắc việc'!$G:$G,MATCH($D69,'CH4. Thông điệp nhắc việc'!$A:$A,0)),"")</f>
        <v>HV vắng có phép. Việc cần làm: đề xuất buổi WOW để học bù.</v>
      </c>
      <c r="F69" s="116" t="str">
        <f aca="false" t="array" ref="F69:F69">IFERROR(INDEX('CH4. Thông điệp nhắc việc'!$E:$E,MATCH($D69,'CH4. Thông điệp nhắc việc'!$A:$A,0)),"-")</f>
        <v>Học vụ</v>
      </c>
      <c r="G69" s="118" t="s">
        <v>220</v>
      </c>
      <c r="H69" s="117" t="str">
        <f aca="false">HYPERLINK("#'CH4. Thông điệp nhắc việc'!C"&amp;MATCH("NA026",'CH4. Thông điệp nhắc việc'!$A:$A,0),"CH4: NA026")</f>
        <v>CH4: NA026</v>
      </c>
      <c r="I69" s="117" t="str">
        <f aca="false">HYPERLINK("#'DL12. Điểm danh'!J4","Mở ô")</f>
        <v>Mở ô</v>
      </c>
      <c r="J69" s="4"/>
      <c r="K69" s="4"/>
      <c r="L69" s="4"/>
      <c r="M69" s="4"/>
      <c r="N69" s="4"/>
      <c r="O69" s="4"/>
      <c r="P69" s="4"/>
      <c r="Q69" s="4"/>
      <c r="R69" s="4"/>
      <c r="S69" s="4"/>
      <c r="T69" s="4"/>
      <c r="U69" s="4"/>
      <c r="V69" s="4"/>
      <c r="W69" s="4"/>
      <c r="X69" s="4"/>
      <c r="Y69" s="4"/>
      <c r="Z69" s="4"/>
    </row>
    <row r="70" customFormat="false" ht="51" hidden="false" customHeight="true" outlineLevel="0" collapsed="false">
      <c r="A70" s="115" t="s">
        <v>480</v>
      </c>
      <c r="B70" s="116" t="s">
        <v>655</v>
      </c>
      <c r="C70" s="116" t="s">
        <v>656</v>
      </c>
      <c r="D70" s="115" t="s">
        <v>657</v>
      </c>
      <c r="E70" s="116" t="str">
        <f aca="false" t="array" ref="E70:E70">IFERROR(INDEX('CH4. Thông điệp nhắc việc'!$G:$G,MATCH($D70,'CH4. Thông điệp nhắc việc'!$A:$A,0)),"")</f>
        <v>HV đi học trễ. Việc cần làm: nhắc nhở HV đi đúng giờ.</v>
      </c>
      <c r="F70" s="116" t="str">
        <f aca="false" t="array" ref="F70:F70">IFERROR(INDEX('CH4. Thông điệp nhắc việc'!$E:$E,MATCH($D70,'CH4. Thông điệp nhắc việc'!$A:$A,0)),"-")</f>
        <v>Giáo viên</v>
      </c>
      <c r="G70" s="118" t="s">
        <v>220</v>
      </c>
      <c r="H70" s="117" t="str">
        <f aca="false">HYPERLINK("#'CH4. Thông điệp nhắc việc'!C"&amp;MATCH("NA027",'CH4. Thông điệp nhắc việc'!$A:$A,0),"CH4: NA027")</f>
        <v>CH4: NA027</v>
      </c>
      <c r="I70" s="117" t="str">
        <f aca="false">HYPERLINK("#'DL12. Điểm danh'!J4","Mở ô")</f>
        <v>Mở ô</v>
      </c>
      <c r="J70" s="4"/>
      <c r="K70" s="4"/>
      <c r="L70" s="4"/>
      <c r="M70" s="4"/>
      <c r="N70" s="4"/>
      <c r="O70" s="4"/>
      <c r="P70" s="4"/>
      <c r="Q70" s="4"/>
      <c r="R70" s="4"/>
      <c r="S70" s="4"/>
      <c r="T70" s="4"/>
      <c r="U70" s="4"/>
      <c r="V70" s="4"/>
      <c r="W70" s="4"/>
      <c r="X70" s="4"/>
      <c r="Y70" s="4"/>
      <c r="Z70" s="4"/>
    </row>
    <row r="71" customFormat="false" ht="51" hidden="false" customHeight="true" outlineLevel="0" collapsed="false">
      <c r="A71" s="115" t="s">
        <v>480</v>
      </c>
      <c r="B71" s="116" t="s">
        <v>658</v>
      </c>
      <c r="C71" s="116" t="s">
        <v>659</v>
      </c>
      <c r="D71" s="115" t="s">
        <v>660</v>
      </c>
      <c r="E71" s="116" t="str">
        <f aca="false" t="array" ref="E71:E71">IFERROR(INDEX('CH4. Thông điệp nhắc việc'!$G:$G,MATCH($D71,'CH4. Thông điệp nhắc việc'!$A:$A,0)),"")</f>
        <v>HV đã điểm danh, đi học đúng giờ. Không cần làm gì thêm.</v>
      </c>
      <c r="F71" s="116" t="str">
        <f aca="false" t="array" ref="F71:F71">IFERROR(INDEX('CH4. Thông điệp nhắc việc'!$E:$E,MATCH($D71,'CH4. Thông điệp nhắc việc'!$A:$A,0)),"-")</f>
        <v>-</v>
      </c>
      <c r="G71" s="118" t="s">
        <v>220</v>
      </c>
      <c r="H71" s="117" t="str">
        <f aca="false">HYPERLINK("#'CH4. Thông điệp nhắc việc'!C"&amp;MATCH("NA028",'CH4. Thông điệp nhắc việc'!$A:$A,0),"CH4: NA028")</f>
        <v>CH4: NA028</v>
      </c>
      <c r="I71" s="117" t="str">
        <f aca="false">HYPERLINK("#'DL12. Điểm danh'!J4","Mở ô")</f>
        <v>Mở ô</v>
      </c>
      <c r="J71" s="4"/>
      <c r="K71" s="4"/>
      <c r="L71" s="4"/>
      <c r="M71" s="4"/>
      <c r="N71" s="4"/>
      <c r="O71" s="4"/>
      <c r="P71" s="4"/>
      <c r="Q71" s="4"/>
      <c r="R71" s="4"/>
      <c r="S71" s="4"/>
      <c r="T71" s="4"/>
      <c r="U71" s="4"/>
      <c r="V71" s="4"/>
      <c r="W71" s="4"/>
      <c r="X71" s="4"/>
      <c r="Y71" s="4"/>
      <c r="Z71" s="4"/>
    </row>
    <row r="72" customFormat="false" ht="19.5" hidden="false" customHeight="true" outlineLevel="0" collapsed="false">
      <c r="A72" s="114" t="s">
        <v>661</v>
      </c>
      <c r="B72" s="114"/>
      <c r="C72" s="114"/>
      <c r="D72" s="114"/>
      <c r="E72" s="114"/>
      <c r="F72" s="114"/>
      <c r="G72" s="114"/>
      <c r="H72" s="114"/>
      <c r="I72" s="114"/>
      <c r="J72" s="4"/>
      <c r="K72" s="4"/>
      <c r="L72" s="4"/>
      <c r="M72" s="4"/>
      <c r="N72" s="4"/>
      <c r="O72" s="4"/>
      <c r="P72" s="4"/>
      <c r="Q72" s="4"/>
      <c r="R72" s="4"/>
      <c r="S72" s="4"/>
      <c r="T72" s="4"/>
      <c r="U72" s="4"/>
      <c r="V72" s="4"/>
      <c r="W72" s="4"/>
      <c r="X72" s="4"/>
      <c r="Y72" s="4"/>
      <c r="Z72" s="4"/>
    </row>
    <row r="73" customFormat="false" ht="51" hidden="false" customHeight="true" outlineLevel="0" collapsed="false">
      <c r="A73" s="115" t="s">
        <v>480</v>
      </c>
      <c r="B73" s="116" t="s">
        <v>662</v>
      </c>
      <c r="C73" s="116" t="s">
        <v>663</v>
      </c>
      <c r="D73" s="115" t="s">
        <v>664</v>
      </c>
      <c r="E73" s="116" t="str">
        <f aca="false" t="array" ref="E73:E73">IFERROR(INDEX('CH4. Thông điệp nhắc việc'!$G:$G,MATCH($D73,'CH4. Thông điệp nhắc việc'!$A:$A,0)),"")</f>
        <v>HV chưa nộp bài tập. Việc cần làm: kiểm tra chuỗi bài thiếu (có thể thành nguy cơ học thuật) và nhắc HV nộp.</v>
      </c>
      <c r="F73" s="116" t="str">
        <f aca="false" t="array" ref="F73:F73">IFERROR(INDEX('CH4. Thông điệp nhắc việc'!$E:$E,MATCH($D73,'CH4. Thông điệp nhắc việc'!$A:$A,0)),"-")</f>
        <v>Giáo viên</v>
      </c>
      <c r="G73" s="118" t="s">
        <v>220</v>
      </c>
      <c r="H73" s="117" t="str">
        <f aca="false">HYPERLINK("#'CH4. Thông điệp nhắc việc'!C"&amp;MATCH("NA029",'CH4. Thông điệp nhắc việc'!$A:$A,0),"CH4: NA029")</f>
        <v>CH4: NA029</v>
      </c>
      <c r="I73" s="117" t="str">
        <f aca="false">HYPERLINK("#'DL13. Bài tập'!T4","Mở ô")</f>
        <v>Mở ô</v>
      </c>
      <c r="J73" s="4"/>
      <c r="K73" s="4"/>
      <c r="L73" s="4"/>
      <c r="M73" s="4"/>
      <c r="N73" s="4"/>
      <c r="O73" s="4"/>
      <c r="P73" s="4"/>
      <c r="Q73" s="4"/>
      <c r="R73" s="4"/>
      <c r="S73" s="4"/>
      <c r="T73" s="4"/>
      <c r="U73" s="4"/>
      <c r="V73" s="4"/>
      <c r="W73" s="4"/>
      <c r="X73" s="4"/>
      <c r="Y73" s="4"/>
      <c r="Z73" s="4"/>
    </row>
    <row r="74" customFormat="false" ht="51" hidden="false" customHeight="true" outlineLevel="0" collapsed="false">
      <c r="A74" s="115" t="s">
        <v>480</v>
      </c>
      <c r="B74" s="116" t="s">
        <v>665</v>
      </c>
      <c r="C74" s="116" t="s">
        <v>666</v>
      </c>
      <c r="D74" s="115" t="s">
        <v>667</v>
      </c>
      <c r="E74" s="116" t="str">
        <f aca="false" t="array" ref="E74:E74">IFERROR(INDEX('CH4. Thông điệp nhắc việc'!$G:$G,MATCH($D74,'CH4. Thông điệp nhắc việc'!$A:$A,0)),"")</f>
        <v>HV đã nộp bài nhưng quá 48 giờ (cấu hình slaHomeworkGrading_hours) chưa chấm. Việc cần làm: chấm bài ngay.</v>
      </c>
      <c r="F74" s="116" t="str">
        <f aca="false" t="array" ref="F74:F74">IFERROR(INDEX('CH4. Thông điệp nhắc việc'!$E:$E,MATCH($D74,'CH4. Thông điệp nhắc việc'!$A:$A,0)),"-")</f>
        <v>Giáo viên</v>
      </c>
      <c r="G74" s="117" t="str">
        <f aca="false">HYPERLINK("#'CH2. Tham số &amp; Quy tắc'!B"&amp;MATCH("slaHomeworkGrading_hours",'CH2. Tham số &amp; Quy tắc'!$A:$A,0),"CH2: slaHomeworkGrading_hours")</f>
        <v>CH2: slaHomeworkGrading_hours</v>
      </c>
      <c r="H74" s="117" t="str">
        <f aca="false">HYPERLINK("#'CH4. Thông điệp nhắc việc'!C"&amp;MATCH("NA071",'CH4. Thông điệp nhắc việc'!$A:$A,0),"CH4: NA071")</f>
        <v>CH4: NA071</v>
      </c>
      <c r="I74" s="117" t="str">
        <f aca="false">HYPERLINK("#'DL13. Bài tập'!T4","Mở ô")</f>
        <v>Mở ô</v>
      </c>
      <c r="J74" s="4"/>
      <c r="K74" s="4"/>
      <c r="L74" s="4"/>
      <c r="M74" s="4"/>
      <c r="N74" s="4"/>
      <c r="O74" s="4"/>
      <c r="P74" s="4"/>
      <c r="Q74" s="4"/>
      <c r="R74" s="4"/>
      <c r="S74" s="4"/>
      <c r="T74" s="4"/>
      <c r="U74" s="4"/>
      <c r="V74" s="4"/>
      <c r="W74" s="4"/>
      <c r="X74" s="4"/>
      <c r="Y74" s="4"/>
      <c r="Z74" s="4"/>
    </row>
    <row r="75" customFormat="false" ht="51" hidden="false" customHeight="true" outlineLevel="0" collapsed="false">
      <c r="A75" s="115" t="s">
        <v>480</v>
      </c>
      <c r="B75" s="116" t="s">
        <v>668</v>
      </c>
      <c r="C75" s="116" t="s">
        <v>669</v>
      </c>
      <c r="D75" s="115" t="s">
        <v>670</v>
      </c>
      <c r="E75" s="116" t="str">
        <f aca="false" t="array" ref="E75:E75">IFERROR(INDEX('CH4. Thông điệp nhắc việc'!$G:$G,MATCH($D75,'CH4. Thông điệp nhắc việc'!$A:$A,0)),"")</f>
        <v>HV đã nộp bài, còn trong hạn chấm 48 giờ (cấu hình slaHomeworkGrading_hours). Việc cần làm: chấm bài sớm.</v>
      </c>
      <c r="F75" s="116" t="str">
        <f aca="false" t="array" ref="F75:F75">IFERROR(INDEX('CH4. Thông điệp nhắc việc'!$E:$E,MATCH($D75,'CH4. Thông điệp nhắc việc'!$A:$A,0)),"-")</f>
        <v>Giáo viên</v>
      </c>
      <c r="G75" s="117" t="str">
        <f aca="false">HYPERLINK("#'CH2. Tham số &amp; Quy tắc'!B"&amp;MATCH("slaHomeworkGrading_hours",'CH2. Tham số &amp; Quy tắc'!$A:$A,0),"CH2: slaHomeworkGrading_hours")</f>
        <v>CH2: slaHomeworkGrading_hours</v>
      </c>
      <c r="H75" s="117" t="str">
        <f aca="false">HYPERLINK("#'CH4. Thông điệp nhắc việc'!C"&amp;MATCH("NA072",'CH4. Thông điệp nhắc việc'!$A:$A,0),"CH4: NA072")</f>
        <v>CH4: NA072</v>
      </c>
      <c r="I75" s="117" t="str">
        <f aca="false">HYPERLINK("#'DL13. Bài tập'!T4","Mở ô")</f>
        <v>Mở ô</v>
      </c>
      <c r="J75" s="4"/>
      <c r="K75" s="4"/>
      <c r="L75" s="4"/>
      <c r="M75" s="4"/>
      <c r="N75" s="4"/>
      <c r="O75" s="4"/>
      <c r="P75" s="4"/>
      <c r="Q75" s="4"/>
      <c r="R75" s="4"/>
      <c r="S75" s="4"/>
      <c r="T75" s="4"/>
      <c r="U75" s="4"/>
      <c r="V75" s="4"/>
      <c r="W75" s="4"/>
      <c r="X75" s="4"/>
      <c r="Y75" s="4"/>
      <c r="Z75" s="4"/>
    </row>
    <row r="76" customFormat="false" ht="51" hidden="false" customHeight="true" outlineLevel="0" collapsed="false">
      <c r="A76" s="115" t="s">
        <v>480</v>
      </c>
      <c r="B76" s="116" t="s">
        <v>671</v>
      </c>
      <c r="C76" s="116" t="s">
        <v>672</v>
      </c>
      <c r="D76" s="115" t="s">
        <v>673</v>
      </c>
      <c r="E76" s="116" t="str">
        <f aca="false" t="array" ref="E76:E76">IFERROR(INDEX('CH4. Thông điệp nhắc việc'!$G:$G,MATCH($D76,'CH4. Thông điệp nhắc việc'!$A:$A,0)),"")</f>
        <v>Đã giao bài, HV chưa tới hạn nộp. Chờ HV nộp bài.</v>
      </c>
      <c r="F76" s="116" t="str">
        <f aca="false" t="array" ref="F76:F76">IFERROR(INDEX('CH4. Thông điệp nhắc việc'!$E:$E,MATCH($D76,'CH4. Thông điệp nhắc việc'!$A:$A,0)),"-")</f>
        <v>-</v>
      </c>
      <c r="G76" s="118" t="s">
        <v>220</v>
      </c>
      <c r="H76" s="117" t="str">
        <f aca="false">HYPERLINK("#'CH4. Thông điệp nhắc việc'!C"&amp;MATCH("NA073",'CH4. Thông điệp nhắc việc'!$A:$A,0),"CH4: NA073")</f>
        <v>CH4: NA073</v>
      </c>
      <c r="I76" s="117" t="str">
        <f aca="false">HYPERLINK("#'DL13. Bài tập'!T4","Mở ô")</f>
        <v>Mở ô</v>
      </c>
      <c r="J76" s="4"/>
      <c r="K76" s="4"/>
      <c r="L76" s="4"/>
      <c r="M76" s="4"/>
      <c r="N76" s="4"/>
      <c r="O76" s="4"/>
      <c r="P76" s="4"/>
      <c r="Q76" s="4"/>
      <c r="R76" s="4"/>
      <c r="S76" s="4"/>
      <c r="T76" s="4"/>
      <c r="U76" s="4"/>
      <c r="V76" s="4"/>
      <c r="W76" s="4"/>
      <c r="X76" s="4"/>
      <c r="Y76" s="4"/>
      <c r="Z76" s="4"/>
    </row>
    <row r="77" customFormat="false" ht="51" hidden="false" customHeight="true" outlineLevel="0" collapsed="false">
      <c r="A77" s="115" t="s">
        <v>480</v>
      </c>
      <c r="B77" s="116" t="s">
        <v>674</v>
      </c>
      <c r="C77" s="116" t="s">
        <v>675</v>
      </c>
      <c r="D77" s="115" t="s">
        <v>676</v>
      </c>
      <c r="E77" s="116" t="str">
        <f aca="false" t="array" ref="E77:E77">IFERROR(INDEX('CH4. Thông điệp nhắc việc'!$G:$G,MATCH($D77,'CH4. Thông điệp nhắc việc'!$A:$A,0)),"")</f>
        <v>Đã chấm bài xong cho HV. Không cần làm gì thêm.</v>
      </c>
      <c r="F77" s="116" t="str">
        <f aca="false" t="array" ref="F77:F77">IFERROR(INDEX('CH4. Thông điệp nhắc việc'!$E:$E,MATCH($D77,'CH4. Thông điệp nhắc việc'!$A:$A,0)),"-")</f>
        <v>Giáo viên</v>
      </c>
      <c r="G77" s="118" t="s">
        <v>220</v>
      </c>
      <c r="H77" s="117" t="str">
        <f aca="false">HYPERLINK("#'CH4. Thông điệp nhắc việc'!C"&amp;MATCH("NA030",'CH4. Thông điệp nhắc việc'!$A:$A,0),"CH4: NA030")</f>
        <v>CH4: NA030</v>
      </c>
      <c r="I77" s="117" t="str">
        <f aca="false">HYPERLINK("#'DL13. Bài tập'!T4","Mở ô")</f>
        <v>Mở ô</v>
      </c>
      <c r="J77" s="4"/>
      <c r="K77" s="4"/>
      <c r="L77" s="4"/>
      <c r="M77" s="4"/>
      <c r="N77" s="4"/>
      <c r="O77" s="4"/>
      <c r="P77" s="4"/>
      <c r="Q77" s="4"/>
      <c r="R77" s="4"/>
      <c r="S77" s="4"/>
      <c r="T77" s="4"/>
      <c r="U77" s="4"/>
      <c r="V77" s="4"/>
      <c r="W77" s="4"/>
      <c r="X77" s="4"/>
      <c r="Y77" s="4"/>
      <c r="Z77" s="4"/>
    </row>
    <row r="78" customFormat="false" ht="19.5" hidden="false" customHeight="true" outlineLevel="0" collapsed="false">
      <c r="A78" s="114" t="s">
        <v>677</v>
      </c>
      <c r="B78" s="114"/>
      <c r="C78" s="114"/>
      <c r="D78" s="114"/>
      <c r="E78" s="114"/>
      <c r="F78" s="114"/>
      <c r="G78" s="114"/>
      <c r="H78" s="114"/>
      <c r="I78" s="114"/>
      <c r="J78" s="4"/>
      <c r="K78" s="4"/>
      <c r="L78" s="4"/>
      <c r="M78" s="4"/>
      <c r="N78" s="4"/>
      <c r="O78" s="4"/>
      <c r="P78" s="4"/>
      <c r="Q78" s="4"/>
      <c r="R78" s="4"/>
      <c r="S78" s="4"/>
      <c r="T78" s="4"/>
      <c r="U78" s="4"/>
      <c r="V78" s="4"/>
      <c r="W78" s="4"/>
      <c r="X78" s="4"/>
      <c r="Y78" s="4"/>
      <c r="Z78" s="4"/>
    </row>
    <row r="79" customFormat="false" ht="51" hidden="false" customHeight="true" outlineLevel="0" collapsed="false">
      <c r="A79" s="115" t="s">
        <v>480</v>
      </c>
      <c r="B79" s="116" t="s">
        <v>678</v>
      </c>
      <c r="C79" s="116" t="s">
        <v>679</v>
      </c>
      <c r="D79" s="115" t="s">
        <v>680</v>
      </c>
      <c r="E79" s="116" t="str">
        <f aca="false" t="array" ref="E79:E79">IFERROR(INDEX('CH4. Thông điệp nhắc việc'!$G:$G,MATCH($D79,'CH4. Thông điệp nhắc việc'!$A:$A,0)),"")</f>
        <v>Buổi WOW đã xong nhưng quá 24 giờ (cấu hình slaWowQuotaCheck_hours) chưa trừ lượt. Việc cần làm: kiểm tra và trừ quota (quota_deducted) ngay.</v>
      </c>
      <c r="F79" s="116" t="str">
        <f aca="false" t="array" ref="F79:F79">IFERROR(INDEX('CH4. Thông điệp nhắc việc'!$E:$E,MATCH($D79,'CH4. Thông điệp nhắc việc'!$A:$A,0)),"-")</f>
        <v>NV WOW / Học vụ</v>
      </c>
      <c r="G79" s="117" t="str">
        <f aca="false">HYPERLINK("#'CH2. Tham số &amp; Quy tắc'!B"&amp;MATCH("slaWowQuotaCheck_hours",'CH2. Tham số &amp; Quy tắc'!$A:$A,0),"CH2: slaWowQuotaCheck_hours")</f>
        <v>CH2: slaWowQuotaCheck_hours</v>
      </c>
      <c r="H79" s="117" t="str">
        <f aca="false">HYPERLINK("#'CH4. Thông điệp nhắc việc'!C"&amp;MATCH("NA074",'CH4. Thông điệp nhắc việc'!$A:$A,0),"CH4: NA074")</f>
        <v>CH4: NA074</v>
      </c>
      <c r="I79" s="117" t="str">
        <f aca="false">HYPERLINK("#'DL14. Buổi WOW 1-1'!S4","Mở ô")</f>
        <v>Mở ô</v>
      </c>
      <c r="J79" s="4"/>
      <c r="K79" s="4"/>
      <c r="L79" s="4"/>
      <c r="M79" s="4"/>
      <c r="N79" s="4"/>
      <c r="O79" s="4"/>
      <c r="P79" s="4"/>
      <c r="Q79" s="4"/>
      <c r="R79" s="4"/>
      <c r="S79" s="4"/>
      <c r="T79" s="4"/>
      <c r="U79" s="4"/>
      <c r="V79" s="4"/>
      <c r="W79" s="4"/>
      <c r="X79" s="4"/>
      <c r="Y79" s="4"/>
      <c r="Z79" s="4"/>
    </row>
    <row r="80" customFormat="false" ht="51" hidden="false" customHeight="true" outlineLevel="0" collapsed="false">
      <c r="A80" s="115" t="s">
        <v>480</v>
      </c>
      <c r="B80" s="116" t="s">
        <v>681</v>
      </c>
      <c r="C80" s="116" t="s">
        <v>682</v>
      </c>
      <c r="D80" s="115" t="s">
        <v>683</v>
      </c>
      <c r="E80" s="116" t="str">
        <f aca="false" t="array" ref="E80:E80">IFERROR(INDEX('CH4. Thông điệp nhắc việc'!$G:$G,MATCH($D80,'CH4. Thông điệp nhắc việc'!$A:$A,0)),"")</f>
        <v>Buổi WOW vừa được đặt. Việc cần làm: học vụ xác nhận lịch với HV sớm.</v>
      </c>
      <c r="F80" s="116" t="str">
        <f aca="false" t="array" ref="F80:F80">IFERROR(INDEX('CH4. Thông điệp nhắc việc'!$E:$E,MATCH($D80,'CH4. Thông điệp nhắc việc'!$A:$A,0)),"-")</f>
        <v>Học vụ</v>
      </c>
      <c r="G80" s="118" t="s">
        <v>220</v>
      </c>
      <c r="H80" s="117" t="str">
        <f aca="false">HYPERLINK("#'CH4. Thông điệp nhắc việc'!C"&amp;MATCH("NA031",'CH4. Thông điệp nhắc việc'!$A:$A,0),"CH4: NA031")</f>
        <v>CH4: NA031</v>
      </c>
      <c r="I80" s="117" t="str">
        <f aca="false">HYPERLINK("#'DL14. Buổi WOW 1-1'!S4","Mở ô")</f>
        <v>Mở ô</v>
      </c>
      <c r="J80" s="4"/>
      <c r="K80" s="4"/>
      <c r="L80" s="4"/>
      <c r="M80" s="4"/>
      <c r="N80" s="4"/>
      <c r="O80" s="4"/>
      <c r="P80" s="4"/>
      <c r="Q80" s="4"/>
      <c r="R80" s="4"/>
      <c r="S80" s="4"/>
      <c r="T80" s="4"/>
      <c r="U80" s="4"/>
      <c r="V80" s="4"/>
      <c r="W80" s="4"/>
      <c r="X80" s="4"/>
      <c r="Y80" s="4"/>
      <c r="Z80" s="4"/>
    </row>
    <row r="81" customFormat="false" ht="51" hidden="false" customHeight="true" outlineLevel="0" collapsed="false">
      <c r="A81" s="115" t="s">
        <v>480</v>
      </c>
      <c r="B81" s="116" t="s">
        <v>684</v>
      </c>
      <c r="C81" s="116" t="s">
        <v>685</v>
      </c>
      <c r="D81" s="115" t="s">
        <v>686</v>
      </c>
      <c r="E81" s="116" t="str">
        <f aca="false" t="array" ref="E81:E81">IFERROR(INDEX('CH4. Thông điệp nhắc việc'!$G:$G,MATCH($D81,'CH4. Thông điệp nhắc việc'!$A:$A,0)),"")</f>
        <v>Đã qua giờ hẹn buổi WOW. Việc cần làm: cập nhật trạng thái buổi (đã diễn ra hoặc HV vắng).</v>
      </c>
      <c r="F81" s="116" t="str">
        <f aca="false" t="array" ref="F81:F81">IFERROR(INDEX('CH4. Thông điệp nhắc việc'!$E:$E,MATCH($D81,'CH4. Thông điệp nhắc việc'!$A:$A,0)),"-")</f>
        <v>NV WOW</v>
      </c>
      <c r="G81" s="118" t="s">
        <v>220</v>
      </c>
      <c r="H81" s="117" t="str">
        <f aca="false">HYPERLINK("#'CH4. Thông điệp nhắc việc'!C"&amp;MATCH("NA032",'CH4. Thông điệp nhắc việc'!$A:$A,0),"CH4: NA032")</f>
        <v>CH4: NA032</v>
      </c>
      <c r="I81" s="117" t="str">
        <f aca="false">HYPERLINK("#'DL14. Buổi WOW 1-1'!S4","Mở ô")</f>
        <v>Mở ô</v>
      </c>
      <c r="J81" s="4"/>
      <c r="K81" s="4"/>
      <c r="L81" s="4"/>
      <c r="M81" s="4"/>
      <c r="N81" s="4"/>
      <c r="O81" s="4"/>
      <c r="P81" s="4"/>
      <c r="Q81" s="4"/>
      <c r="R81" s="4"/>
      <c r="S81" s="4"/>
      <c r="T81" s="4"/>
      <c r="U81" s="4"/>
      <c r="V81" s="4"/>
      <c r="W81" s="4"/>
      <c r="X81" s="4"/>
      <c r="Y81" s="4"/>
      <c r="Z81" s="4"/>
    </row>
    <row r="82" customFormat="false" ht="51" hidden="false" customHeight="true" outlineLevel="0" collapsed="false">
      <c r="A82" s="115" t="s">
        <v>480</v>
      </c>
      <c r="B82" s="116" t="s">
        <v>687</v>
      </c>
      <c r="C82" s="116" t="s">
        <v>688</v>
      </c>
      <c r="D82" s="115" t="s">
        <v>689</v>
      </c>
      <c r="E82" s="116" t="str">
        <f aca="false" t="array" ref="E82:E82">IFERROR(INDEX('CH4. Thông điệp nhắc việc'!$G:$G,MATCH($D82,'CH4. Thông điệp nhắc việc'!$A:$A,0)),"")</f>
        <v>Buổi WOW sắp tới. Việc cần làm: chuẩn bị nội dung buổi.</v>
      </c>
      <c r="F82" s="116" t="str">
        <f aca="false" t="array" ref="F82:F82">IFERROR(INDEX('CH4. Thông điệp nhắc việc'!$E:$E,MATCH($D82,'CH4. Thông điệp nhắc việc'!$A:$A,0)),"-")</f>
        <v>NV WOW</v>
      </c>
      <c r="G82" s="118" t="s">
        <v>220</v>
      </c>
      <c r="H82" s="117" t="str">
        <f aca="false">HYPERLINK("#'CH4. Thông điệp nhắc việc'!C"&amp;MATCH("NA033",'CH4. Thông điệp nhắc việc'!$A:$A,0),"CH4: NA033")</f>
        <v>CH4: NA033</v>
      </c>
      <c r="I82" s="117" t="str">
        <f aca="false">HYPERLINK("#'DL14. Buổi WOW 1-1'!S4","Mở ô")</f>
        <v>Mở ô</v>
      </c>
      <c r="J82" s="4"/>
      <c r="K82" s="4"/>
      <c r="L82" s="4"/>
      <c r="M82" s="4"/>
      <c r="N82" s="4"/>
      <c r="O82" s="4"/>
      <c r="P82" s="4"/>
      <c r="Q82" s="4"/>
      <c r="R82" s="4"/>
      <c r="S82" s="4"/>
      <c r="T82" s="4"/>
      <c r="U82" s="4"/>
      <c r="V82" s="4"/>
      <c r="W82" s="4"/>
      <c r="X82" s="4"/>
      <c r="Y82" s="4"/>
      <c r="Z82" s="4"/>
    </row>
    <row r="83" customFormat="false" ht="51" hidden="false" customHeight="true" outlineLevel="0" collapsed="false">
      <c r="A83" s="115" t="s">
        <v>480</v>
      </c>
      <c r="B83" s="116" t="s">
        <v>690</v>
      </c>
      <c r="C83" s="116" t="s">
        <v>691</v>
      </c>
      <c r="D83" s="115" t="s">
        <v>692</v>
      </c>
      <c r="E83" s="116" t="str">
        <f aca="false" t="array" ref="E83:E83">IFERROR(INDEX('CH4. Thông điệp nhắc việc'!$G:$G,MATCH($D83,'CH4. Thông điệp nhắc việc'!$A:$A,0)),"")</f>
        <v>Buổi WOW đã xong nhưng quá 24 giờ (cấu hình slaWowOutcomeRead_hours) chưa ghi kết quả. Việc cần làm: viết content_note ngay.</v>
      </c>
      <c r="F83" s="116" t="str">
        <f aca="false" t="array" ref="F83:F83">IFERROR(INDEX('CH4. Thông điệp nhắc việc'!$E:$E,MATCH($D83,'CH4. Thông điệp nhắc việc'!$A:$A,0)),"-")</f>
        <v>Học vụ</v>
      </c>
      <c r="G83" s="117" t="str">
        <f aca="false">HYPERLINK("#'CH2. Tham số &amp; Quy tắc'!B"&amp;MATCH("slaWowOutcomeRead_hours",'CH2. Tham số &amp; Quy tắc'!$A:$A,0),"CH2: slaWowOutcomeRead_hours")</f>
        <v>CH2: slaWowOutcomeRead_hours</v>
      </c>
      <c r="H83" s="117" t="str">
        <f aca="false">HYPERLINK("#'CH4. Thông điệp nhắc việc'!C"&amp;MATCH("NA075",'CH4. Thông điệp nhắc việc'!$A:$A,0),"CH4: NA075")</f>
        <v>CH4: NA075</v>
      </c>
      <c r="I83" s="117" t="str">
        <f aca="false">HYPERLINK("#'DL14. Buổi WOW 1-1'!S4","Mở ô")</f>
        <v>Mở ô</v>
      </c>
      <c r="J83" s="4"/>
      <c r="K83" s="4"/>
      <c r="L83" s="4"/>
      <c r="M83" s="4"/>
      <c r="N83" s="4"/>
      <c r="O83" s="4"/>
      <c r="P83" s="4"/>
      <c r="Q83" s="4"/>
      <c r="R83" s="4"/>
      <c r="S83" s="4"/>
      <c r="T83" s="4"/>
      <c r="U83" s="4"/>
      <c r="V83" s="4"/>
      <c r="W83" s="4"/>
      <c r="X83" s="4"/>
      <c r="Y83" s="4"/>
      <c r="Z83" s="4"/>
    </row>
    <row r="84" customFormat="false" ht="51" hidden="false" customHeight="true" outlineLevel="0" collapsed="false">
      <c r="A84" s="115" t="s">
        <v>480</v>
      </c>
      <c r="B84" s="116" t="s">
        <v>693</v>
      </c>
      <c r="C84" s="116" t="s">
        <v>694</v>
      </c>
      <c r="D84" s="115" t="s">
        <v>695</v>
      </c>
      <c r="E84" s="116" t="str">
        <f aca="false" t="array" ref="E84:E84">IFERROR(INDEX('CH4. Thông điệp nhắc việc'!$G:$G,MATCH($D84,'CH4. Thông điệp nhắc việc'!$A:$A,0)),"")</f>
        <v>Buổi WOW đã xong, cần ghi kết quả (content_note) trong hạn 24 giờ (cấu hình slaWowOutcomeRead_hours). Việc cần làm: viết content_note.</v>
      </c>
      <c r="F84" s="116" t="str">
        <f aca="false" t="array" ref="F84:F84">IFERROR(INDEX('CH4. Thông điệp nhắc việc'!$E:$E,MATCH($D84,'CH4. Thông điệp nhắc việc'!$A:$A,0)),"-")</f>
        <v>Học vụ</v>
      </c>
      <c r="G84" s="117" t="str">
        <f aca="false">HYPERLINK("#'CH2. Tham số &amp; Quy tắc'!B"&amp;MATCH("slaWowOutcomeRead_hours",'CH2. Tham số &amp; Quy tắc'!$A:$A,0),"CH2: slaWowOutcomeRead_hours")</f>
        <v>CH2: slaWowOutcomeRead_hours</v>
      </c>
      <c r="H84" s="117" t="str">
        <f aca="false">HYPERLINK("#'CH4. Thông điệp nhắc việc'!C"&amp;MATCH("NA076",'CH4. Thông điệp nhắc việc'!$A:$A,0),"CH4: NA076")</f>
        <v>CH4: NA076</v>
      </c>
      <c r="I84" s="117" t="str">
        <f aca="false">HYPERLINK("#'DL14. Buổi WOW 1-1'!S4","Mở ô")</f>
        <v>Mở ô</v>
      </c>
      <c r="J84" s="4"/>
      <c r="K84" s="4"/>
      <c r="L84" s="4"/>
      <c r="M84" s="4"/>
      <c r="N84" s="4"/>
      <c r="O84" s="4"/>
      <c r="P84" s="4"/>
      <c r="Q84" s="4"/>
      <c r="R84" s="4"/>
      <c r="S84" s="4"/>
      <c r="T84" s="4"/>
      <c r="U84" s="4"/>
      <c r="V84" s="4"/>
      <c r="W84" s="4"/>
      <c r="X84" s="4"/>
      <c r="Y84" s="4"/>
      <c r="Z84" s="4"/>
    </row>
    <row r="85" customFormat="false" ht="51" hidden="false" customHeight="true" outlineLevel="0" collapsed="false">
      <c r="A85" s="115" t="s">
        <v>480</v>
      </c>
      <c r="B85" s="116" t="s">
        <v>696</v>
      </c>
      <c r="C85" s="116" t="s">
        <v>697</v>
      </c>
      <c r="D85" s="115" t="s">
        <v>698</v>
      </c>
      <c r="E85" s="116" t="str">
        <f aca="false" t="array" ref="E85:E85">IFERROR(INDEX('CH4. Thông điệp nhắc việc'!$G:$G,MATCH($D85,'CH4. Thông điệp nhắc việc'!$A:$A,0)),"")</f>
        <v>Buổi WOW đã xong. Việc cần làm: đánh giá kết quả buổi (tiến bộ / không đổi / cần thêm).</v>
      </c>
      <c r="F85" s="116" t="str">
        <f aca="false" t="array" ref="F85:F85">IFERROR(INDEX('CH4. Thông điệp nhắc việc'!$E:$E,MATCH($D85,'CH4. Thông điệp nhắc việc'!$A:$A,0)),"-")</f>
        <v>NV WOW</v>
      </c>
      <c r="G85" s="118" t="s">
        <v>220</v>
      </c>
      <c r="H85" s="117" t="str">
        <f aca="false">HYPERLINK("#'CH4. Thông điệp nhắc việc'!C"&amp;MATCH("NA034",'CH4. Thông điệp nhắc việc'!$A:$A,0),"CH4: NA034")</f>
        <v>CH4: NA034</v>
      </c>
      <c r="I85" s="117" t="str">
        <f aca="false">HYPERLINK("#'DL14. Buổi WOW 1-1'!S4","Mở ô")</f>
        <v>Mở ô</v>
      </c>
      <c r="J85" s="4"/>
      <c r="K85" s="4"/>
      <c r="L85" s="4"/>
      <c r="M85" s="4"/>
      <c r="N85" s="4"/>
      <c r="O85" s="4"/>
      <c r="P85" s="4"/>
      <c r="Q85" s="4"/>
      <c r="R85" s="4"/>
      <c r="S85" s="4"/>
      <c r="T85" s="4"/>
      <c r="U85" s="4"/>
      <c r="V85" s="4"/>
      <c r="W85" s="4"/>
      <c r="X85" s="4"/>
      <c r="Y85" s="4"/>
      <c r="Z85" s="4"/>
    </row>
    <row r="86" customFormat="false" ht="51" hidden="false" customHeight="true" outlineLevel="0" collapsed="false">
      <c r="A86" s="115" t="s">
        <v>480</v>
      </c>
      <c r="B86" s="116" t="s">
        <v>699</v>
      </c>
      <c r="C86" s="116" t="s">
        <v>700</v>
      </c>
      <c r="D86" s="115" t="s">
        <v>638</v>
      </c>
      <c r="E86" s="116" t="str">
        <f aca="false" t="array" ref="E86:E86">IFERROR(INDEX('CH4. Thông điệp nhắc việc'!$G:$G,MATCH($D86,'CH4. Thông điệp nhắc việc'!$A:$A,0)),"")</f>
        <v>Đã hoàn tất. Không cần làm gì thêm ở bước này.</v>
      </c>
      <c r="F86" s="116" t="str">
        <f aca="false" t="array" ref="F86:F86">IFERROR(INDEX('CH4. Thông điệp nhắc việc'!$E:$E,MATCH($D86,'CH4. Thông điệp nhắc việc'!$A:$A,0)),"-")</f>
        <v>Giáo viên</v>
      </c>
      <c r="G86" s="118" t="s">
        <v>220</v>
      </c>
      <c r="H86" s="117" t="str">
        <f aca="false">HYPERLINK("#'CH4. Thông điệp nhắc việc'!C"&amp;MATCH("NA022",'CH4. Thông điệp nhắc việc'!$A:$A,0),"CH4: NA022")</f>
        <v>CH4: NA022</v>
      </c>
      <c r="I86" s="117" t="str">
        <f aca="false">HYPERLINK("#'DL14. Buổi WOW 1-1'!S4","Mở ô")</f>
        <v>Mở ô</v>
      </c>
      <c r="J86" s="4"/>
      <c r="K86" s="4"/>
      <c r="L86" s="4"/>
      <c r="M86" s="4"/>
      <c r="N86" s="4"/>
      <c r="O86" s="4"/>
      <c r="P86" s="4"/>
      <c r="Q86" s="4"/>
      <c r="R86" s="4"/>
      <c r="S86" s="4"/>
      <c r="T86" s="4"/>
      <c r="U86" s="4"/>
      <c r="V86" s="4"/>
      <c r="W86" s="4"/>
      <c r="X86" s="4"/>
      <c r="Y86" s="4"/>
      <c r="Z86" s="4"/>
    </row>
    <row r="87" customFormat="false" ht="51" hidden="false" customHeight="true" outlineLevel="0" collapsed="false">
      <c r="A87" s="115" t="s">
        <v>480</v>
      </c>
      <c r="B87" s="116" t="s">
        <v>701</v>
      </c>
      <c r="C87" s="116" t="s">
        <v>702</v>
      </c>
      <c r="D87" s="115" t="s">
        <v>703</v>
      </c>
      <c r="E87" s="116" t="str">
        <f aca="false" t="array" ref="E87:E87">IFERROR(INDEX('CH4. Thông điệp nhắc việc'!$G:$G,MATCH($D87,'CH4. Thông điệp nhắc việc'!$A:$A,0)),"")</f>
        <v>HV vắng buổi WOW. Việc cần làm: trừ lượt WOW và ghi lý do.</v>
      </c>
      <c r="F87" s="116" t="str">
        <f aca="false" t="array" ref="F87:F87">IFERROR(INDEX('CH4. Thông điệp nhắc việc'!$E:$E,MATCH($D87,'CH4. Thông điệp nhắc việc'!$A:$A,0)),"-")</f>
        <v>NV WOW</v>
      </c>
      <c r="G87" s="118" t="s">
        <v>220</v>
      </c>
      <c r="H87" s="117" t="str">
        <f aca="false">HYPERLINK("#'CH4. Thông điệp nhắc việc'!C"&amp;MATCH("NA035",'CH4. Thông điệp nhắc việc'!$A:$A,0),"CH4: NA035")</f>
        <v>CH4: NA035</v>
      </c>
      <c r="I87" s="117" t="str">
        <f aca="false">HYPERLINK("#'DL14. Buổi WOW 1-1'!S4","Mở ô")</f>
        <v>Mở ô</v>
      </c>
      <c r="J87" s="4"/>
      <c r="K87" s="4"/>
      <c r="L87" s="4"/>
      <c r="M87" s="4"/>
      <c r="N87" s="4"/>
      <c r="O87" s="4"/>
      <c r="P87" s="4"/>
      <c r="Q87" s="4"/>
      <c r="R87" s="4"/>
      <c r="S87" s="4"/>
      <c r="T87" s="4"/>
      <c r="U87" s="4"/>
      <c r="V87" s="4"/>
      <c r="W87" s="4"/>
      <c r="X87" s="4"/>
      <c r="Y87" s="4"/>
      <c r="Z87" s="4"/>
    </row>
    <row r="88" customFormat="false" ht="51" hidden="false" customHeight="true" outlineLevel="0" collapsed="false">
      <c r="A88" s="115" t="s">
        <v>480</v>
      </c>
      <c r="B88" s="116" t="s">
        <v>704</v>
      </c>
      <c r="C88" s="116" t="s">
        <v>705</v>
      </c>
      <c r="D88" s="115" t="s">
        <v>706</v>
      </c>
      <c r="E88" s="116" t="str">
        <f aca="false" t="array" ref="E88:E88">IFERROR(INDEX('CH4. Thông điệp nhắc việc'!$G:$G,MATCH($D88,'CH4. Thông điệp nhắc việc'!$A:$A,0)),"")</f>
        <v>Buổi WOW đã hủy. Không cần làm gì thêm.</v>
      </c>
      <c r="F88" s="116" t="str">
        <f aca="false" t="array" ref="F88:F88">IFERROR(INDEX('CH4. Thông điệp nhắc việc'!$E:$E,MATCH($D88,'CH4. Thông điệp nhắc việc'!$A:$A,0)),"-")</f>
        <v>-</v>
      </c>
      <c r="G88" s="118" t="s">
        <v>220</v>
      </c>
      <c r="H88" s="117" t="str">
        <f aca="false">HYPERLINK("#'CH4. Thông điệp nhắc việc'!C"&amp;MATCH("NA077",'CH4. Thông điệp nhắc việc'!$A:$A,0),"CH4: NA077")</f>
        <v>CH4: NA077</v>
      </c>
      <c r="I88" s="117" t="str">
        <f aca="false">HYPERLINK("#'DL14. Buổi WOW 1-1'!S4","Mở ô")</f>
        <v>Mở ô</v>
      </c>
      <c r="J88" s="4"/>
      <c r="K88" s="4"/>
      <c r="L88" s="4"/>
      <c r="M88" s="4"/>
      <c r="N88" s="4"/>
      <c r="O88" s="4"/>
      <c r="P88" s="4"/>
      <c r="Q88" s="4"/>
      <c r="R88" s="4"/>
      <c r="S88" s="4"/>
      <c r="T88" s="4"/>
      <c r="U88" s="4"/>
      <c r="V88" s="4"/>
      <c r="W88" s="4"/>
      <c r="X88" s="4"/>
      <c r="Y88" s="4"/>
      <c r="Z88" s="4"/>
    </row>
    <row r="89" customFormat="false" ht="19.5" hidden="false" customHeight="true" outlineLevel="0" collapsed="false">
      <c r="A89" s="114" t="s">
        <v>707</v>
      </c>
      <c r="B89" s="114"/>
      <c r="C89" s="114"/>
      <c r="D89" s="114"/>
      <c r="E89" s="114"/>
      <c r="F89" s="114"/>
      <c r="G89" s="114"/>
      <c r="H89" s="114"/>
      <c r="I89" s="114"/>
      <c r="J89" s="4"/>
      <c r="K89" s="4"/>
      <c r="L89" s="4"/>
      <c r="M89" s="4"/>
      <c r="N89" s="4"/>
      <c r="O89" s="4"/>
      <c r="P89" s="4"/>
      <c r="Q89" s="4"/>
      <c r="R89" s="4"/>
      <c r="S89" s="4"/>
      <c r="T89" s="4"/>
      <c r="U89" s="4"/>
      <c r="V89" s="4"/>
      <c r="W89" s="4"/>
      <c r="X89" s="4"/>
      <c r="Y89" s="4"/>
      <c r="Z89" s="4"/>
    </row>
    <row r="90" customFormat="false" ht="51" hidden="false" customHeight="true" outlineLevel="0" collapsed="false">
      <c r="A90" s="115" t="s">
        <v>480</v>
      </c>
      <c r="B90" s="116" t="s">
        <v>708</v>
      </c>
      <c r="C90" s="116" t="s">
        <v>709</v>
      </c>
      <c r="D90" s="115" t="s">
        <v>710</v>
      </c>
      <c r="E90" s="116" t="str">
        <f aca="false" t="array" ref="E90:E90">IFERROR(INDEX('CH4. Thông điệp nhắc việc'!$G:$G,MATCH($D90,'CH4. Thông điệp nhắc việc'!$A:$A,0)),"")</f>
        <v>HV đã nộp khảo sát nhưng quá 48 giờ (cấu hình slaSurveyReport_hours) chưa xử lý. Việc cần làm: phân công đọc và báo cáo khảo sát ngay.</v>
      </c>
      <c r="F90" s="116" t="str">
        <f aca="false" t="array" ref="F90:F90">IFERROR(INDEX('CH4. Thông điệp nhắc việc'!$E:$E,MATCH($D90,'CH4. Thông điệp nhắc việc'!$A:$A,0)),"-")</f>
        <v>Học vụ</v>
      </c>
      <c r="G90" s="117" t="str">
        <f aca="false">HYPERLINK("#'CH2. Tham số &amp; Quy tắc'!B"&amp;MATCH("slaSurveyReport_hours",'CH2. Tham số &amp; Quy tắc'!$A:$A,0),"CH2: slaSurveyReport_hours")</f>
        <v>CH2: slaSurveyReport_hours</v>
      </c>
      <c r="H90" s="117" t="str">
        <f aca="false">HYPERLINK("#'CH4. Thông điệp nhắc việc'!C"&amp;MATCH("NA078",'CH4. Thông điệp nhắc việc'!$A:$A,0),"CH4: NA078")</f>
        <v>CH4: NA078</v>
      </c>
      <c r="I90" s="117" t="str">
        <f aca="false">HYPERLINK("#'DL15. Khảo sát'!R4","Mở ô")</f>
        <v>Mở ô</v>
      </c>
      <c r="J90" s="4"/>
      <c r="K90" s="4"/>
      <c r="L90" s="4"/>
      <c r="M90" s="4"/>
      <c r="N90" s="4"/>
      <c r="O90" s="4"/>
      <c r="P90" s="4"/>
      <c r="Q90" s="4"/>
      <c r="R90" s="4"/>
      <c r="S90" s="4"/>
      <c r="T90" s="4"/>
      <c r="U90" s="4"/>
      <c r="V90" s="4"/>
      <c r="W90" s="4"/>
      <c r="X90" s="4"/>
      <c r="Y90" s="4"/>
      <c r="Z90" s="4"/>
    </row>
    <row r="91" customFormat="false" ht="51" hidden="false" customHeight="true" outlineLevel="0" collapsed="false">
      <c r="A91" s="115" t="s">
        <v>480</v>
      </c>
      <c r="B91" s="116" t="s">
        <v>711</v>
      </c>
      <c r="C91" s="116" t="s">
        <v>712</v>
      </c>
      <c r="D91" s="115" t="s">
        <v>713</v>
      </c>
      <c r="E91" s="116" t="str">
        <f aca="false" t="array" ref="E91:E91">IFERROR(INDEX('CH4. Thông điệp nhắc việc'!$G:$G,MATCH($D91,'CH4. Thông điệp nhắc việc'!$A:$A,0)),"")</f>
        <v>Đã gửi khảo sát nhưng HV chưa làm. Việc cần làm: nhắc HV làm khảo sát.</v>
      </c>
      <c r="F91" s="116" t="str">
        <f aca="false" t="array" ref="F91:F91">IFERROR(INDEX('CH4. Thông điệp nhắc việc'!$E:$E,MATCH($D91,'CH4. Thông điệp nhắc việc'!$A:$A,0)),"-")</f>
        <v>Học vụ</v>
      </c>
      <c r="G91" s="118" t="s">
        <v>220</v>
      </c>
      <c r="H91" s="117" t="str">
        <f aca="false">HYPERLINK("#'CH4. Thông điệp nhắc việc'!C"&amp;MATCH("NA036",'CH4. Thông điệp nhắc việc'!$A:$A,0),"CH4: NA036")</f>
        <v>CH4: NA036</v>
      </c>
      <c r="I91" s="117" t="str">
        <f aca="false">HYPERLINK("#'DL15. Khảo sát'!R4","Mở ô")</f>
        <v>Mở ô</v>
      </c>
      <c r="J91" s="4"/>
      <c r="K91" s="4"/>
      <c r="L91" s="4"/>
      <c r="M91" s="4"/>
      <c r="N91" s="4"/>
      <c r="O91" s="4"/>
      <c r="P91" s="4"/>
      <c r="Q91" s="4"/>
      <c r="R91" s="4"/>
      <c r="S91" s="4"/>
      <c r="T91" s="4"/>
      <c r="U91" s="4"/>
      <c r="V91" s="4"/>
      <c r="W91" s="4"/>
      <c r="X91" s="4"/>
      <c r="Y91" s="4"/>
      <c r="Z91" s="4"/>
    </row>
    <row r="92" customFormat="false" ht="51" hidden="false" customHeight="true" outlineLevel="0" collapsed="false">
      <c r="A92" s="115" t="s">
        <v>480</v>
      </c>
      <c r="B92" s="116" t="s">
        <v>714</v>
      </c>
      <c r="C92" s="116" t="s">
        <v>715</v>
      </c>
      <c r="D92" s="115" t="s">
        <v>716</v>
      </c>
      <c r="E92" s="116" t="str">
        <f aca="false" t="array" ref="E92:E92">IFERROR(INDEX('CH4. Thông điệp nhắc việc'!$G:$G,MATCH($D92,'CH4. Thông điệp nhắc việc'!$A:$A,0)),"")</f>
        <v>Khảo sát cho thấy cần theo dõi thêm HV. Việc cần làm: học vụ liên hệ HV.</v>
      </c>
      <c r="F92" s="116" t="str">
        <f aca="false" t="array" ref="F92:F92">IFERROR(INDEX('CH4. Thông điệp nhắc việc'!$E:$E,MATCH($D92,'CH4. Thông điệp nhắc việc'!$A:$A,0)),"-")</f>
        <v>Học vụ</v>
      </c>
      <c r="G92" s="118" t="s">
        <v>220</v>
      </c>
      <c r="H92" s="117" t="str">
        <f aca="false">HYPERLINK("#'CH4. Thông điệp nhắc việc'!C"&amp;MATCH("NA079",'CH4. Thông điệp nhắc việc'!$A:$A,0),"CH4: NA079")</f>
        <v>CH4: NA079</v>
      </c>
      <c r="I92" s="117" t="str">
        <f aca="false">HYPERLINK("#'DL15. Khảo sát'!R4","Mở ô")</f>
        <v>Mở ô</v>
      </c>
      <c r="J92" s="4"/>
      <c r="K92" s="4"/>
      <c r="L92" s="4"/>
      <c r="M92" s="4"/>
      <c r="N92" s="4"/>
      <c r="O92" s="4"/>
      <c r="P92" s="4"/>
      <c r="Q92" s="4"/>
      <c r="R92" s="4"/>
      <c r="S92" s="4"/>
      <c r="T92" s="4"/>
      <c r="U92" s="4"/>
      <c r="V92" s="4"/>
      <c r="W92" s="4"/>
      <c r="X92" s="4"/>
      <c r="Y92" s="4"/>
      <c r="Z92" s="4"/>
    </row>
    <row r="93" customFormat="false" ht="51" hidden="false" customHeight="true" outlineLevel="0" collapsed="false">
      <c r="A93" s="115" t="s">
        <v>480</v>
      </c>
      <c r="B93" s="116" t="s">
        <v>717</v>
      </c>
      <c r="C93" s="116" t="s">
        <v>718</v>
      </c>
      <c r="D93" s="115" t="s">
        <v>719</v>
      </c>
      <c r="E93" s="116" t="str">
        <f aca="false" t="array" ref="E93:E93">IFERROR(INDEX('CH4. Thông điệp nhắc việc'!$G:$G,MATCH($D93,'CH4. Thông điệp nhắc việc'!$A:$A,0)),"")</f>
        <v>HV đã làm khảo sát. Không cần làm gì thêm.</v>
      </c>
      <c r="F93" s="116" t="str">
        <f aca="false" t="array" ref="F93:F93">IFERROR(INDEX('CH4. Thông điệp nhắc việc'!$E:$E,MATCH($D93,'CH4. Thông điệp nhắc việc'!$A:$A,0)),"-")</f>
        <v>-</v>
      </c>
      <c r="G93" s="118" t="s">
        <v>220</v>
      </c>
      <c r="H93" s="117" t="str">
        <f aca="false">HYPERLINK("#'CH4. Thông điệp nhắc việc'!C"&amp;MATCH("NA037",'CH4. Thông điệp nhắc việc'!$A:$A,0),"CH4: NA037")</f>
        <v>CH4: NA037</v>
      </c>
      <c r="I93" s="117" t="str">
        <f aca="false">HYPERLINK("#'DL15. Khảo sát'!R4","Mở ô")</f>
        <v>Mở ô</v>
      </c>
      <c r="J93" s="4"/>
      <c r="K93" s="4"/>
      <c r="L93" s="4"/>
      <c r="M93" s="4"/>
      <c r="N93" s="4"/>
      <c r="O93" s="4"/>
      <c r="P93" s="4"/>
      <c r="Q93" s="4"/>
      <c r="R93" s="4"/>
      <c r="S93" s="4"/>
      <c r="T93" s="4"/>
      <c r="U93" s="4"/>
      <c r="V93" s="4"/>
      <c r="W93" s="4"/>
      <c r="X93" s="4"/>
      <c r="Y93" s="4"/>
      <c r="Z93" s="4"/>
    </row>
    <row r="94" customFormat="false" ht="19.5" hidden="false" customHeight="true" outlineLevel="0" collapsed="false">
      <c r="A94" s="114" t="s">
        <v>720</v>
      </c>
      <c r="B94" s="114"/>
      <c r="C94" s="114"/>
      <c r="D94" s="114"/>
      <c r="E94" s="114"/>
      <c r="F94" s="114"/>
      <c r="G94" s="114"/>
      <c r="H94" s="114"/>
      <c r="I94" s="114"/>
      <c r="J94" s="4"/>
      <c r="K94" s="4"/>
      <c r="L94" s="4"/>
      <c r="M94" s="4"/>
      <c r="N94" s="4"/>
      <c r="O94" s="4"/>
      <c r="P94" s="4"/>
      <c r="Q94" s="4"/>
      <c r="R94" s="4"/>
      <c r="S94" s="4"/>
      <c r="T94" s="4"/>
      <c r="U94" s="4"/>
      <c r="V94" s="4"/>
      <c r="W94" s="4"/>
      <c r="X94" s="4"/>
      <c r="Y94" s="4"/>
      <c r="Z94" s="4"/>
    </row>
    <row r="95" customFormat="false" ht="51" hidden="false" customHeight="true" outlineLevel="0" collapsed="false">
      <c r="A95" s="115" t="s">
        <v>480</v>
      </c>
      <c r="B95" s="116" t="s">
        <v>721</v>
      </c>
      <c r="C95" s="116" t="s">
        <v>722</v>
      </c>
      <c r="D95" s="115" t="s">
        <v>723</v>
      </c>
      <c r="E95" s="116" t="str">
        <f aca="false" t="array" ref="E95:E95">IFERROR(INDEX('CH4. Thông điệp nhắc việc'!$G:$G,MATCH($D95,'CH4. Thông điệp nhắc việc'!$A:$A,0)),"")</f>
        <v>Phản hồi mới đã quá 24 giờ (cấu hình slaFB_classify_hours) chưa phân loại. Việc cần làm: phân loại ngay.</v>
      </c>
      <c r="F95" s="116" t="str">
        <f aca="false" t="array" ref="F95:F95">IFERROR(INDEX('CH4. Thông điệp nhắc việc'!$E:$E,MATCH($D95,'CH4. Thông điệp nhắc việc'!$A:$A,0)),"-")</f>
        <v>Học vụ</v>
      </c>
      <c r="G95" s="117" t="str">
        <f aca="false">HYPERLINK("#'CH2. Tham số &amp; Quy tắc'!B"&amp;MATCH("slaFB_classify_hours",'CH2. Tham số &amp; Quy tắc'!$A:$A,0),"CH2: slaFB_classify_hours")</f>
        <v>CH2: slaFB_classify_hours</v>
      </c>
      <c r="H95" s="117" t="str">
        <f aca="false">HYPERLINK("#'CH4. Thông điệp nhắc việc'!C"&amp;MATCH("NA091",'CH4. Thông điệp nhắc việc'!$A:$A,0),"CH4: NA091")</f>
        <v>CH4: NA091</v>
      </c>
      <c r="I95" s="117" t="str">
        <f aca="false">HYPERLINK("#'DL16. Phản hồi'!R4","Mở ô")</f>
        <v>Mở ô</v>
      </c>
      <c r="J95" s="4"/>
      <c r="K95" s="4"/>
      <c r="L95" s="4"/>
      <c r="M95" s="4"/>
      <c r="N95" s="4"/>
      <c r="O95" s="4"/>
      <c r="P95" s="4"/>
      <c r="Q95" s="4"/>
      <c r="R95" s="4"/>
      <c r="S95" s="4"/>
      <c r="T95" s="4"/>
      <c r="U95" s="4"/>
      <c r="V95" s="4"/>
      <c r="W95" s="4"/>
      <c r="X95" s="4"/>
      <c r="Y95" s="4"/>
      <c r="Z95" s="4"/>
    </row>
    <row r="96" customFormat="false" ht="51" hidden="false" customHeight="true" outlineLevel="0" collapsed="false">
      <c r="A96" s="115" t="s">
        <v>480</v>
      </c>
      <c r="B96" s="116" t="s">
        <v>724</v>
      </c>
      <c r="C96" s="116" t="s">
        <v>725</v>
      </c>
      <c r="D96" s="115" t="s">
        <v>726</v>
      </c>
      <c r="E96" s="116" t="str">
        <f aca="false" t="array" ref="E96:E96">IFERROR(INDEX('CH4. Thông điệp nhắc việc'!$G:$G,MATCH($D96,'CH4. Thông điệp nhắc việc'!$A:$A,0)),"")</f>
        <v>Phản hồi mới, còn trong hạn phân loại 24 giờ (cấu hình slaFB_classify_hours). Việc cần làm: phân loại sớm.</v>
      </c>
      <c r="F96" s="116" t="str">
        <f aca="false" t="array" ref="F96:F96">IFERROR(INDEX('CH4. Thông điệp nhắc việc'!$E:$E,MATCH($D96,'CH4. Thông điệp nhắc việc'!$A:$A,0)),"-")</f>
        <v>Học vụ</v>
      </c>
      <c r="G96" s="117" t="str">
        <f aca="false">HYPERLINK("#'CH2. Tham số &amp; Quy tắc'!B"&amp;MATCH("slaFB_classify_hours",'CH2. Tham số &amp; Quy tắc'!$A:$A,0),"CH2: slaFB_classify_hours")</f>
        <v>CH2: slaFB_classify_hours</v>
      </c>
      <c r="H96" s="117" t="str">
        <f aca="false">HYPERLINK("#'CH4. Thông điệp nhắc việc'!C"&amp;MATCH("NA092",'CH4. Thông điệp nhắc việc'!$A:$A,0),"CH4: NA092")</f>
        <v>CH4: NA092</v>
      </c>
      <c r="I96" s="117" t="str">
        <f aca="false">HYPERLINK("#'DL16. Phản hồi'!R4","Mở ô")</f>
        <v>Mở ô</v>
      </c>
      <c r="J96" s="4"/>
      <c r="K96" s="4"/>
      <c r="L96" s="4"/>
      <c r="M96" s="4"/>
      <c r="N96" s="4"/>
      <c r="O96" s="4"/>
      <c r="P96" s="4"/>
      <c r="Q96" s="4"/>
      <c r="R96" s="4"/>
      <c r="S96" s="4"/>
      <c r="T96" s="4"/>
      <c r="U96" s="4"/>
      <c r="V96" s="4"/>
      <c r="W96" s="4"/>
      <c r="X96" s="4"/>
      <c r="Y96" s="4"/>
      <c r="Z96" s="4"/>
    </row>
    <row r="97" customFormat="false" ht="51" hidden="false" customHeight="true" outlineLevel="0" collapsed="false">
      <c r="A97" s="115" t="s">
        <v>480</v>
      </c>
      <c r="B97" s="116" t="s">
        <v>727</v>
      </c>
      <c r="C97" s="116" t="s">
        <v>728</v>
      </c>
      <c r="D97" s="115" t="s">
        <v>729</v>
      </c>
      <c r="E97" s="116" t="str">
        <f aca="false" t="array" ref="E97:E97">IFERROR(INDEX('CH4. Thông điệp nhắc việc'!$G:$G,MATCH($D97,'CH4. Thông điệp nhắc việc'!$A:$A,0)),"")</f>
        <v>Phản hồi tiêu cực chưa xử lý xong. Việc cần làm: xử lý ngay và cân nhắc tạo khiếu nại (sheet DL17).</v>
      </c>
      <c r="F97" s="116" t="str">
        <f aca="false" t="array" ref="F97:F97">IFERROR(INDEX('CH4. Thông điệp nhắc việc'!$E:$E,MATCH($D97,'CH4. Thông điệp nhắc việc'!$A:$A,0)),"-")</f>
        <v>Học vụ</v>
      </c>
      <c r="G97" s="118" t="s">
        <v>220</v>
      </c>
      <c r="H97" s="117" t="str">
        <f aca="false">HYPERLINK("#'CH4. Thông điệp nhắc việc'!C"&amp;MATCH("NA093",'CH4. Thông điệp nhắc việc'!$A:$A,0),"CH4: NA093")</f>
        <v>CH4: NA093</v>
      </c>
      <c r="I97" s="117" t="str">
        <f aca="false">HYPERLINK("#'DL16. Phản hồi'!R4","Mở ô")</f>
        <v>Mở ô</v>
      </c>
      <c r="J97" s="4"/>
      <c r="K97" s="4"/>
      <c r="L97" s="4"/>
      <c r="M97" s="4"/>
      <c r="N97" s="4"/>
      <c r="O97" s="4"/>
      <c r="P97" s="4"/>
      <c r="Q97" s="4"/>
      <c r="R97" s="4"/>
      <c r="S97" s="4"/>
      <c r="T97" s="4"/>
      <c r="U97" s="4"/>
      <c r="V97" s="4"/>
      <c r="W97" s="4"/>
      <c r="X97" s="4"/>
      <c r="Y97" s="4"/>
      <c r="Z97" s="4"/>
    </row>
    <row r="98" customFormat="false" ht="51" hidden="false" customHeight="true" outlineLevel="0" collapsed="false">
      <c r="A98" s="115" t="s">
        <v>480</v>
      </c>
      <c r="B98" s="116" t="s">
        <v>730</v>
      </c>
      <c r="C98" s="116" t="s">
        <v>731</v>
      </c>
      <c r="D98" s="115" t="s">
        <v>732</v>
      </c>
      <c r="E98" s="116" t="str">
        <f aca="false" t="array" ref="E98:E98">IFERROR(INDEX('CH4. Thông điệp nhắc việc'!$G:$G,MATCH($D98,'CH4. Thông điệp nhắc việc'!$A:$A,0)),"")</f>
        <v>Đã xử lý xong phản hồi. Không cần làm gì thêm.</v>
      </c>
      <c r="F98" s="116" t="str">
        <f aca="false" t="array" ref="F98:F98">IFERROR(INDEX('CH4. Thông điệp nhắc việc'!$E:$E,MATCH($D98,'CH4. Thông điệp nhắc việc'!$A:$A,0)),"-")</f>
        <v>-</v>
      </c>
      <c r="G98" s="118" t="s">
        <v>220</v>
      </c>
      <c r="H98" s="117" t="str">
        <f aca="false">HYPERLINK("#'CH4. Thông điệp nhắc việc'!C"&amp;MATCH("NA094",'CH4. Thông điệp nhắc việc'!$A:$A,0),"CH4: NA094")</f>
        <v>CH4: NA094</v>
      </c>
      <c r="I98" s="117" t="str">
        <f aca="false">HYPERLINK("#'DL16. Phản hồi'!R4","Mở ô")</f>
        <v>Mở ô</v>
      </c>
      <c r="J98" s="4"/>
      <c r="K98" s="4"/>
      <c r="L98" s="4"/>
      <c r="M98" s="4"/>
      <c r="N98" s="4"/>
      <c r="O98" s="4"/>
      <c r="P98" s="4"/>
      <c r="Q98" s="4"/>
      <c r="R98" s="4"/>
      <c r="S98" s="4"/>
      <c r="T98" s="4"/>
      <c r="U98" s="4"/>
      <c r="V98" s="4"/>
      <c r="W98" s="4"/>
      <c r="X98" s="4"/>
      <c r="Y98" s="4"/>
      <c r="Z98" s="4"/>
    </row>
    <row r="99" customFormat="false" ht="19.5" hidden="false" customHeight="true" outlineLevel="0" collapsed="false">
      <c r="A99" s="114" t="s">
        <v>733</v>
      </c>
      <c r="B99" s="114"/>
      <c r="C99" s="114"/>
      <c r="D99" s="114"/>
      <c r="E99" s="114"/>
      <c r="F99" s="114"/>
      <c r="G99" s="114"/>
      <c r="H99" s="114"/>
      <c r="I99" s="114"/>
      <c r="J99" s="4"/>
      <c r="K99" s="4"/>
      <c r="L99" s="4"/>
      <c r="M99" s="4"/>
      <c r="N99" s="4"/>
      <c r="O99" s="4"/>
      <c r="P99" s="4"/>
      <c r="Q99" s="4"/>
      <c r="R99" s="4"/>
      <c r="S99" s="4"/>
      <c r="T99" s="4"/>
      <c r="U99" s="4"/>
      <c r="V99" s="4"/>
      <c r="W99" s="4"/>
      <c r="X99" s="4"/>
      <c r="Y99" s="4"/>
      <c r="Z99" s="4"/>
    </row>
    <row r="100" customFormat="false" ht="51" hidden="false" customHeight="true" outlineLevel="0" collapsed="false">
      <c r="A100" s="115" t="s">
        <v>480</v>
      </c>
      <c r="B100" s="116" t="s">
        <v>734</v>
      </c>
      <c r="C100" s="116" t="s">
        <v>735</v>
      </c>
      <c r="D100" s="115" t="s">
        <v>736</v>
      </c>
      <c r="E100" s="116" t="str">
        <f aca="false" t="array" ref="E100:E100">IFERROR(INDEX('CH4. Thông điệp nhắc việc'!$G:$G,MATCH($D100,'CH4. Thông điệp nhắc việc'!$A:$A,0)),"")</f>
        <v>Khiếu nại ưu tiên thấp đã quá 7 ngày (cấu hình slaKN_low_hours) chưa xử lý. Việc cần làm: phản hồi và xử lý cho HV ngay.</v>
      </c>
      <c r="F100" s="116" t="str">
        <f aca="false" t="array" ref="F100:F100">IFERROR(INDEX('CH4. Thông điệp nhắc việc'!$E:$E,MATCH($D100,'CH4. Thông điệp nhắc việc'!$A:$A,0)),"-")</f>
        <v>Học vụ</v>
      </c>
      <c r="G100" s="117" t="str">
        <f aca="false">HYPERLINK("#'CH2. Tham số &amp; Quy tắc'!B"&amp;MATCH("slaKN_low_hours",'CH2. Tham số &amp; Quy tắc'!$A:$A,0),"CH2: slaKN_low_hours")</f>
        <v>CH2: slaKN_low_hours</v>
      </c>
      <c r="H100" s="117" t="str">
        <f aca="false">HYPERLINK("#'CH4. Thông điệp nhắc việc'!C"&amp;MATCH("NA080",'CH4. Thông điệp nhắc việc'!$A:$A,0),"CH4: NA080")</f>
        <v>CH4: NA080</v>
      </c>
      <c r="I100" s="117" t="str">
        <f aca="false">HYPERLINK("#'DL17. Khiếu nại'!T4","Mở ô")</f>
        <v>Mở ô</v>
      </c>
      <c r="J100" s="4"/>
      <c r="K100" s="4"/>
      <c r="L100" s="4"/>
      <c r="M100" s="4"/>
      <c r="N100" s="4"/>
      <c r="O100" s="4"/>
      <c r="P100" s="4"/>
      <c r="Q100" s="4"/>
      <c r="R100" s="4"/>
      <c r="S100" s="4"/>
      <c r="T100" s="4"/>
      <c r="U100" s="4"/>
      <c r="V100" s="4"/>
      <c r="W100" s="4"/>
      <c r="X100" s="4"/>
      <c r="Y100" s="4"/>
      <c r="Z100" s="4"/>
    </row>
    <row r="101" customFormat="false" ht="51" hidden="false" customHeight="true" outlineLevel="0" collapsed="false">
      <c r="A101" s="115" t="s">
        <v>480</v>
      </c>
      <c r="B101" s="116" t="s">
        <v>737</v>
      </c>
      <c r="C101" s="116" t="s">
        <v>738</v>
      </c>
      <c r="D101" s="115" t="s">
        <v>739</v>
      </c>
      <c r="E101" s="116" t="str">
        <f aca="false" t="array" ref="E101:E101">IFERROR(INDEX('CH4. Thông điệp nhắc việc'!$G:$G,MATCH($D101,'CH4. Thông điệp nhắc việc'!$A:$A,0)),"")</f>
        <v>Khiếu nại mới đã quá 2 giờ (cấu hình slaKN_assignment_hours) chưa phân công người xử lý. Việc cần làm: phân công gấp.</v>
      </c>
      <c r="F101" s="116" t="str">
        <f aca="false" t="array" ref="F101:F101">IFERROR(INDEX('CH4. Thông điệp nhắc việc'!$E:$E,MATCH($D101,'CH4. Thông điệp nhắc việc'!$A:$A,0)),"-")</f>
        <v>Học vụ</v>
      </c>
      <c r="G101" s="117" t="str">
        <f aca="false">HYPERLINK("#'CH2. Tham số &amp; Quy tắc'!B"&amp;MATCH("slaKN_assignment_hours",'CH2. Tham số &amp; Quy tắc'!$A:$A,0),"CH2: slaKN_assignment_hours")</f>
        <v>CH2: slaKN_assignment_hours</v>
      </c>
      <c r="H101" s="117" t="str">
        <f aca="false">HYPERLINK("#'CH4. Thông điệp nhắc việc'!C"&amp;MATCH("NA081",'CH4. Thông điệp nhắc việc'!$A:$A,0),"CH4: NA081")</f>
        <v>CH4: NA081</v>
      </c>
      <c r="I101" s="117" t="str">
        <f aca="false">HYPERLINK("#'DL17. Khiếu nại'!T4","Mở ô")</f>
        <v>Mở ô</v>
      </c>
      <c r="J101" s="4"/>
      <c r="K101" s="4"/>
      <c r="L101" s="4"/>
      <c r="M101" s="4"/>
      <c r="N101" s="4"/>
      <c r="O101" s="4"/>
      <c r="P101" s="4"/>
      <c r="Q101" s="4"/>
      <c r="R101" s="4"/>
      <c r="S101" s="4"/>
      <c r="T101" s="4"/>
      <c r="U101" s="4"/>
      <c r="V101" s="4"/>
      <c r="W101" s="4"/>
      <c r="X101" s="4"/>
      <c r="Y101" s="4"/>
      <c r="Z101" s="4"/>
    </row>
    <row r="102" customFormat="false" ht="51" hidden="false" customHeight="true" outlineLevel="0" collapsed="false">
      <c r="A102" s="115" t="s">
        <v>480</v>
      </c>
      <c r="B102" s="116" t="s">
        <v>740</v>
      </c>
      <c r="C102" s="116" t="s">
        <v>741</v>
      </c>
      <c r="D102" s="115" t="s">
        <v>742</v>
      </c>
      <c r="E102" s="116" t="str">
        <f aca="false" t="array" ref="E102:E102">IFERROR(INDEX('CH4. Thông điệp nhắc việc'!$G:$G,MATCH($D102,'CH4. Thông điệp nhắc việc'!$A:$A,0)),"")</f>
        <v>Khiếu nại mức cao đã quá 4 giờ (cấu hình slaKN_high_hours) chưa xử lý xong. Việc cần làm: quản lý tham gia xử lý gấp.</v>
      </c>
      <c r="F102" s="116" t="str">
        <f aca="false" t="array" ref="F102:F102">IFERROR(INDEX('CH4. Thông điệp nhắc việc'!$E:$E,MATCH($D102,'CH4. Thông điệp nhắc việc'!$A:$A,0)),"-")</f>
        <v>Học vụ + Quản lý</v>
      </c>
      <c r="G102" s="117" t="str">
        <f aca="false">HYPERLINK("#'CH2. Tham số &amp; Quy tắc'!B"&amp;MATCH("slaKN_high_hours",'CH2. Tham số &amp; Quy tắc'!$A:$A,0),"CH2: slaKN_high_hours")</f>
        <v>CH2: slaKN_high_hours</v>
      </c>
      <c r="H102" s="117" t="str">
        <f aca="false">HYPERLINK("#'CH4. Thông điệp nhắc việc'!C"&amp;MATCH("NA038",'CH4. Thông điệp nhắc việc'!$A:$A,0),"CH4: NA038")</f>
        <v>CH4: NA038</v>
      </c>
      <c r="I102" s="117" t="str">
        <f aca="false">HYPERLINK("#'DL17. Khiếu nại'!T4","Mở ô")</f>
        <v>Mở ô</v>
      </c>
      <c r="J102" s="4"/>
      <c r="K102" s="4"/>
      <c r="L102" s="4"/>
      <c r="M102" s="4"/>
      <c r="N102" s="4"/>
      <c r="O102" s="4"/>
      <c r="P102" s="4"/>
      <c r="Q102" s="4"/>
      <c r="R102" s="4"/>
      <c r="S102" s="4"/>
      <c r="T102" s="4"/>
      <c r="U102" s="4"/>
      <c r="V102" s="4"/>
      <c r="W102" s="4"/>
      <c r="X102" s="4"/>
      <c r="Y102" s="4"/>
      <c r="Z102" s="4"/>
    </row>
    <row r="103" customFormat="false" ht="51" hidden="false" customHeight="true" outlineLevel="0" collapsed="false">
      <c r="A103" s="115" t="s">
        <v>480</v>
      </c>
      <c r="B103" s="116" t="s">
        <v>743</v>
      </c>
      <c r="C103" s="116" t="s">
        <v>744</v>
      </c>
      <c r="D103" s="115" t="s">
        <v>745</v>
      </c>
      <c r="E103" s="116" t="str">
        <f aca="false" t="array" ref="E103:E103">IFERROR(INDEX('CH4. Thông điệp nhắc việc'!$G:$G,MATCH($D103,'CH4. Thông điệp nhắc việc'!$A:$A,0)),"")</f>
        <v>Khiếu nại mức trung bình đã quá 48 giờ (cấu hình slaKN_medium_hours) chưa xử lý. Việc cần làm: xử lý ngay.</v>
      </c>
      <c r="F103" s="116" t="str">
        <f aca="false" t="array" ref="F103:F103">IFERROR(INDEX('CH4. Thông điệp nhắc việc'!$E:$E,MATCH($D103,'CH4. Thông điệp nhắc việc'!$A:$A,0)),"-")</f>
        <v>Học vụ</v>
      </c>
      <c r="G103" s="117" t="str">
        <f aca="false">HYPERLINK("#'CH2. Tham số &amp; Quy tắc'!B"&amp;MATCH("slaKN_medium_hours",'CH2. Tham số &amp; Quy tắc'!$A:$A,0),"CH2: slaKN_medium_hours")</f>
        <v>CH2: slaKN_medium_hours</v>
      </c>
      <c r="H103" s="117" t="str">
        <f aca="false">HYPERLINK("#'CH4. Thông điệp nhắc việc'!C"&amp;MATCH("NA039",'CH4. Thông điệp nhắc việc'!$A:$A,0),"CH4: NA039")</f>
        <v>CH4: NA039</v>
      </c>
      <c r="I103" s="117" t="str">
        <f aca="false">HYPERLINK("#'DL17. Khiếu nại'!T4","Mở ô")</f>
        <v>Mở ô</v>
      </c>
      <c r="J103" s="4"/>
      <c r="K103" s="4"/>
      <c r="L103" s="4"/>
      <c r="M103" s="4"/>
      <c r="N103" s="4"/>
      <c r="O103" s="4"/>
      <c r="P103" s="4"/>
      <c r="Q103" s="4"/>
      <c r="R103" s="4"/>
      <c r="S103" s="4"/>
      <c r="T103" s="4"/>
      <c r="U103" s="4"/>
      <c r="V103" s="4"/>
      <c r="W103" s="4"/>
      <c r="X103" s="4"/>
      <c r="Y103" s="4"/>
      <c r="Z103" s="4"/>
    </row>
    <row r="104" customFormat="false" ht="51" hidden="false" customHeight="true" outlineLevel="0" collapsed="false">
      <c r="A104" s="115" t="s">
        <v>480</v>
      </c>
      <c r="B104" s="116" t="s">
        <v>746</v>
      </c>
      <c r="C104" s="116" t="s">
        <v>747</v>
      </c>
      <c r="D104" s="115" t="s">
        <v>748</v>
      </c>
      <c r="E104" s="116" t="str">
        <f aca="false" t="array" ref="E104:E104">IFERROR(INDEX('CH4. Thông điệp nhắc việc'!$G:$G,MATCH($D104,'CH4. Thông điệp nhắc việc'!$A:$A,0)),"")</f>
        <v>Khiếu nại đã đẩy lên cấp cao. Việc cần làm: chờ CEO/quản lý cấp cao xử lý.</v>
      </c>
      <c r="F104" s="116" t="str">
        <f aca="false" t="array" ref="F104:F104">IFERROR(INDEX('CH4. Thông điệp nhắc việc'!$E:$E,MATCH($D104,'CH4. Thông điệp nhắc việc'!$A:$A,0)),"-")</f>
        <v>CEO</v>
      </c>
      <c r="G104" s="118" t="s">
        <v>220</v>
      </c>
      <c r="H104" s="117" t="str">
        <f aca="false">HYPERLINK("#'CH4. Thông điệp nhắc việc'!C"&amp;MATCH("NA040",'CH4. Thông điệp nhắc việc'!$A:$A,0),"CH4: NA040")</f>
        <v>CH4: NA040</v>
      </c>
      <c r="I104" s="117" t="str">
        <f aca="false">HYPERLINK("#'DL17. Khiếu nại'!T4","Mở ô")</f>
        <v>Mở ô</v>
      </c>
      <c r="J104" s="4"/>
      <c r="K104" s="4"/>
      <c r="L104" s="4"/>
      <c r="M104" s="4"/>
      <c r="N104" s="4"/>
      <c r="O104" s="4"/>
      <c r="P104" s="4"/>
      <c r="Q104" s="4"/>
      <c r="R104" s="4"/>
      <c r="S104" s="4"/>
      <c r="T104" s="4"/>
      <c r="U104" s="4"/>
      <c r="V104" s="4"/>
      <c r="W104" s="4"/>
      <c r="X104" s="4"/>
      <c r="Y104" s="4"/>
      <c r="Z104" s="4"/>
    </row>
    <row r="105" customFormat="false" ht="51" hidden="false" customHeight="true" outlineLevel="0" collapsed="false">
      <c r="A105" s="115" t="s">
        <v>480</v>
      </c>
      <c r="B105" s="116" t="s">
        <v>749</v>
      </c>
      <c r="C105" s="116" t="s">
        <v>750</v>
      </c>
      <c r="D105" s="115" t="s">
        <v>751</v>
      </c>
      <c r="E105" s="116" t="str">
        <f aca="false" t="array" ref="E105:E105">IFERROR(INDEX('CH4. Thông điệp nhắc việc'!$G:$G,MATCH($D105,'CH4. Thông điệp nhắc việc'!$A:$A,0)),"")</f>
        <v>Đã giải quyết khiếu nại và HV chấp nhận. Không cần làm gì thêm.</v>
      </c>
      <c r="F105" s="116" t="str">
        <f aca="false" t="array" ref="F105:F105">IFERROR(INDEX('CH4. Thông điệp nhắc việc'!$E:$E,MATCH($D105,'CH4. Thông điệp nhắc việc'!$A:$A,0)),"-")</f>
        <v>-</v>
      </c>
      <c r="G105" s="118" t="s">
        <v>220</v>
      </c>
      <c r="H105" s="117" t="str">
        <f aca="false">HYPERLINK("#'CH4. Thông điệp nhắc việc'!C"&amp;MATCH("NA041",'CH4. Thông điệp nhắc việc'!$A:$A,0),"CH4: NA041")</f>
        <v>CH4: NA041</v>
      </c>
      <c r="I105" s="117" t="str">
        <f aca="false">HYPERLINK("#'DL17. Khiếu nại'!T4","Mở ô")</f>
        <v>Mở ô</v>
      </c>
      <c r="J105" s="4"/>
      <c r="K105" s="4"/>
      <c r="L105" s="4"/>
      <c r="M105" s="4"/>
      <c r="N105" s="4"/>
      <c r="O105" s="4"/>
      <c r="P105" s="4"/>
      <c r="Q105" s="4"/>
      <c r="R105" s="4"/>
      <c r="S105" s="4"/>
      <c r="T105" s="4"/>
      <c r="U105" s="4"/>
      <c r="V105" s="4"/>
      <c r="W105" s="4"/>
      <c r="X105" s="4"/>
      <c r="Y105" s="4"/>
      <c r="Z105" s="4"/>
    </row>
    <row r="106" customFormat="false" ht="51" hidden="false" customHeight="true" outlineLevel="0" collapsed="false">
      <c r="A106" s="115" t="s">
        <v>480</v>
      </c>
      <c r="B106" s="116" t="s">
        <v>752</v>
      </c>
      <c r="C106" s="116" t="s">
        <v>585</v>
      </c>
      <c r="D106" s="115" t="s">
        <v>586</v>
      </c>
      <c r="E106" s="116" t="str">
        <f aca="false" t="array" ref="E106:E106">IFERROR(INDEX('CH4. Thông điệp nhắc việc'!$G:$G,MATCH($D106,'CH4. Thông điệp nhắc việc'!$A:$A,0)),"")</f>
        <v>Đang trong thời hạn xử lý cho phép, chưa cần thúc.</v>
      </c>
      <c r="F106" s="116" t="str">
        <f aca="false" t="array" ref="F106:F106">IFERROR(INDEX('CH4. Thông điệp nhắc việc'!$E:$E,MATCH($D106,'CH4. Thông điệp nhắc việc'!$A:$A,0)),"-")</f>
        <v>Học vụ</v>
      </c>
      <c r="G106" s="118" t="s">
        <v>220</v>
      </c>
      <c r="H106" s="117" t="str">
        <f aca="false">HYPERLINK("#'CH4. Thông điệp nhắc việc'!C"&amp;MATCH("NA013",'CH4. Thông điệp nhắc việc'!$A:$A,0),"CH4: NA013")</f>
        <v>CH4: NA013</v>
      </c>
      <c r="I106" s="117" t="str">
        <f aca="false">HYPERLINK("#'DL17. Khiếu nại'!T4","Mở ô")</f>
        <v>Mở ô</v>
      </c>
      <c r="J106" s="4"/>
      <c r="K106" s="4"/>
      <c r="L106" s="4"/>
      <c r="M106" s="4"/>
      <c r="N106" s="4"/>
      <c r="O106" s="4"/>
      <c r="P106" s="4"/>
      <c r="Q106" s="4"/>
      <c r="R106" s="4"/>
      <c r="S106" s="4"/>
      <c r="T106" s="4"/>
      <c r="U106" s="4"/>
      <c r="V106" s="4"/>
      <c r="W106" s="4"/>
      <c r="X106" s="4"/>
      <c r="Y106" s="4"/>
      <c r="Z106" s="4"/>
    </row>
    <row r="107" customFormat="false" ht="19.5" hidden="false" customHeight="true" outlineLevel="0" collapsed="false">
      <c r="A107" s="114" t="s">
        <v>753</v>
      </c>
      <c r="B107" s="114"/>
      <c r="C107" s="114"/>
      <c r="D107" s="114"/>
      <c r="E107" s="114"/>
      <c r="F107" s="114"/>
      <c r="G107" s="114"/>
      <c r="H107" s="114"/>
      <c r="I107" s="114"/>
      <c r="J107" s="4"/>
      <c r="K107" s="4"/>
      <c r="L107" s="4"/>
      <c r="M107" s="4"/>
      <c r="N107" s="4"/>
      <c r="O107" s="4"/>
      <c r="P107" s="4"/>
      <c r="Q107" s="4"/>
      <c r="R107" s="4"/>
      <c r="S107" s="4"/>
      <c r="T107" s="4"/>
      <c r="U107" s="4"/>
      <c r="V107" s="4"/>
      <c r="W107" s="4"/>
      <c r="X107" s="4"/>
      <c r="Y107" s="4"/>
      <c r="Z107" s="4"/>
    </row>
    <row r="108" customFormat="false" ht="51" hidden="false" customHeight="true" outlineLevel="0" collapsed="false">
      <c r="A108" s="115" t="s">
        <v>480</v>
      </c>
      <c r="B108" s="116" t="s">
        <v>754</v>
      </c>
      <c r="C108" s="116" t="s">
        <v>755</v>
      </c>
      <c r="D108" s="115" t="s">
        <v>756</v>
      </c>
      <c r="E108" s="116" t="str">
        <f aca="false" t="array" ref="E108:E108">IFERROR(INDEX('CH4. Thông điệp nhắc việc'!$G:$G,MATCH($D108,'CH4. Thông điệp nhắc việc'!$A:$A,0)),"")</f>
        <v>HV hoàn thành khóa nhưng quá 3 ngày (cấu hình slaFinalTest_days) chưa có điểm test cuối. Việc cần làm: nhập điểm test cuối ngay.</v>
      </c>
      <c r="F108" s="116" t="str">
        <f aca="false" t="array" ref="F108:F108">IFERROR(INDEX('CH4. Thông điệp nhắc việc'!$E:$E,MATCH($D108,'CH4. Thông điệp nhắc việc'!$A:$A,0)),"-")</f>
        <v>Học vụ</v>
      </c>
      <c r="G108" s="117" t="str">
        <f aca="false">HYPERLINK("#'CH2. Tham số &amp; Quy tắc'!B"&amp;MATCH("slaFinalTest_days",'CH2. Tham số &amp; Quy tắc'!$A:$A,0),"CH2: slaFinalTest_days")</f>
        <v>CH2: slaFinalTest_days</v>
      </c>
      <c r="H108" s="117" t="str">
        <f aca="false">HYPERLINK("#'CH4. Thông điệp nhắc việc'!C"&amp;MATCH("NA082",'CH4. Thông điệp nhắc việc'!$A:$A,0),"CH4: NA082")</f>
        <v>CH4: NA082</v>
      </c>
      <c r="I108" s="117" t="str">
        <f aca="false">HYPERLINK("#'DL18. Kết thúc khóa'!Y4","Mở ô")</f>
        <v>Mở ô</v>
      </c>
      <c r="J108" s="4"/>
      <c r="K108" s="4"/>
      <c r="L108" s="4"/>
      <c r="M108" s="4"/>
      <c r="N108" s="4"/>
      <c r="O108" s="4"/>
      <c r="P108" s="4"/>
      <c r="Q108" s="4"/>
      <c r="R108" s="4"/>
      <c r="S108" s="4"/>
      <c r="T108" s="4"/>
      <c r="U108" s="4"/>
      <c r="V108" s="4"/>
      <c r="W108" s="4"/>
      <c r="X108" s="4"/>
      <c r="Y108" s="4"/>
      <c r="Z108" s="4"/>
    </row>
    <row r="109" customFormat="false" ht="51" hidden="false" customHeight="true" outlineLevel="0" collapsed="false">
      <c r="A109" s="115" t="s">
        <v>480</v>
      </c>
      <c r="B109" s="116" t="s">
        <v>757</v>
      </c>
      <c r="C109" s="116" t="s">
        <v>758</v>
      </c>
      <c r="D109" s="115" t="s">
        <v>759</v>
      </c>
      <c r="E109" s="116" t="str">
        <f aca="false" t="array" ref="E109:E109">IFERROR(INDEX('CH4. Thông điệp nhắc việc'!$G:$G,MATCH($D109,'CH4. Thông điệp nhắc việc'!$A:$A,0)),"")</f>
        <v>HV quan tâm tái ghi danh nhưng quá 14 ngày (cấu hình slaReenrollSchedule_days) chưa xếp khóa mới. Việc cần làm: chốt lịch khóa mới cho HV gấp.</v>
      </c>
      <c r="F109" s="116" t="str">
        <f aca="false" t="array" ref="F109:F109">IFERROR(INDEX('CH4. Thông điệp nhắc việc'!$E:$E,MATCH($D109,'CH4. Thông điệp nhắc việc'!$A:$A,0)),"-")</f>
        <v>Học vụ / Tư vấn</v>
      </c>
      <c r="G109" s="117" t="str">
        <f aca="false">HYPERLINK("#'CH2. Tham số &amp; Quy tắc'!B"&amp;MATCH("slaReenrollSchedule_days",'CH2. Tham số &amp; Quy tắc'!$A:$A,0),"CH2: slaReenrollSchedule_days")</f>
        <v>CH2: slaReenrollSchedule_days</v>
      </c>
      <c r="H109" s="117" t="str">
        <f aca="false">HYPERLINK("#'CH4. Thông điệp nhắc việc'!C"&amp;MATCH("NA083",'CH4. Thông điệp nhắc việc'!$A:$A,0),"CH4: NA083")</f>
        <v>CH4: NA083</v>
      </c>
      <c r="I109" s="117" t="str">
        <f aca="false">HYPERLINK("#'DL18. Kết thúc khóa'!Y4","Mở ô")</f>
        <v>Mở ô</v>
      </c>
      <c r="J109" s="4"/>
      <c r="K109" s="4"/>
      <c r="L109" s="4"/>
      <c r="M109" s="4"/>
      <c r="N109" s="4"/>
      <c r="O109" s="4"/>
      <c r="P109" s="4"/>
      <c r="Q109" s="4"/>
      <c r="R109" s="4"/>
      <c r="S109" s="4"/>
      <c r="T109" s="4"/>
      <c r="U109" s="4"/>
      <c r="V109" s="4"/>
      <c r="W109" s="4"/>
      <c r="X109" s="4"/>
      <c r="Y109" s="4"/>
      <c r="Z109" s="4"/>
    </row>
    <row r="110" customFormat="false" ht="51" hidden="false" customHeight="true" outlineLevel="0" collapsed="false">
      <c r="A110" s="115" t="s">
        <v>480</v>
      </c>
      <c r="B110" s="116" t="s">
        <v>760</v>
      </c>
      <c r="C110" s="116" t="s">
        <v>761</v>
      </c>
      <c r="D110" s="115" t="s">
        <v>762</v>
      </c>
      <c r="E110" s="116" t="str">
        <f aca="false" t="array" ref="E110:E110">IFERROR(INDEX('CH4. Thông điệp nhắc việc'!$G:$G,MATCH($D110,'CH4. Thông điệp nhắc việc'!$A:$A,0)),"")</f>
        <v>HV đã hoàn thành khóa nhưng quá 3 ngày (cấu hình slaReenroll_contact_days) chưa liên hệ mời học tiếp. Việc cần làm: liên hệ mời tái ghi danh gấp.</v>
      </c>
      <c r="F110" s="116" t="str">
        <f aca="false" t="array" ref="F110:F110">IFERROR(INDEX('CH4. Thông điệp nhắc việc'!$E:$E,MATCH($D110,'CH4. Thông điệp nhắc việc'!$A:$A,0)),"-")</f>
        <v>NV Tư vấn</v>
      </c>
      <c r="G110" s="117" t="str">
        <f aca="false">HYPERLINK("#'CH2. Tham số &amp; Quy tắc'!B"&amp;MATCH("slaReenroll_contact_days",'CH2. Tham số &amp; Quy tắc'!$A:$A,0),"CH2: slaReenroll_contact_days")</f>
        <v>CH2: slaReenroll_contact_days</v>
      </c>
      <c r="H110" s="117" t="str">
        <f aca="false">HYPERLINK("#'CH4. Thông điệp nhắc việc'!C"&amp;MATCH("NA042",'CH4. Thông điệp nhắc việc'!$A:$A,0),"CH4: NA042")</f>
        <v>CH4: NA042</v>
      </c>
      <c r="I110" s="117" t="str">
        <f aca="false">HYPERLINK("#'DL18. Kết thúc khóa'!Y4","Mở ô")</f>
        <v>Mở ô</v>
      </c>
      <c r="J110" s="4"/>
      <c r="K110" s="4"/>
      <c r="L110" s="4"/>
      <c r="M110" s="4"/>
      <c r="N110" s="4"/>
      <c r="O110" s="4"/>
      <c r="P110" s="4"/>
      <c r="Q110" s="4"/>
      <c r="R110" s="4"/>
      <c r="S110" s="4"/>
      <c r="T110" s="4"/>
      <c r="U110" s="4"/>
      <c r="V110" s="4"/>
      <c r="W110" s="4"/>
      <c r="X110" s="4"/>
      <c r="Y110" s="4"/>
      <c r="Z110" s="4"/>
    </row>
    <row r="111" customFormat="false" ht="51" hidden="false" customHeight="true" outlineLevel="0" collapsed="false">
      <c r="A111" s="115" t="s">
        <v>480</v>
      </c>
      <c r="B111" s="116" t="s">
        <v>763</v>
      </c>
      <c r="C111" s="116" t="s">
        <v>764</v>
      </c>
      <c r="D111" s="115" t="s">
        <v>765</v>
      </c>
      <c r="E111" s="116" t="str">
        <f aca="false" t="array" ref="E111:E111">IFERROR(INDEX('CH4. Thông điệp nhắc việc'!$G:$G,MATCH($D111,'CH4. Thông điệp nhắc việc'!$A:$A,0)),"")</f>
        <v>HV đã nghỉ giữa khóa. Việc cần làm: phân tích lý do HV nghỉ để rút kinh nghiệm.</v>
      </c>
      <c r="F111" s="116" t="str">
        <f aca="false" t="array" ref="F111:F111">IFERROR(INDEX('CH4. Thông điệp nhắc việc'!$E:$E,MATCH($D111,'CH4. Thông điệp nhắc việc'!$A:$A,0)),"-")</f>
        <v>NV Tư vấn</v>
      </c>
      <c r="G111" s="118" t="s">
        <v>220</v>
      </c>
      <c r="H111" s="117" t="str">
        <f aca="false">HYPERLINK("#'CH4. Thông điệp nhắc việc'!C"&amp;MATCH("NA043",'CH4. Thông điệp nhắc việc'!$A:$A,0),"CH4: NA043")</f>
        <v>CH4: NA043</v>
      </c>
      <c r="I111" s="117" t="str">
        <f aca="false">HYPERLINK("#'DL18. Kết thúc khóa'!Y4","Mở ô")</f>
        <v>Mở ô</v>
      </c>
      <c r="J111" s="4"/>
      <c r="K111" s="4"/>
      <c r="L111" s="4"/>
      <c r="M111" s="4"/>
      <c r="N111" s="4"/>
      <c r="O111" s="4"/>
      <c r="P111" s="4"/>
      <c r="Q111" s="4"/>
      <c r="R111" s="4"/>
      <c r="S111" s="4"/>
      <c r="T111" s="4"/>
      <c r="U111" s="4"/>
      <c r="V111" s="4"/>
      <c r="W111" s="4"/>
      <c r="X111" s="4"/>
      <c r="Y111" s="4"/>
      <c r="Z111" s="4"/>
    </row>
    <row r="112" customFormat="false" ht="51" hidden="false" customHeight="true" outlineLevel="0" collapsed="false">
      <c r="A112" s="115" t="s">
        <v>480</v>
      </c>
      <c r="B112" s="116" t="s">
        <v>766</v>
      </c>
      <c r="C112" s="116" t="s">
        <v>767</v>
      </c>
      <c r="D112" s="115" t="s">
        <v>768</v>
      </c>
      <c r="E112" s="116" t="str">
        <f aca="false" t="array" ref="E112:E112">IFERROR(INDEX('CH4. Thông điệp nhắc việc'!$G:$G,MATCH($D112,'CH4. Thông điệp nhắc việc'!$A:$A,0)),"")</f>
        <v>HV đã đăng ký học khóa tiếp theo. Không cần làm gì thêm.</v>
      </c>
      <c r="F112" s="116" t="str">
        <f aca="false" t="array" ref="F112:F112">IFERROR(INDEX('CH4. Thông điệp nhắc việc'!$E:$E,MATCH($D112,'CH4. Thông điệp nhắc việc'!$A:$A,0)),"-")</f>
        <v>-</v>
      </c>
      <c r="G112" s="118" t="s">
        <v>220</v>
      </c>
      <c r="H112" s="117" t="str">
        <f aca="false">HYPERLINK("#'CH4. Thông điệp nhắc việc'!C"&amp;MATCH("NA044",'CH4. Thông điệp nhắc việc'!$A:$A,0),"CH4: NA044")</f>
        <v>CH4: NA044</v>
      </c>
      <c r="I112" s="117" t="str">
        <f aca="false">HYPERLINK("#'DL18. Kết thúc khóa'!Y4","Mở ô")</f>
        <v>Mở ô</v>
      </c>
      <c r="J112" s="4"/>
      <c r="K112" s="4"/>
      <c r="L112" s="4"/>
      <c r="M112" s="4"/>
      <c r="N112" s="4"/>
      <c r="O112" s="4"/>
      <c r="P112" s="4"/>
      <c r="Q112" s="4"/>
      <c r="R112" s="4"/>
      <c r="S112" s="4"/>
      <c r="T112" s="4"/>
      <c r="U112" s="4"/>
      <c r="V112" s="4"/>
      <c r="W112" s="4"/>
      <c r="X112" s="4"/>
      <c r="Y112" s="4"/>
      <c r="Z112" s="4"/>
    </row>
    <row r="113" customFormat="false" ht="51" hidden="false" customHeight="true" outlineLevel="0" collapsed="false">
      <c r="A113" s="115" t="s">
        <v>480</v>
      </c>
      <c r="B113" s="116" t="s">
        <v>769</v>
      </c>
      <c r="C113" s="116" t="s">
        <v>770</v>
      </c>
      <c r="D113" s="115" t="s">
        <v>771</v>
      </c>
      <c r="E113" s="116" t="str">
        <f aca="false" t="array" ref="E113:E113">IFERROR(INDEX('CH4. Thông điệp nhắc việc'!$G:$G,MATCH($D113,'CH4. Thông điệp nhắc việc'!$A:$A,0)),"")</f>
        <v>HV từ chối học tiếp. Không cần làm gì thêm.</v>
      </c>
      <c r="F113" s="116" t="str">
        <f aca="false" t="array" ref="F113:F113">IFERROR(INDEX('CH4. Thông điệp nhắc việc'!$E:$E,MATCH($D113,'CH4. Thông điệp nhắc việc'!$A:$A,0)),"-")</f>
        <v>-</v>
      </c>
      <c r="G113" s="118" t="s">
        <v>220</v>
      </c>
      <c r="H113" s="117" t="str">
        <f aca="false">HYPERLINK("#'CH4. Thông điệp nhắc việc'!C"&amp;MATCH("NA084",'CH4. Thông điệp nhắc việc'!$A:$A,0),"CH4: NA084")</f>
        <v>CH4: NA084</v>
      </c>
      <c r="I113" s="117" t="str">
        <f aca="false">HYPERLINK("#'DL18. Kết thúc khóa'!Y4","Mở ô")</f>
        <v>Mở ô</v>
      </c>
      <c r="J113" s="4"/>
      <c r="K113" s="4"/>
      <c r="L113" s="4"/>
      <c r="M113" s="4"/>
      <c r="N113" s="4"/>
      <c r="O113" s="4"/>
      <c r="P113" s="4"/>
      <c r="Q113" s="4"/>
      <c r="R113" s="4"/>
      <c r="S113" s="4"/>
      <c r="T113" s="4"/>
      <c r="U113" s="4"/>
      <c r="V113" s="4"/>
      <c r="W113" s="4"/>
      <c r="X113" s="4"/>
      <c r="Y113" s="4"/>
      <c r="Z113" s="4"/>
    </row>
    <row r="114" customFormat="false" ht="51" hidden="false" customHeight="true" outlineLevel="0" collapsed="false">
      <c r="A114" s="115" t="s">
        <v>480</v>
      </c>
      <c r="B114" s="116" t="s">
        <v>772</v>
      </c>
      <c r="C114" s="116" t="s">
        <v>773</v>
      </c>
      <c r="D114" s="115" t="s">
        <v>774</v>
      </c>
      <c r="E114" s="116" t="str">
        <f aca="false" t="array" ref="E114:E114">IFERROR(INDEX('CH4. Thông điệp nhắc việc'!$G:$G,MATCH($D114,'CH4. Thông điệp nhắc việc'!$A:$A,0)),"")</f>
        <v>HV quan tâm học tiếp. Việc cần làm: liên hệ chốt đăng ký khóa mới.</v>
      </c>
      <c r="F114" s="116" t="str">
        <f aca="false" t="array" ref="F114:F114">IFERROR(INDEX('CH4. Thông điệp nhắc việc'!$E:$E,MATCH($D114,'CH4. Thông điệp nhắc việc'!$A:$A,0)),"-")</f>
        <v>NV Tư vấn</v>
      </c>
      <c r="G114" s="118" t="s">
        <v>220</v>
      </c>
      <c r="H114" s="117" t="str">
        <f aca="false">HYPERLINK("#'CH4. Thông điệp nhắc việc'!C"&amp;MATCH("NA045",'CH4. Thông điệp nhắc việc'!$A:$A,0),"CH4: NA045")</f>
        <v>CH4: NA045</v>
      </c>
      <c r="I114" s="117" t="str">
        <f aca="false">HYPERLINK("#'DL18. Kết thúc khóa'!Y4","Mở ô")</f>
        <v>Mở ô</v>
      </c>
      <c r="J114" s="4"/>
      <c r="K114" s="4"/>
      <c r="L114" s="4"/>
      <c r="M114" s="4"/>
      <c r="N114" s="4"/>
      <c r="O114" s="4"/>
      <c r="P114" s="4"/>
      <c r="Q114" s="4"/>
      <c r="R114" s="4"/>
      <c r="S114" s="4"/>
      <c r="T114" s="4"/>
      <c r="U114" s="4"/>
      <c r="V114" s="4"/>
      <c r="W114" s="4"/>
      <c r="X114" s="4"/>
      <c r="Y114" s="4"/>
      <c r="Z114" s="4"/>
    </row>
    <row r="115" customFormat="false" ht="21.75" hidden="false" customHeight="true" outlineLevel="0" collapsed="false">
      <c r="A115" s="113" t="s">
        <v>775</v>
      </c>
      <c r="B115" s="113"/>
      <c r="C115" s="113"/>
      <c r="D115" s="113"/>
      <c r="E115" s="113"/>
      <c r="F115" s="113"/>
      <c r="G115" s="113"/>
      <c r="H115" s="113"/>
      <c r="I115" s="113"/>
      <c r="J115" s="4"/>
      <c r="K115" s="4"/>
      <c r="L115" s="4"/>
      <c r="M115" s="4"/>
      <c r="N115" s="4"/>
      <c r="O115" s="4"/>
      <c r="P115" s="4"/>
      <c r="Q115" s="4"/>
      <c r="R115" s="4"/>
      <c r="S115" s="4"/>
      <c r="T115" s="4"/>
      <c r="U115" s="4"/>
      <c r="V115" s="4"/>
      <c r="W115" s="4"/>
      <c r="X115" s="4"/>
      <c r="Y115" s="4"/>
      <c r="Z115" s="4"/>
    </row>
    <row r="116" customFormat="false" ht="51" hidden="false" customHeight="true" outlineLevel="0" collapsed="false">
      <c r="A116" s="115" t="s">
        <v>776</v>
      </c>
      <c r="B116" s="116" t="s">
        <v>777</v>
      </c>
      <c r="C116" s="116" t="s">
        <v>778</v>
      </c>
      <c r="D116" s="115" t="s">
        <v>220</v>
      </c>
      <c r="E116" s="116" t="s">
        <v>779</v>
      </c>
      <c r="F116" s="116" t="s">
        <v>780</v>
      </c>
      <c r="G116" s="118" t="s">
        <v>220</v>
      </c>
      <c r="H116" s="118" t="s">
        <v>220</v>
      </c>
      <c r="I116" s="117" t="str">
        <f aca="false">HYPERLINK("#'DL03. Đặt lịch test'!A1","Mở sheet")</f>
        <v>Mở sheet</v>
      </c>
      <c r="J116" s="4"/>
      <c r="K116" s="4"/>
      <c r="L116" s="4"/>
      <c r="M116" s="4"/>
      <c r="N116" s="4"/>
      <c r="O116" s="4"/>
      <c r="P116" s="4"/>
      <c r="Q116" s="4"/>
      <c r="R116" s="4"/>
      <c r="S116" s="4"/>
      <c r="T116" s="4"/>
      <c r="U116" s="4"/>
      <c r="V116" s="4"/>
      <c r="W116" s="4"/>
      <c r="X116" s="4"/>
      <c r="Y116" s="4"/>
      <c r="Z116" s="4"/>
    </row>
    <row r="117" customFormat="false" ht="51" hidden="false" customHeight="true" outlineLevel="0" collapsed="false">
      <c r="A117" s="115" t="s">
        <v>776</v>
      </c>
      <c r="B117" s="116" t="s">
        <v>781</v>
      </c>
      <c r="C117" s="116" t="s">
        <v>782</v>
      </c>
      <c r="D117" s="115" t="s">
        <v>220</v>
      </c>
      <c r="E117" s="116" t="s">
        <v>783</v>
      </c>
      <c r="F117" s="116" t="s">
        <v>780</v>
      </c>
      <c r="G117" s="118" t="s">
        <v>220</v>
      </c>
      <c r="H117" s="118" t="s">
        <v>220</v>
      </c>
      <c r="I117" s="117" t="str">
        <f aca="false">HYPERLINK("#'DL04. Tư vấn'!A1","Mở sheet")</f>
        <v>Mở sheet</v>
      </c>
      <c r="J117" s="4"/>
      <c r="K117" s="4"/>
      <c r="L117" s="4"/>
      <c r="M117" s="4"/>
      <c r="N117" s="4"/>
      <c r="O117" s="4"/>
      <c r="P117" s="4"/>
      <c r="Q117" s="4"/>
      <c r="R117" s="4"/>
      <c r="S117" s="4"/>
      <c r="T117" s="4"/>
      <c r="U117" s="4"/>
      <c r="V117" s="4"/>
      <c r="W117" s="4"/>
      <c r="X117" s="4"/>
      <c r="Y117" s="4"/>
      <c r="Z117" s="4"/>
    </row>
    <row r="118" customFormat="false" ht="51" hidden="false" customHeight="true" outlineLevel="0" collapsed="false">
      <c r="A118" s="115" t="s">
        <v>776</v>
      </c>
      <c r="B118" s="116" t="s">
        <v>784</v>
      </c>
      <c r="C118" s="116" t="s">
        <v>785</v>
      </c>
      <c r="D118" s="115" t="s">
        <v>220</v>
      </c>
      <c r="E118" s="116" t="s">
        <v>786</v>
      </c>
      <c r="F118" s="116" t="s">
        <v>780</v>
      </c>
      <c r="G118" s="118" t="s">
        <v>220</v>
      </c>
      <c r="H118" s="118" t="s">
        <v>220</v>
      </c>
      <c r="I118" s="117" t="str">
        <f aca="false">HYPERLINK("#'DL08. Xếp lớp &amp; Nhập học'!A1","Mở sheet")</f>
        <v>Mở sheet</v>
      </c>
      <c r="J118" s="4"/>
      <c r="K118" s="4"/>
      <c r="L118" s="4"/>
      <c r="M118" s="4"/>
      <c r="N118" s="4"/>
      <c r="O118" s="4"/>
      <c r="P118" s="4"/>
      <c r="Q118" s="4"/>
      <c r="R118" s="4"/>
      <c r="S118" s="4"/>
      <c r="T118" s="4"/>
      <c r="U118" s="4"/>
      <c r="V118" s="4"/>
      <c r="W118" s="4"/>
      <c r="X118" s="4"/>
      <c r="Y118" s="4"/>
      <c r="Z118" s="4"/>
    </row>
    <row r="119" customFormat="false" ht="51" hidden="false" customHeight="true" outlineLevel="0" collapsed="false">
      <c r="A119" s="115" t="s">
        <v>776</v>
      </c>
      <c r="B119" s="116" t="s">
        <v>787</v>
      </c>
      <c r="C119" s="116" t="s">
        <v>788</v>
      </c>
      <c r="D119" s="115" t="s">
        <v>220</v>
      </c>
      <c r="E119" s="116" t="s">
        <v>789</v>
      </c>
      <c r="F119" s="116" t="s">
        <v>780</v>
      </c>
      <c r="G119" s="118" t="s">
        <v>220</v>
      </c>
      <c r="H119" s="118" t="s">
        <v>220</v>
      </c>
      <c r="I119" s="117" t="str">
        <f aca="false">HYPERLINK("#'DL08. Xếp lớp &amp; Nhập học'!A1","Mở sheet")</f>
        <v>Mở sheet</v>
      </c>
      <c r="J119" s="4"/>
      <c r="K119" s="4"/>
      <c r="L119" s="4"/>
      <c r="M119" s="4"/>
      <c r="N119" s="4"/>
      <c r="O119" s="4"/>
      <c r="P119" s="4"/>
      <c r="Q119" s="4"/>
      <c r="R119" s="4"/>
      <c r="S119" s="4"/>
      <c r="T119" s="4"/>
      <c r="U119" s="4"/>
      <c r="V119" s="4"/>
      <c r="W119" s="4"/>
      <c r="X119" s="4"/>
      <c r="Y119" s="4"/>
      <c r="Z119" s="4"/>
    </row>
    <row r="120" customFormat="false" ht="51" hidden="false" customHeight="true" outlineLevel="0" collapsed="false">
      <c r="A120" s="115" t="s">
        <v>776</v>
      </c>
      <c r="B120" s="116" t="s">
        <v>790</v>
      </c>
      <c r="C120" s="116" t="s">
        <v>791</v>
      </c>
      <c r="D120" s="115" t="s">
        <v>220</v>
      </c>
      <c r="E120" s="116" t="s">
        <v>792</v>
      </c>
      <c r="F120" s="116" t="s">
        <v>780</v>
      </c>
      <c r="G120" s="118" t="s">
        <v>220</v>
      </c>
      <c r="H120" s="118" t="s">
        <v>220</v>
      </c>
      <c r="I120" s="117" t="str">
        <f aca="false">HYPERLINK("#'DL12. Điểm danh'!A1","Mở sheet")</f>
        <v>Mở sheet</v>
      </c>
      <c r="J120" s="4"/>
      <c r="K120" s="4"/>
      <c r="L120" s="4"/>
      <c r="M120" s="4"/>
      <c r="N120" s="4"/>
      <c r="O120" s="4"/>
      <c r="P120" s="4"/>
      <c r="Q120" s="4"/>
      <c r="R120" s="4"/>
      <c r="S120" s="4"/>
      <c r="T120" s="4"/>
      <c r="U120" s="4"/>
      <c r="V120" s="4"/>
      <c r="W120" s="4"/>
      <c r="X120" s="4"/>
      <c r="Y120" s="4"/>
      <c r="Z120" s="4"/>
    </row>
    <row r="121" customFormat="false" ht="51" hidden="false" customHeight="true" outlineLevel="0" collapsed="false">
      <c r="A121" s="115" t="s">
        <v>776</v>
      </c>
      <c r="B121" s="116" t="s">
        <v>793</v>
      </c>
      <c r="C121" s="116" t="s">
        <v>794</v>
      </c>
      <c r="D121" s="115" t="s">
        <v>220</v>
      </c>
      <c r="E121" s="116" t="s">
        <v>795</v>
      </c>
      <c r="F121" s="116" t="s">
        <v>780</v>
      </c>
      <c r="G121" s="118" t="s">
        <v>220</v>
      </c>
      <c r="H121" s="118" t="s">
        <v>220</v>
      </c>
      <c r="I121" s="117" t="str">
        <f aca="false">HYPERLINK("#'DL13. Bài tập'!A1","Mở sheet")</f>
        <v>Mở sheet</v>
      </c>
      <c r="J121" s="4"/>
      <c r="K121" s="4"/>
      <c r="L121" s="4"/>
      <c r="M121" s="4"/>
      <c r="N121" s="4"/>
      <c r="O121" s="4"/>
      <c r="P121" s="4"/>
      <c r="Q121" s="4"/>
      <c r="R121" s="4"/>
      <c r="S121" s="4"/>
      <c r="T121" s="4"/>
      <c r="U121" s="4"/>
      <c r="V121" s="4"/>
      <c r="W121" s="4"/>
      <c r="X121" s="4"/>
      <c r="Y121" s="4"/>
      <c r="Z121" s="4"/>
    </row>
    <row r="122" customFormat="false" ht="51" hidden="false" customHeight="true" outlineLevel="0" collapsed="false">
      <c r="A122" s="115" t="s">
        <v>776</v>
      </c>
      <c r="B122" s="116" t="s">
        <v>796</v>
      </c>
      <c r="C122" s="116" t="s">
        <v>797</v>
      </c>
      <c r="D122" s="115" t="s">
        <v>220</v>
      </c>
      <c r="E122" s="116" t="s">
        <v>798</v>
      </c>
      <c r="F122" s="116" t="s">
        <v>780</v>
      </c>
      <c r="G122" s="118" t="s">
        <v>220</v>
      </c>
      <c r="H122" s="118" t="s">
        <v>220</v>
      </c>
      <c r="I122" s="117" t="str">
        <f aca="false">HYPERLINK("#'DL13. Bài tập'!A1","Mở sheet")</f>
        <v>Mở sheet</v>
      </c>
      <c r="J122" s="4"/>
      <c r="K122" s="4"/>
      <c r="L122" s="4"/>
      <c r="M122" s="4"/>
      <c r="N122" s="4"/>
      <c r="O122" s="4"/>
      <c r="P122" s="4"/>
      <c r="Q122" s="4"/>
      <c r="R122" s="4"/>
      <c r="S122" s="4"/>
      <c r="T122" s="4"/>
      <c r="U122" s="4"/>
      <c r="V122" s="4"/>
      <c r="W122" s="4"/>
      <c r="X122" s="4"/>
      <c r="Y122" s="4"/>
      <c r="Z122" s="4"/>
    </row>
    <row r="123" customFormat="false" ht="51" hidden="false" customHeight="true" outlineLevel="0" collapsed="false">
      <c r="A123" s="115" t="s">
        <v>776</v>
      </c>
      <c r="B123" s="116" t="s">
        <v>799</v>
      </c>
      <c r="C123" s="116" t="s">
        <v>800</v>
      </c>
      <c r="D123" s="115" t="s">
        <v>220</v>
      </c>
      <c r="E123" s="116" t="s">
        <v>801</v>
      </c>
      <c r="F123" s="116" t="s">
        <v>780</v>
      </c>
      <c r="G123" s="118" t="s">
        <v>220</v>
      </c>
      <c r="H123" s="118" t="s">
        <v>220</v>
      </c>
      <c r="I123" s="117" t="str">
        <f aca="false">HYPERLINK("#'DL16. Phản hồi'!A1","Mở sheet")</f>
        <v>Mở sheet</v>
      </c>
      <c r="J123" s="4"/>
      <c r="K123" s="4"/>
      <c r="L123" s="4"/>
      <c r="M123" s="4"/>
      <c r="N123" s="4"/>
      <c r="O123" s="4"/>
      <c r="P123" s="4"/>
      <c r="Q123" s="4"/>
      <c r="R123" s="4"/>
      <c r="S123" s="4"/>
      <c r="T123" s="4"/>
      <c r="U123" s="4"/>
      <c r="V123" s="4"/>
      <c r="W123" s="4"/>
      <c r="X123" s="4"/>
      <c r="Y123" s="4"/>
      <c r="Z123" s="4"/>
    </row>
    <row r="124" customFormat="false" ht="51" hidden="false" customHeight="true" outlineLevel="0" collapsed="false">
      <c r="A124" s="115" t="s">
        <v>776</v>
      </c>
      <c r="B124" s="116" t="s">
        <v>799</v>
      </c>
      <c r="C124" s="116" t="s">
        <v>802</v>
      </c>
      <c r="D124" s="115" t="s">
        <v>220</v>
      </c>
      <c r="E124" s="116" t="s">
        <v>803</v>
      </c>
      <c r="F124" s="116" t="s">
        <v>780</v>
      </c>
      <c r="G124" s="118" t="s">
        <v>220</v>
      </c>
      <c r="H124" s="118" t="s">
        <v>220</v>
      </c>
      <c r="I124" s="117" t="str">
        <f aca="false">HYPERLINK("#'DL16. Phản hồi'!A1","Mở sheet")</f>
        <v>Mở sheet</v>
      </c>
      <c r="J124" s="4"/>
      <c r="K124" s="4"/>
      <c r="L124" s="4"/>
      <c r="M124" s="4"/>
      <c r="N124" s="4"/>
      <c r="O124" s="4"/>
      <c r="P124" s="4"/>
      <c r="Q124" s="4"/>
      <c r="R124" s="4"/>
      <c r="S124" s="4"/>
      <c r="T124" s="4"/>
      <c r="U124" s="4"/>
      <c r="V124" s="4"/>
      <c r="W124" s="4"/>
      <c r="X124" s="4"/>
      <c r="Y124" s="4"/>
      <c r="Z124" s="4"/>
    </row>
    <row r="125" customFormat="false" ht="51" hidden="false" customHeight="true" outlineLevel="0" collapsed="false">
      <c r="A125" s="115" t="s">
        <v>776</v>
      </c>
      <c r="B125" s="116" t="s">
        <v>804</v>
      </c>
      <c r="C125" s="116" t="s">
        <v>805</v>
      </c>
      <c r="D125" s="115" t="s">
        <v>220</v>
      </c>
      <c r="E125" s="116" t="s">
        <v>806</v>
      </c>
      <c r="F125" s="116" t="s">
        <v>780</v>
      </c>
      <c r="G125" s="118" t="s">
        <v>220</v>
      </c>
      <c r="H125" s="118" t="s">
        <v>220</v>
      </c>
      <c r="I125" s="117" t="str">
        <f aca="false">HYPERLINK("#'DL17. Khiếu nại'!A1","Mở sheet")</f>
        <v>Mở sheet</v>
      </c>
      <c r="J125" s="4"/>
      <c r="K125" s="4"/>
      <c r="L125" s="4"/>
      <c r="M125" s="4"/>
      <c r="N125" s="4"/>
      <c r="O125" s="4"/>
      <c r="P125" s="4"/>
      <c r="Q125" s="4"/>
      <c r="R125" s="4"/>
      <c r="S125" s="4"/>
      <c r="T125" s="4"/>
      <c r="U125" s="4"/>
      <c r="V125" s="4"/>
      <c r="W125" s="4"/>
      <c r="X125" s="4"/>
      <c r="Y125" s="4"/>
      <c r="Z125" s="4"/>
    </row>
    <row r="126" customFormat="false" ht="51" hidden="false" customHeight="true" outlineLevel="0" collapsed="false">
      <c r="A126" s="115" t="s">
        <v>776</v>
      </c>
      <c r="B126" s="116" t="s">
        <v>807</v>
      </c>
      <c r="C126" s="116" t="s">
        <v>808</v>
      </c>
      <c r="D126" s="115" t="s">
        <v>220</v>
      </c>
      <c r="E126" s="116" t="s">
        <v>809</v>
      </c>
      <c r="F126" s="116" t="s">
        <v>780</v>
      </c>
      <c r="G126" s="118" t="s">
        <v>220</v>
      </c>
      <c r="H126" s="118" t="s">
        <v>220</v>
      </c>
      <c r="I126" s="117" t="str">
        <f aca="false">HYPERLINK("#'DL17. Khiếu nại'!A1","Mở sheet")</f>
        <v>Mở sheet</v>
      </c>
      <c r="J126" s="4"/>
      <c r="K126" s="4"/>
      <c r="L126" s="4"/>
      <c r="M126" s="4"/>
      <c r="N126" s="4"/>
      <c r="O126" s="4"/>
      <c r="P126" s="4"/>
      <c r="Q126" s="4"/>
      <c r="R126" s="4"/>
      <c r="S126" s="4"/>
      <c r="T126" s="4"/>
      <c r="U126" s="4"/>
      <c r="V126" s="4"/>
      <c r="W126" s="4"/>
      <c r="X126" s="4"/>
      <c r="Y126" s="4"/>
      <c r="Z126" s="4"/>
    </row>
    <row r="127" customFormat="false" ht="51" hidden="false" customHeight="true" outlineLevel="0" collapsed="false">
      <c r="A127" s="115" t="s">
        <v>776</v>
      </c>
      <c r="B127" s="116" t="s">
        <v>810</v>
      </c>
      <c r="C127" s="116" t="s">
        <v>811</v>
      </c>
      <c r="D127" s="115" t="s">
        <v>220</v>
      </c>
      <c r="E127" s="116" t="s">
        <v>812</v>
      </c>
      <c r="F127" s="116" t="s">
        <v>780</v>
      </c>
      <c r="G127" s="118" t="s">
        <v>220</v>
      </c>
      <c r="H127" s="118" t="s">
        <v>220</v>
      </c>
      <c r="I127" s="117" t="str">
        <f aca="false">HYPERLINK("#'DL18. Kết thúc khóa'!A1","Mở sheet")</f>
        <v>Mở sheet</v>
      </c>
      <c r="J127" s="4"/>
      <c r="K127" s="4"/>
      <c r="L127" s="4"/>
      <c r="M127" s="4"/>
      <c r="N127" s="4"/>
      <c r="O127" s="4"/>
      <c r="P127" s="4"/>
      <c r="Q127" s="4"/>
      <c r="R127" s="4"/>
      <c r="S127" s="4"/>
      <c r="T127" s="4"/>
      <c r="U127" s="4"/>
      <c r="V127" s="4"/>
      <c r="W127" s="4"/>
      <c r="X127" s="4"/>
      <c r="Y127" s="4"/>
      <c r="Z127" s="4"/>
    </row>
    <row r="128" customFormat="false" ht="21.75" hidden="false" customHeight="true" outlineLevel="0" collapsed="false">
      <c r="A128" s="113" t="s">
        <v>813</v>
      </c>
      <c r="B128" s="113"/>
      <c r="C128" s="113"/>
      <c r="D128" s="113"/>
      <c r="E128" s="113"/>
      <c r="F128" s="113"/>
      <c r="G128" s="113"/>
      <c r="H128" s="113"/>
      <c r="I128" s="113"/>
      <c r="J128" s="4"/>
      <c r="K128" s="4"/>
      <c r="L128" s="4"/>
      <c r="M128" s="4"/>
      <c r="N128" s="4"/>
      <c r="O128" s="4"/>
      <c r="P128" s="4"/>
      <c r="Q128" s="4"/>
      <c r="R128" s="4"/>
      <c r="S128" s="4"/>
      <c r="T128" s="4"/>
      <c r="U128" s="4"/>
      <c r="V128" s="4"/>
      <c r="W128" s="4"/>
      <c r="X128" s="4"/>
      <c r="Y128" s="4"/>
      <c r="Z128" s="4"/>
    </row>
    <row r="129" customFormat="false" ht="51" hidden="false" customHeight="true" outlineLevel="0" collapsed="false">
      <c r="A129" s="115" t="s">
        <v>814</v>
      </c>
      <c r="B129" s="116" t="s">
        <v>815</v>
      </c>
      <c r="C129" s="116" t="s">
        <v>816</v>
      </c>
      <c r="D129" s="115" t="s">
        <v>220</v>
      </c>
      <c r="E129" s="116" t="s">
        <v>817</v>
      </c>
      <c r="F129" s="116" t="s">
        <v>220</v>
      </c>
      <c r="G129" s="118" t="s">
        <v>220</v>
      </c>
      <c r="H129" s="118" t="s">
        <v>220</v>
      </c>
      <c r="I129" s="118" t="s">
        <v>220</v>
      </c>
      <c r="J129" s="4"/>
      <c r="K129" s="4"/>
      <c r="L129" s="4"/>
      <c r="M129" s="4"/>
      <c r="N129" s="4"/>
      <c r="O129" s="4"/>
      <c r="P129" s="4"/>
      <c r="Q129" s="4"/>
      <c r="R129" s="4"/>
      <c r="S129" s="4"/>
      <c r="T129" s="4"/>
      <c r="U129" s="4"/>
      <c r="V129" s="4"/>
      <c r="W129" s="4"/>
      <c r="X129" s="4"/>
      <c r="Y129" s="4"/>
      <c r="Z129" s="4"/>
    </row>
    <row r="130" customFormat="false" ht="51" hidden="false" customHeight="true" outlineLevel="0" collapsed="false">
      <c r="A130" s="115" t="s">
        <v>814</v>
      </c>
      <c r="B130" s="116" t="s">
        <v>818</v>
      </c>
      <c r="C130" s="116" t="s">
        <v>819</v>
      </c>
      <c r="D130" s="115" t="s">
        <v>220</v>
      </c>
      <c r="E130" s="116" t="s">
        <v>820</v>
      </c>
      <c r="F130" s="116" t="s">
        <v>220</v>
      </c>
      <c r="G130" s="118" t="s">
        <v>220</v>
      </c>
      <c r="H130" s="118" t="s">
        <v>220</v>
      </c>
      <c r="I130" s="118" t="s">
        <v>220</v>
      </c>
      <c r="J130" s="4"/>
      <c r="K130" s="4"/>
      <c r="L130" s="4"/>
      <c r="M130" s="4"/>
      <c r="N130" s="4"/>
      <c r="O130" s="4"/>
      <c r="P130" s="4"/>
      <c r="Q130" s="4"/>
      <c r="R130" s="4"/>
      <c r="S130" s="4"/>
      <c r="T130" s="4"/>
      <c r="U130" s="4"/>
      <c r="V130" s="4"/>
      <c r="W130" s="4"/>
      <c r="X130" s="4"/>
      <c r="Y130" s="4"/>
      <c r="Z130" s="4"/>
    </row>
    <row r="131" customFormat="false" ht="51" hidden="false" customHeight="true" outlineLevel="0" collapsed="false">
      <c r="A131" s="115" t="s">
        <v>814</v>
      </c>
      <c r="B131" s="116" t="s">
        <v>821</v>
      </c>
      <c r="C131" s="116" t="s">
        <v>822</v>
      </c>
      <c r="D131" s="115" t="s">
        <v>220</v>
      </c>
      <c r="E131" s="116" t="s">
        <v>823</v>
      </c>
      <c r="F131" s="116" t="s">
        <v>220</v>
      </c>
      <c r="G131" s="118" t="s">
        <v>220</v>
      </c>
      <c r="H131" s="118" t="s">
        <v>220</v>
      </c>
      <c r="I131" s="118" t="s">
        <v>220</v>
      </c>
      <c r="J131" s="4"/>
      <c r="K131" s="4"/>
      <c r="L131" s="4"/>
      <c r="M131" s="4"/>
      <c r="N131" s="4"/>
      <c r="O131" s="4"/>
      <c r="P131" s="4"/>
      <c r="Q131" s="4"/>
      <c r="R131" s="4"/>
      <c r="S131" s="4"/>
      <c r="T131" s="4"/>
      <c r="U131" s="4"/>
      <c r="V131" s="4"/>
      <c r="W131" s="4"/>
      <c r="X131" s="4"/>
      <c r="Y131" s="4"/>
      <c r="Z131" s="4"/>
    </row>
    <row r="132" customFormat="false" ht="21.75" hidden="false" customHeight="true" outlineLevel="0" collapsed="false">
      <c r="A132" s="113" t="s">
        <v>824</v>
      </c>
      <c r="B132" s="113"/>
      <c r="C132" s="113"/>
      <c r="D132" s="113"/>
      <c r="E132" s="113"/>
      <c r="F132" s="113"/>
      <c r="G132" s="113"/>
      <c r="H132" s="113"/>
      <c r="I132" s="113"/>
      <c r="J132" s="4"/>
      <c r="K132" s="4"/>
      <c r="L132" s="4"/>
      <c r="M132" s="4"/>
      <c r="N132" s="4"/>
      <c r="O132" s="4"/>
      <c r="P132" s="4"/>
      <c r="Q132" s="4"/>
      <c r="R132" s="4"/>
      <c r="S132" s="4"/>
      <c r="T132" s="4"/>
      <c r="U132" s="4"/>
      <c r="V132" s="4"/>
      <c r="W132" s="4"/>
      <c r="X132" s="4"/>
      <c r="Y132" s="4"/>
      <c r="Z132" s="4"/>
    </row>
    <row r="133" customFormat="false" ht="19.5" hidden="false" customHeight="true" outlineLevel="0" collapsed="false">
      <c r="A133" s="114" t="s">
        <v>479</v>
      </c>
      <c r="B133" s="114"/>
      <c r="C133" s="114"/>
      <c r="D133" s="114"/>
      <c r="E133" s="114"/>
      <c r="F133" s="114"/>
      <c r="G133" s="114"/>
      <c r="H133" s="114"/>
      <c r="I133" s="114"/>
      <c r="J133" s="4"/>
      <c r="K133" s="4"/>
      <c r="L133" s="4"/>
      <c r="M133" s="4"/>
      <c r="N133" s="4"/>
      <c r="O133" s="4"/>
      <c r="P133" s="4"/>
      <c r="Q133" s="4"/>
      <c r="R133" s="4"/>
      <c r="S133" s="4"/>
      <c r="T133" s="4"/>
      <c r="U133" s="4"/>
      <c r="V133" s="4"/>
      <c r="W133" s="4"/>
      <c r="X133" s="4"/>
      <c r="Y133" s="4"/>
      <c r="Z133" s="4"/>
    </row>
    <row r="134" customFormat="false" ht="51" hidden="false" customHeight="true" outlineLevel="0" collapsed="false">
      <c r="A134" s="115" t="s">
        <v>825</v>
      </c>
      <c r="B134" s="116" t="s">
        <v>826</v>
      </c>
      <c r="C134" s="116" t="s">
        <v>827</v>
      </c>
      <c r="D134" s="115" t="s">
        <v>220</v>
      </c>
      <c r="E134" s="116" t="s">
        <v>220</v>
      </c>
      <c r="F134" s="116" t="s">
        <v>220</v>
      </c>
      <c r="G134" s="118" t="s">
        <v>220</v>
      </c>
      <c r="H134" s="118" t="s">
        <v>220</v>
      </c>
      <c r="I134" s="117" t="str">
        <f aca="false">HYPERLINK("#'DL02. Khách tiềm năng'!C4","Mở ô")</f>
        <v>Mở ô</v>
      </c>
      <c r="J134" s="4"/>
      <c r="K134" s="4"/>
      <c r="L134" s="4"/>
      <c r="M134" s="4"/>
      <c r="N134" s="4"/>
      <c r="O134" s="4"/>
      <c r="P134" s="4"/>
      <c r="Q134" s="4"/>
      <c r="R134" s="4"/>
      <c r="S134" s="4"/>
      <c r="T134" s="4"/>
      <c r="U134" s="4"/>
      <c r="V134" s="4"/>
      <c r="W134" s="4"/>
      <c r="X134" s="4"/>
      <c r="Y134" s="4"/>
      <c r="Z134" s="4"/>
    </row>
    <row r="135" customFormat="false" ht="51" hidden="false" customHeight="true" outlineLevel="0" collapsed="false">
      <c r="A135" s="115" t="s">
        <v>825</v>
      </c>
      <c r="B135" s="116" t="s">
        <v>828</v>
      </c>
      <c r="C135" s="116" t="s">
        <v>829</v>
      </c>
      <c r="D135" s="115" t="s">
        <v>220</v>
      </c>
      <c r="E135" s="116" t="s">
        <v>220</v>
      </c>
      <c r="F135" s="116" t="s">
        <v>220</v>
      </c>
      <c r="G135" s="118" t="s">
        <v>220</v>
      </c>
      <c r="H135" s="118" t="s">
        <v>220</v>
      </c>
      <c r="I135" s="117" t="str">
        <f aca="false">HYPERLINK("#'DL02. Khách tiềm năng'!D4","Mở ô")</f>
        <v>Mở ô</v>
      </c>
      <c r="J135" s="4"/>
      <c r="K135" s="4"/>
      <c r="L135" s="4"/>
      <c r="M135" s="4"/>
      <c r="N135" s="4"/>
      <c r="O135" s="4"/>
      <c r="P135" s="4"/>
      <c r="Q135" s="4"/>
      <c r="R135" s="4"/>
      <c r="S135" s="4"/>
      <c r="T135" s="4"/>
      <c r="U135" s="4"/>
      <c r="V135" s="4"/>
      <c r="W135" s="4"/>
      <c r="X135" s="4"/>
      <c r="Y135" s="4"/>
      <c r="Z135" s="4"/>
    </row>
    <row r="136" customFormat="false" ht="51" hidden="false" customHeight="true" outlineLevel="0" collapsed="false">
      <c r="A136" s="115" t="s">
        <v>825</v>
      </c>
      <c r="B136" s="116" t="s">
        <v>830</v>
      </c>
      <c r="C136" s="116" t="s">
        <v>831</v>
      </c>
      <c r="D136" s="115" t="s">
        <v>220</v>
      </c>
      <c r="E136" s="116" t="s">
        <v>220</v>
      </c>
      <c r="F136" s="116" t="s">
        <v>220</v>
      </c>
      <c r="G136" s="118" t="s">
        <v>220</v>
      </c>
      <c r="H136" s="118" t="s">
        <v>220</v>
      </c>
      <c r="I136" s="117" t="str">
        <f aca="false">HYPERLINK("#'DL02. Khách tiềm năng'!U4","Mở ô")</f>
        <v>Mở ô</v>
      </c>
      <c r="J136" s="4"/>
      <c r="K136" s="4"/>
      <c r="L136" s="4"/>
      <c r="M136" s="4"/>
      <c r="N136" s="4"/>
      <c r="O136" s="4"/>
      <c r="P136" s="4"/>
      <c r="Q136" s="4"/>
      <c r="R136" s="4"/>
      <c r="S136" s="4"/>
      <c r="T136" s="4"/>
      <c r="U136" s="4"/>
      <c r="V136" s="4"/>
      <c r="W136" s="4"/>
      <c r="X136" s="4"/>
      <c r="Y136" s="4"/>
      <c r="Z136" s="4"/>
    </row>
    <row r="137" customFormat="false" ht="51" hidden="false" customHeight="true" outlineLevel="0" collapsed="false">
      <c r="A137" s="115" t="s">
        <v>825</v>
      </c>
      <c r="B137" s="116" t="s">
        <v>832</v>
      </c>
      <c r="C137" s="116" t="s">
        <v>833</v>
      </c>
      <c r="D137" s="115" t="s">
        <v>220</v>
      </c>
      <c r="E137" s="116" t="s">
        <v>220</v>
      </c>
      <c r="F137" s="116" t="s">
        <v>220</v>
      </c>
      <c r="G137" s="118" t="s">
        <v>220</v>
      </c>
      <c r="H137" s="118" t="s">
        <v>220</v>
      </c>
      <c r="I137" s="117" t="str">
        <f aca="false">HYPERLINK("#'DL02. Khách tiềm năng'!V4","Mở ô")</f>
        <v>Mở ô</v>
      </c>
      <c r="J137" s="4"/>
      <c r="K137" s="4"/>
      <c r="L137" s="4"/>
      <c r="M137" s="4"/>
      <c r="N137" s="4"/>
      <c r="O137" s="4"/>
      <c r="P137" s="4"/>
      <c r="Q137" s="4"/>
      <c r="R137" s="4"/>
      <c r="S137" s="4"/>
      <c r="T137" s="4"/>
      <c r="U137" s="4"/>
      <c r="V137" s="4"/>
      <c r="W137" s="4"/>
      <c r="X137" s="4"/>
      <c r="Y137" s="4"/>
      <c r="Z137" s="4"/>
    </row>
    <row r="138" customFormat="false" ht="51" hidden="false" customHeight="true" outlineLevel="0" collapsed="false">
      <c r="A138" s="115" t="s">
        <v>825</v>
      </c>
      <c r="B138" s="116" t="s">
        <v>834</v>
      </c>
      <c r="C138" s="116" t="s">
        <v>835</v>
      </c>
      <c r="D138" s="115" t="s">
        <v>220</v>
      </c>
      <c r="E138" s="116" t="s">
        <v>220</v>
      </c>
      <c r="F138" s="116" t="s">
        <v>220</v>
      </c>
      <c r="G138" s="118" t="s">
        <v>220</v>
      </c>
      <c r="H138" s="118" t="s">
        <v>220</v>
      </c>
      <c r="I138" s="117" t="str">
        <f aca="false">HYPERLINK("#'DL02. Khách tiềm năng'!X4","Mở ô")</f>
        <v>Mở ô</v>
      </c>
      <c r="J138" s="4"/>
      <c r="K138" s="4"/>
      <c r="L138" s="4"/>
      <c r="M138" s="4"/>
      <c r="N138" s="4"/>
      <c r="O138" s="4"/>
      <c r="P138" s="4"/>
      <c r="Q138" s="4"/>
      <c r="R138" s="4"/>
      <c r="S138" s="4"/>
      <c r="T138" s="4"/>
      <c r="U138" s="4"/>
      <c r="V138" s="4"/>
      <c r="W138" s="4"/>
      <c r="X138" s="4"/>
      <c r="Y138" s="4"/>
      <c r="Z138" s="4"/>
    </row>
    <row r="139" customFormat="false" ht="19.5" hidden="false" customHeight="true" outlineLevel="0" collapsed="false">
      <c r="A139" s="114" t="s">
        <v>836</v>
      </c>
      <c r="B139" s="114"/>
      <c r="C139" s="114"/>
      <c r="D139" s="114"/>
      <c r="E139" s="114"/>
      <c r="F139" s="114"/>
      <c r="G139" s="114"/>
      <c r="H139" s="114"/>
      <c r="I139" s="114"/>
      <c r="J139" s="4"/>
      <c r="K139" s="4"/>
      <c r="L139" s="4"/>
      <c r="M139" s="4"/>
      <c r="N139" s="4"/>
      <c r="O139" s="4"/>
      <c r="P139" s="4"/>
      <c r="Q139" s="4"/>
      <c r="R139" s="4"/>
      <c r="S139" s="4"/>
      <c r="T139" s="4"/>
      <c r="U139" s="4"/>
      <c r="V139" s="4"/>
      <c r="W139" s="4"/>
      <c r="X139" s="4"/>
      <c r="Y139" s="4"/>
      <c r="Z139" s="4"/>
    </row>
    <row r="140" customFormat="false" ht="51" hidden="false" customHeight="true" outlineLevel="0" collapsed="false">
      <c r="A140" s="115" t="s">
        <v>825</v>
      </c>
      <c r="B140" s="116" t="s">
        <v>837</v>
      </c>
      <c r="C140" s="116" t="s">
        <v>838</v>
      </c>
      <c r="D140" s="115" t="s">
        <v>220</v>
      </c>
      <c r="E140" s="116" t="s">
        <v>220</v>
      </c>
      <c r="F140" s="116" t="s">
        <v>220</v>
      </c>
      <c r="G140" s="118" t="s">
        <v>220</v>
      </c>
      <c r="H140" s="118" t="s">
        <v>220</v>
      </c>
      <c r="I140" s="117" t="str">
        <f aca="false">HYPERLINK("#'DL02b. Lịch sử liên hệ'!B4","Mở ô")</f>
        <v>Mở ô</v>
      </c>
      <c r="J140" s="4"/>
      <c r="K140" s="4"/>
      <c r="L140" s="4"/>
      <c r="M140" s="4"/>
      <c r="N140" s="4"/>
      <c r="O140" s="4"/>
      <c r="P140" s="4"/>
      <c r="Q140" s="4"/>
      <c r="R140" s="4"/>
      <c r="S140" s="4"/>
      <c r="T140" s="4"/>
      <c r="U140" s="4"/>
      <c r="V140" s="4"/>
      <c r="W140" s="4"/>
      <c r="X140" s="4"/>
      <c r="Y140" s="4"/>
      <c r="Z140" s="4"/>
    </row>
    <row r="141" customFormat="false" ht="51" hidden="false" customHeight="true" outlineLevel="0" collapsed="false">
      <c r="A141" s="115" t="s">
        <v>825</v>
      </c>
      <c r="B141" s="116" t="s">
        <v>839</v>
      </c>
      <c r="C141" s="116" t="s">
        <v>840</v>
      </c>
      <c r="D141" s="115" t="s">
        <v>220</v>
      </c>
      <c r="E141" s="116" t="s">
        <v>220</v>
      </c>
      <c r="F141" s="116" t="s">
        <v>220</v>
      </c>
      <c r="G141" s="118" t="s">
        <v>220</v>
      </c>
      <c r="H141" s="118" t="s">
        <v>220</v>
      </c>
      <c r="I141" s="117" t="str">
        <f aca="false">HYPERLINK("#'DL02b. Lịch sử liên hệ'!C4","Mở ô")</f>
        <v>Mở ô</v>
      </c>
      <c r="J141" s="4"/>
      <c r="K141" s="4"/>
      <c r="L141" s="4"/>
      <c r="M141" s="4"/>
      <c r="N141" s="4"/>
      <c r="O141" s="4"/>
      <c r="P141" s="4"/>
      <c r="Q141" s="4"/>
      <c r="R141" s="4"/>
      <c r="S141" s="4"/>
      <c r="T141" s="4"/>
      <c r="U141" s="4"/>
      <c r="V141" s="4"/>
      <c r="W141" s="4"/>
      <c r="X141" s="4"/>
      <c r="Y141" s="4"/>
      <c r="Z141" s="4"/>
    </row>
    <row r="142" customFormat="false" ht="51" hidden="false" customHeight="true" outlineLevel="0" collapsed="false">
      <c r="A142" s="115" t="s">
        <v>825</v>
      </c>
      <c r="B142" s="116" t="s">
        <v>841</v>
      </c>
      <c r="C142" s="116" t="s">
        <v>827</v>
      </c>
      <c r="D142" s="115" t="s">
        <v>220</v>
      </c>
      <c r="E142" s="116" t="s">
        <v>220</v>
      </c>
      <c r="F142" s="116" t="s">
        <v>220</v>
      </c>
      <c r="G142" s="118" t="s">
        <v>220</v>
      </c>
      <c r="H142" s="118" t="s">
        <v>220</v>
      </c>
      <c r="I142" s="117" t="str">
        <f aca="false">HYPERLINK("#'DL02b. Lịch sử liên hệ'!H4","Mở ô")</f>
        <v>Mở ô</v>
      </c>
      <c r="J142" s="4"/>
      <c r="K142" s="4"/>
      <c r="L142" s="4"/>
      <c r="M142" s="4"/>
      <c r="N142" s="4"/>
      <c r="O142" s="4"/>
      <c r="P142" s="4"/>
      <c r="Q142" s="4"/>
      <c r="R142" s="4"/>
      <c r="S142" s="4"/>
      <c r="T142" s="4"/>
      <c r="U142" s="4"/>
      <c r="V142" s="4"/>
      <c r="W142" s="4"/>
      <c r="X142" s="4"/>
      <c r="Y142" s="4"/>
      <c r="Z142" s="4"/>
    </row>
    <row r="143" customFormat="false" ht="51" hidden="false" customHeight="true" outlineLevel="0" collapsed="false">
      <c r="A143" s="115" t="s">
        <v>825</v>
      </c>
      <c r="B143" s="116" t="s">
        <v>842</v>
      </c>
      <c r="C143" s="116" t="s">
        <v>835</v>
      </c>
      <c r="D143" s="115" t="s">
        <v>220</v>
      </c>
      <c r="E143" s="116" t="s">
        <v>220</v>
      </c>
      <c r="F143" s="116" t="s">
        <v>220</v>
      </c>
      <c r="G143" s="118" t="s">
        <v>220</v>
      </c>
      <c r="H143" s="118" t="s">
        <v>220</v>
      </c>
      <c r="I143" s="117" t="str">
        <f aca="false">HYPERLINK("#'DL02b. Lịch sử liên hệ'!J4","Mở ô")</f>
        <v>Mở ô</v>
      </c>
      <c r="J143" s="4"/>
      <c r="K143" s="4"/>
      <c r="L143" s="4"/>
      <c r="M143" s="4"/>
      <c r="N143" s="4"/>
      <c r="O143" s="4"/>
      <c r="P143" s="4"/>
      <c r="Q143" s="4"/>
      <c r="R143" s="4"/>
      <c r="S143" s="4"/>
      <c r="T143" s="4"/>
      <c r="U143" s="4"/>
      <c r="V143" s="4"/>
      <c r="W143" s="4"/>
      <c r="X143" s="4"/>
      <c r="Y143" s="4"/>
      <c r="Z143" s="4"/>
    </row>
    <row r="144" customFormat="false" ht="19.5" hidden="false" customHeight="true" outlineLevel="0" collapsed="false">
      <c r="A144" s="114" t="s">
        <v>505</v>
      </c>
      <c r="B144" s="114"/>
      <c r="C144" s="114"/>
      <c r="D144" s="114"/>
      <c r="E144" s="114"/>
      <c r="F144" s="114"/>
      <c r="G144" s="114"/>
      <c r="H144" s="114"/>
      <c r="I144" s="114"/>
      <c r="J144" s="4"/>
      <c r="K144" s="4"/>
      <c r="L144" s="4"/>
      <c r="M144" s="4"/>
      <c r="N144" s="4"/>
      <c r="O144" s="4"/>
      <c r="P144" s="4"/>
      <c r="Q144" s="4"/>
      <c r="R144" s="4"/>
      <c r="S144" s="4"/>
      <c r="T144" s="4"/>
      <c r="U144" s="4"/>
      <c r="V144" s="4"/>
      <c r="W144" s="4"/>
      <c r="X144" s="4"/>
      <c r="Y144" s="4"/>
      <c r="Z144" s="4"/>
    </row>
    <row r="145" customFormat="false" ht="51" hidden="false" customHeight="true" outlineLevel="0" collapsed="false">
      <c r="A145" s="115" t="s">
        <v>825</v>
      </c>
      <c r="B145" s="116" t="s">
        <v>837</v>
      </c>
      <c r="C145" s="116" t="s">
        <v>838</v>
      </c>
      <c r="D145" s="115" t="s">
        <v>220</v>
      </c>
      <c r="E145" s="116" t="s">
        <v>220</v>
      </c>
      <c r="F145" s="116" t="s">
        <v>220</v>
      </c>
      <c r="G145" s="118" t="s">
        <v>220</v>
      </c>
      <c r="H145" s="118" t="s">
        <v>220</v>
      </c>
      <c r="I145" s="117" t="str">
        <f aca="false">HYPERLINK("#'DL03. Đặt lịch test'!B4","Mở ô")</f>
        <v>Mở ô</v>
      </c>
      <c r="J145" s="4"/>
      <c r="K145" s="4"/>
      <c r="L145" s="4"/>
      <c r="M145" s="4"/>
      <c r="N145" s="4"/>
      <c r="O145" s="4"/>
      <c r="P145" s="4"/>
      <c r="Q145" s="4"/>
      <c r="R145" s="4"/>
      <c r="S145" s="4"/>
      <c r="T145" s="4"/>
      <c r="U145" s="4"/>
      <c r="V145" s="4"/>
      <c r="W145" s="4"/>
      <c r="X145" s="4"/>
      <c r="Y145" s="4"/>
      <c r="Z145" s="4"/>
    </row>
    <row r="146" customFormat="false" ht="51" hidden="false" customHeight="true" outlineLevel="0" collapsed="false">
      <c r="A146" s="115" t="s">
        <v>825</v>
      </c>
      <c r="B146" s="116" t="s">
        <v>843</v>
      </c>
      <c r="C146" s="116" t="s">
        <v>844</v>
      </c>
      <c r="D146" s="115" t="s">
        <v>220</v>
      </c>
      <c r="E146" s="116" t="s">
        <v>220</v>
      </c>
      <c r="F146" s="116" t="s">
        <v>220</v>
      </c>
      <c r="G146" s="118" t="s">
        <v>220</v>
      </c>
      <c r="H146" s="118" t="s">
        <v>220</v>
      </c>
      <c r="I146" s="117" t="str">
        <f aca="false">HYPERLINK("#'DL03. Đặt lịch test'!K4","Mở ô")</f>
        <v>Mở ô</v>
      </c>
      <c r="J146" s="4"/>
      <c r="K146" s="4"/>
      <c r="L146" s="4"/>
      <c r="M146" s="4"/>
      <c r="N146" s="4"/>
      <c r="O146" s="4"/>
      <c r="P146" s="4"/>
      <c r="Q146" s="4"/>
      <c r="R146" s="4"/>
      <c r="S146" s="4"/>
      <c r="T146" s="4"/>
      <c r="U146" s="4"/>
      <c r="V146" s="4"/>
      <c r="W146" s="4"/>
      <c r="X146" s="4"/>
      <c r="Y146" s="4"/>
      <c r="Z146" s="4"/>
    </row>
    <row r="147" customFormat="false" ht="51" hidden="false" customHeight="true" outlineLevel="0" collapsed="false">
      <c r="A147" s="115" t="s">
        <v>825</v>
      </c>
      <c r="B147" s="116" t="s">
        <v>845</v>
      </c>
      <c r="C147" s="116" t="s">
        <v>840</v>
      </c>
      <c r="D147" s="115" t="s">
        <v>220</v>
      </c>
      <c r="E147" s="116" t="s">
        <v>220</v>
      </c>
      <c r="F147" s="116" t="s">
        <v>220</v>
      </c>
      <c r="G147" s="118" t="s">
        <v>220</v>
      </c>
      <c r="H147" s="118" t="s">
        <v>220</v>
      </c>
      <c r="I147" s="117" t="str">
        <f aca="false">HYPERLINK("#'DL03. Đặt lịch test'!V4","Mở ô")</f>
        <v>Mở ô</v>
      </c>
      <c r="J147" s="4"/>
      <c r="K147" s="4"/>
      <c r="L147" s="4"/>
      <c r="M147" s="4"/>
      <c r="N147" s="4"/>
      <c r="O147" s="4"/>
      <c r="P147" s="4"/>
      <c r="Q147" s="4"/>
      <c r="R147" s="4"/>
      <c r="S147" s="4"/>
      <c r="T147" s="4"/>
      <c r="U147" s="4"/>
      <c r="V147" s="4"/>
      <c r="W147" s="4"/>
      <c r="X147" s="4"/>
      <c r="Y147" s="4"/>
      <c r="Z147" s="4"/>
    </row>
    <row r="148" customFormat="false" ht="19.5" hidden="false" customHeight="true" outlineLevel="0" collapsed="false">
      <c r="A148" s="114" t="s">
        <v>527</v>
      </c>
      <c r="B148" s="114"/>
      <c r="C148" s="114"/>
      <c r="D148" s="114"/>
      <c r="E148" s="114"/>
      <c r="F148" s="114"/>
      <c r="G148" s="114"/>
      <c r="H148" s="114"/>
      <c r="I148" s="114"/>
      <c r="J148" s="4"/>
      <c r="K148" s="4"/>
      <c r="L148" s="4"/>
      <c r="M148" s="4"/>
      <c r="N148" s="4"/>
      <c r="O148" s="4"/>
      <c r="P148" s="4"/>
      <c r="Q148" s="4"/>
      <c r="R148" s="4"/>
      <c r="S148" s="4"/>
      <c r="T148" s="4"/>
      <c r="U148" s="4"/>
      <c r="V148" s="4"/>
      <c r="W148" s="4"/>
      <c r="X148" s="4"/>
      <c r="Y148" s="4"/>
      <c r="Z148" s="4"/>
    </row>
    <row r="149" customFormat="false" ht="51" hidden="false" customHeight="true" outlineLevel="0" collapsed="false">
      <c r="A149" s="115" t="s">
        <v>825</v>
      </c>
      <c r="B149" s="116" t="s">
        <v>837</v>
      </c>
      <c r="C149" s="116" t="s">
        <v>838</v>
      </c>
      <c r="D149" s="115" t="s">
        <v>220</v>
      </c>
      <c r="E149" s="116" t="s">
        <v>220</v>
      </c>
      <c r="F149" s="116" t="s">
        <v>220</v>
      </c>
      <c r="G149" s="118" t="s">
        <v>220</v>
      </c>
      <c r="H149" s="118" t="s">
        <v>220</v>
      </c>
      <c r="I149" s="117" t="str">
        <f aca="false">HYPERLINK("#'DL04. Tư vấn'!B4","Mở ô")</f>
        <v>Mở ô</v>
      </c>
      <c r="J149" s="4"/>
      <c r="K149" s="4"/>
      <c r="L149" s="4"/>
      <c r="M149" s="4"/>
      <c r="N149" s="4"/>
      <c r="O149" s="4"/>
      <c r="P149" s="4"/>
      <c r="Q149" s="4"/>
      <c r="R149" s="4"/>
      <c r="S149" s="4"/>
      <c r="T149" s="4"/>
      <c r="U149" s="4"/>
      <c r="V149" s="4"/>
      <c r="W149" s="4"/>
      <c r="X149" s="4"/>
      <c r="Y149" s="4"/>
      <c r="Z149" s="4"/>
    </row>
    <row r="150" customFormat="false" ht="51" hidden="false" customHeight="true" outlineLevel="0" collapsed="false">
      <c r="A150" s="115" t="s">
        <v>825</v>
      </c>
      <c r="B150" s="116" t="s">
        <v>846</v>
      </c>
      <c r="C150" s="116" t="s">
        <v>847</v>
      </c>
      <c r="D150" s="115" t="s">
        <v>220</v>
      </c>
      <c r="E150" s="116" t="s">
        <v>220</v>
      </c>
      <c r="F150" s="116" t="s">
        <v>220</v>
      </c>
      <c r="G150" s="118" t="s">
        <v>220</v>
      </c>
      <c r="H150" s="118" t="s">
        <v>220</v>
      </c>
      <c r="I150" s="117" t="str">
        <f aca="false">HYPERLINK("#'DL04. Tư vấn'!C4","Mở ô")</f>
        <v>Mở ô</v>
      </c>
      <c r="J150" s="4"/>
      <c r="K150" s="4"/>
      <c r="L150" s="4"/>
      <c r="M150" s="4"/>
      <c r="N150" s="4"/>
      <c r="O150" s="4"/>
      <c r="P150" s="4"/>
      <c r="Q150" s="4"/>
      <c r="R150" s="4"/>
      <c r="S150" s="4"/>
      <c r="T150" s="4"/>
      <c r="U150" s="4"/>
      <c r="V150" s="4"/>
      <c r="W150" s="4"/>
      <c r="X150" s="4"/>
      <c r="Y150" s="4"/>
      <c r="Z150" s="4"/>
    </row>
    <row r="151" customFormat="false" ht="51" hidden="false" customHeight="true" outlineLevel="0" collapsed="false">
      <c r="A151" s="115" t="s">
        <v>825</v>
      </c>
      <c r="B151" s="116" t="s">
        <v>848</v>
      </c>
      <c r="C151" s="116" t="s">
        <v>827</v>
      </c>
      <c r="D151" s="115" t="s">
        <v>220</v>
      </c>
      <c r="E151" s="116" t="s">
        <v>220</v>
      </c>
      <c r="F151" s="116" t="s">
        <v>220</v>
      </c>
      <c r="G151" s="118" t="s">
        <v>220</v>
      </c>
      <c r="H151" s="118" t="s">
        <v>220</v>
      </c>
      <c r="I151" s="117" t="str">
        <f aca="false">HYPERLINK("#'DL04. Tư vấn'!D4","Mở ô")</f>
        <v>Mở ô</v>
      </c>
      <c r="J151" s="4"/>
      <c r="K151" s="4"/>
      <c r="L151" s="4"/>
      <c r="M151" s="4"/>
      <c r="N151" s="4"/>
      <c r="O151" s="4"/>
      <c r="P151" s="4"/>
      <c r="Q151" s="4"/>
      <c r="R151" s="4"/>
      <c r="S151" s="4"/>
      <c r="T151" s="4"/>
      <c r="U151" s="4"/>
      <c r="V151" s="4"/>
      <c r="W151" s="4"/>
      <c r="X151" s="4"/>
      <c r="Y151" s="4"/>
      <c r="Z151" s="4"/>
    </row>
    <row r="152" customFormat="false" ht="51" hidden="false" customHeight="true" outlineLevel="0" collapsed="false">
      <c r="A152" s="115" t="s">
        <v>825</v>
      </c>
      <c r="B152" s="116" t="s">
        <v>849</v>
      </c>
      <c r="C152" s="116" t="s">
        <v>840</v>
      </c>
      <c r="D152" s="115" t="s">
        <v>220</v>
      </c>
      <c r="E152" s="116" t="s">
        <v>220</v>
      </c>
      <c r="F152" s="116" t="s">
        <v>220</v>
      </c>
      <c r="G152" s="118" t="s">
        <v>220</v>
      </c>
      <c r="H152" s="118" t="s">
        <v>220</v>
      </c>
      <c r="I152" s="117" t="str">
        <f aca="false">HYPERLINK("#'DL04. Tư vấn'!O4","Mở ô")</f>
        <v>Mở ô</v>
      </c>
      <c r="J152" s="4"/>
      <c r="K152" s="4"/>
      <c r="L152" s="4"/>
      <c r="M152" s="4"/>
      <c r="N152" s="4"/>
      <c r="O152" s="4"/>
      <c r="P152" s="4"/>
      <c r="Q152" s="4"/>
      <c r="R152" s="4"/>
      <c r="S152" s="4"/>
      <c r="T152" s="4"/>
      <c r="U152" s="4"/>
      <c r="V152" s="4"/>
      <c r="W152" s="4"/>
      <c r="X152" s="4"/>
      <c r="Y152" s="4"/>
      <c r="Z152" s="4"/>
    </row>
    <row r="153" customFormat="false" ht="19.5" hidden="false" customHeight="true" outlineLevel="0" collapsed="false">
      <c r="A153" s="114" t="s">
        <v>540</v>
      </c>
      <c r="B153" s="114"/>
      <c r="C153" s="114"/>
      <c r="D153" s="114"/>
      <c r="E153" s="114"/>
      <c r="F153" s="114"/>
      <c r="G153" s="114"/>
      <c r="H153" s="114"/>
      <c r="I153" s="114"/>
      <c r="J153" s="4"/>
      <c r="K153" s="4"/>
      <c r="L153" s="4"/>
      <c r="M153" s="4"/>
      <c r="N153" s="4"/>
      <c r="O153" s="4"/>
      <c r="P153" s="4"/>
      <c r="Q153" s="4"/>
      <c r="R153" s="4"/>
      <c r="S153" s="4"/>
      <c r="T153" s="4"/>
      <c r="U153" s="4"/>
      <c r="V153" s="4"/>
      <c r="W153" s="4"/>
      <c r="X153" s="4"/>
      <c r="Y153" s="4"/>
      <c r="Z153" s="4"/>
    </row>
    <row r="154" customFormat="false" ht="51" hidden="false" customHeight="true" outlineLevel="0" collapsed="false">
      <c r="A154" s="115" t="s">
        <v>825</v>
      </c>
      <c r="B154" s="116" t="s">
        <v>850</v>
      </c>
      <c r="C154" s="116" t="s">
        <v>851</v>
      </c>
      <c r="D154" s="115" t="s">
        <v>220</v>
      </c>
      <c r="E154" s="116" t="s">
        <v>220</v>
      </c>
      <c r="F154" s="116" t="s">
        <v>220</v>
      </c>
      <c r="G154" s="118" t="s">
        <v>220</v>
      </c>
      <c r="H154" s="118" t="s">
        <v>220</v>
      </c>
      <c r="I154" s="117" t="str">
        <f aca="false">HYPERLINK("#'DL06. Đăng ký'!B4","Mở ô")</f>
        <v>Mở ô</v>
      </c>
      <c r="J154" s="4"/>
      <c r="K154" s="4"/>
      <c r="L154" s="4"/>
      <c r="M154" s="4"/>
      <c r="N154" s="4"/>
      <c r="O154" s="4"/>
      <c r="P154" s="4"/>
      <c r="Q154" s="4"/>
      <c r="R154" s="4"/>
      <c r="S154" s="4"/>
      <c r="T154" s="4"/>
      <c r="U154" s="4"/>
      <c r="V154" s="4"/>
      <c r="W154" s="4"/>
      <c r="X154" s="4"/>
      <c r="Y154" s="4"/>
      <c r="Z154" s="4"/>
    </row>
    <row r="155" customFormat="false" ht="51" hidden="false" customHeight="true" outlineLevel="0" collapsed="false">
      <c r="A155" s="115" t="s">
        <v>825</v>
      </c>
      <c r="B155" s="116" t="s">
        <v>837</v>
      </c>
      <c r="C155" s="116" t="s">
        <v>838</v>
      </c>
      <c r="D155" s="115" t="s">
        <v>220</v>
      </c>
      <c r="E155" s="116" t="s">
        <v>220</v>
      </c>
      <c r="F155" s="116" t="s">
        <v>220</v>
      </c>
      <c r="G155" s="118" t="s">
        <v>220</v>
      </c>
      <c r="H155" s="118" t="s">
        <v>220</v>
      </c>
      <c r="I155" s="117" t="str">
        <f aca="false">HYPERLINK("#'DL06. Đăng ký'!C4","Mở ô")</f>
        <v>Mở ô</v>
      </c>
      <c r="J155" s="4"/>
      <c r="K155" s="4"/>
      <c r="L155" s="4"/>
      <c r="M155" s="4"/>
      <c r="N155" s="4"/>
      <c r="O155" s="4"/>
      <c r="P155" s="4"/>
      <c r="Q155" s="4"/>
      <c r="R155" s="4"/>
      <c r="S155" s="4"/>
      <c r="T155" s="4"/>
      <c r="U155" s="4"/>
      <c r="V155" s="4"/>
      <c r="W155" s="4"/>
      <c r="X155" s="4"/>
      <c r="Y155" s="4"/>
      <c r="Z155" s="4"/>
    </row>
    <row r="156" customFormat="false" ht="51" hidden="false" customHeight="true" outlineLevel="0" collapsed="false">
      <c r="A156" s="115" t="s">
        <v>825</v>
      </c>
      <c r="B156" s="116" t="s">
        <v>852</v>
      </c>
      <c r="C156" s="116" t="s">
        <v>853</v>
      </c>
      <c r="D156" s="115" t="s">
        <v>220</v>
      </c>
      <c r="E156" s="116" t="s">
        <v>220</v>
      </c>
      <c r="F156" s="116" t="s">
        <v>220</v>
      </c>
      <c r="G156" s="118" t="s">
        <v>220</v>
      </c>
      <c r="H156" s="118" t="s">
        <v>220</v>
      </c>
      <c r="I156" s="117" t="str">
        <f aca="false">HYPERLINK("#'DL06. Đăng ký'!D4","Mở ô")</f>
        <v>Mở ô</v>
      </c>
      <c r="J156" s="4"/>
      <c r="K156" s="4"/>
      <c r="L156" s="4"/>
      <c r="M156" s="4"/>
      <c r="N156" s="4"/>
      <c r="O156" s="4"/>
      <c r="P156" s="4"/>
      <c r="Q156" s="4"/>
      <c r="R156" s="4"/>
      <c r="S156" s="4"/>
      <c r="T156" s="4"/>
      <c r="U156" s="4"/>
      <c r="V156" s="4"/>
      <c r="W156" s="4"/>
      <c r="X156" s="4"/>
      <c r="Y156" s="4"/>
      <c r="Z156" s="4"/>
    </row>
    <row r="157" customFormat="false" ht="51" hidden="false" customHeight="true" outlineLevel="0" collapsed="false">
      <c r="A157" s="115" t="s">
        <v>825</v>
      </c>
      <c r="B157" s="116" t="s">
        <v>854</v>
      </c>
      <c r="C157" s="116" t="s">
        <v>855</v>
      </c>
      <c r="D157" s="115" t="s">
        <v>220</v>
      </c>
      <c r="E157" s="116" t="s">
        <v>220</v>
      </c>
      <c r="F157" s="116" t="s">
        <v>220</v>
      </c>
      <c r="G157" s="118" t="s">
        <v>220</v>
      </c>
      <c r="H157" s="118" t="s">
        <v>220</v>
      </c>
      <c r="I157" s="117" t="str">
        <f aca="false">HYPERLINK("#'DL06. Đăng ký'!E4","Mở ô")</f>
        <v>Mở ô</v>
      </c>
      <c r="J157" s="4"/>
      <c r="K157" s="4"/>
      <c r="L157" s="4"/>
      <c r="M157" s="4"/>
      <c r="N157" s="4"/>
      <c r="O157" s="4"/>
      <c r="P157" s="4"/>
      <c r="Q157" s="4"/>
      <c r="R157" s="4"/>
      <c r="S157" s="4"/>
      <c r="T157" s="4"/>
      <c r="U157" s="4"/>
      <c r="V157" s="4"/>
      <c r="W157" s="4"/>
      <c r="X157" s="4"/>
      <c r="Y157" s="4"/>
      <c r="Z157" s="4"/>
    </row>
    <row r="158" customFormat="false" ht="51" hidden="false" customHeight="true" outlineLevel="0" collapsed="false">
      <c r="A158" s="115" t="s">
        <v>825</v>
      </c>
      <c r="B158" s="116" t="s">
        <v>856</v>
      </c>
      <c r="C158" s="116" t="s">
        <v>857</v>
      </c>
      <c r="D158" s="115" t="s">
        <v>220</v>
      </c>
      <c r="E158" s="116" t="s">
        <v>220</v>
      </c>
      <c r="F158" s="116" t="s">
        <v>220</v>
      </c>
      <c r="G158" s="118" t="s">
        <v>220</v>
      </c>
      <c r="H158" s="118" t="s">
        <v>220</v>
      </c>
      <c r="I158" s="117" t="str">
        <f aca="false">HYPERLINK("#'DL06. Đăng ký'!M4","Mở ô")</f>
        <v>Mở ô</v>
      </c>
      <c r="J158" s="4"/>
      <c r="K158" s="4"/>
      <c r="L158" s="4"/>
      <c r="M158" s="4"/>
      <c r="N158" s="4"/>
      <c r="O158" s="4"/>
      <c r="P158" s="4"/>
      <c r="Q158" s="4"/>
      <c r="R158" s="4"/>
      <c r="S158" s="4"/>
      <c r="T158" s="4"/>
      <c r="U158" s="4"/>
      <c r="V158" s="4"/>
      <c r="W158" s="4"/>
      <c r="X158" s="4"/>
      <c r="Y158" s="4"/>
      <c r="Z158" s="4"/>
    </row>
    <row r="159" customFormat="false" ht="51" hidden="false" customHeight="true" outlineLevel="0" collapsed="false">
      <c r="A159" s="115" t="s">
        <v>825</v>
      </c>
      <c r="B159" s="116" t="s">
        <v>858</v>
      </c>
      <c r="C159" s="116" t="s">
        <v>859</v>
      </c>
      <c r="D159" s="115" t="s">
        <v>220</v>
      </c>
      <c r="E159" s="116" t="s">
        <v>220</v>
      </c>
      <c r="F159" s="116" t="s">
        <v>220</v>
      </c>
      <c r="G159" s="118" t="s">
        <v>220</v>
      </c>
      <c r="H159" s="118" t="s">
        <v>220</v>
      </c>
      <c r="I159" s="117" t="str">
        <f aca="false">HYPERLINK("#'DL06. Đăng ký'!N4","Mở ô")</f>
        <v>Mở ô</v>
      </c>
      <c r="J159" s="4"/>
      <c r="K159" s="4"/>
      <c r="L159" s="4"/>
      <c r="M159" s="4"/>
      <c r="N159" s="4"/>
      <c r="O159" s="4"/>
      <c r="P159" s="4"/>
      <c r="Q159" s="4"/>
      <c r="R159" s="4"/>
      <c r="S159" s="4"/>
      <c r="T159" s="4"/>
      <c r="U159" s="4"/>
      <c r="V159" s="4"/>
      <c r="W159" s="4"/>
      <c r="X159" s="4"/>
      <c r="Y159" s="4"/>
      <c r="Z159" s="4"/>
    </row>
    <row r="160" customFormat="false" ht="51" hidden="false" customHeight="true" outlineLevel="0" collapsed="false">
      <c r="A160" s="115" t="s">
        <v>825</v>
      </c>
      <c r="B160" s="116" t="s">
        <v>860</v>
      </c>
      <c r="C160" s="116" t="s">
        <v>857</v>
      </c>
      <c r="D160" s="115" t="s">
        <v>220</v>
      </c>
      <c r="E160" s="116" t="s">
        <v>220</v>
      </c>
      <c r="F160" s="116" t="s">
        <v>220</v>
      </c>
      <c r="G160" s="118" t="s">
        <v>220</v>
      </c>
      <c r="H160" s="118" t="s">
        <v>220</v>
      </c>
      <c r="I160" s="117" t="str">
        <f aca="false">HYPERLINK("#'DL06. Đăng ký'!O4","Mở ô")</f>
        <v>Mở ô</v>
      </c>
      <c r="J160" s="4"/>
      <c r="K160" s="4"/>
      <c r="L160" s="4"/>
      <c r="M160" s="4"/>
      <c r="N160" s="4"/>
      <c r="O160" s="4"/>
      <c r="P160" s="4"/>
      <c r="Q160" s="4"/>
      <c r="R160" s="4"/>
      <c r="S160" s="4"/>
      <c r="T160" s="4"/>
      <c r="U160" s="4"/>
      <c r="V160" s="4"/>
      <c r="W160" s="4"/>
      <c r="X160" s="4"/>
      <c r="Y160" s="4"/>
      <c r="Z160" s="4"/>
    </row>
    <row r="161" customFormat="false" ht="51" hidden="false" customHeight="true" outlineLevel="0" collapsed="false">
      <c r="A161" s="115" t="s">
        <v>825</v>
      </c>
      <c r="B161" s="116" t="s">
        <v>861</v>
      </c>
      <c r="C161" s="116" t="s">
        <v>857</v>
      </c>
      <c r="D161" s="115" t="s">
        <v>220</v>
      </c>
      <c r="E161" s="116" t="s">
        <v>220</v>
      </c>
      <c r="F161" s="116" t="s">
        <v>220</v>
      </c>
      <c r="G161" s="118" t="s">
        <v>220</v>
      </c>
      <c r="H161" s="118" t="s">
        <v>220</v>
      </c>
      <c r="I161" s="117" t="str">
        <f aca="false">HYPERLINK("#'DL06. Đăng ký'!P4","Mở ô")</f>
        <v>Mở ô</v>
      </c>
      <c r="J161" s="4"/>
      <c r="K161" s="4"/>
      <c r="L161" s="4"/>
      <c r="M161" s="4"/>
      <c r="N161" s="4"/>
      <c r="O161" s="4"/>
      <c r="P161" s="4"/>
      <c r="Q161" s="4"/>
      <c r="R161" s="4"/>
      <c r="S161" s="4"/>
      <c r="T161" s="4"/>
      <c r="U161" s="4"/>
      <c r="V161" s="4"/>
      <c r="W161" s="4"/>
      <c r="X161" s="4"/>
      <c r="Y161" s="4"/>
      <c r="Z161" s="4"/>
    </row>
    <row r="162" customFormat="false" ht="51" hidden="false" customHeight="true" outlineLevel="0" collapsed="false">
      <c r="A162" s="115" t="s">
        <v>825</v>
      </c>
      <c r="B162" s="116" t="s">
        <v>862</v>
      </c>
      <c r="C162" s="116" t="s">
        <v>863</v>
      </c>
      <c r="D162" s="115" t="s">
        <v>220</v>
      </c>
      <c r="E162" s="116" t="s">
        <v>220</v>
      </c>
      <c r="F162" s="116" t="s">
        <v>220</v>
      </c>
      <c r="G162" s="118" t="s">
        <v>220</v>
      </c>
      <c r="H162" s="118" t="s">
        <v>220</v>
      </c>
      <c r="I162" s="117" t="str">
        <f aca="false">HYPERLINK("#'DL06. Đăng ký'!V4","Mở ô")</f>
        <v>Mở ô</v>
      </c>
      <c r="J162" s="4"/>
      <c r="K162" s="4"/>
      <c r="L162" s="4"/>
      <c r="M162" s="4"/>
      <c r="N162" s="4"/>
      <c r="O162" s="4"/>
      <c r="P162" s="4"/>
      <c r="Q162" s="4"/>
      <c r="R162" s="4"/>
      <c r="S162" s="4"/>
      <c r="T162" s="4"/>
      <c r="U162" s="4"/>
      <c r="V162" s="4"/>
      <c r="W162" s="4"/>
      <c r="X162" s="4"/>
      <c r="Y162" s="4"/>
      <c r="Z162" s="4"/>
    </row>
    <row r="163" customFormat="false" ht="51" hidden="false" customHeight="true" outlineLevel="0" collapsed="false">
      <c r="A163" s="115" t="s">
        <v>825</v>
      </c>
      <c r="B163" s="116" t="s">
        <v>845</v>
      </c>
      <c r="C163" s="116" t="s">
        <v>840</v>
      </c>
      <c r="D163" s="115" t="s">
        <v>220</v>
      </c>
      <c r="E163" s="116" t="s">
        <v>220</v>
      </c>
      <c r="F163" s="116" t="s">
        <v>220</v>
      </c>
      <c r="G163" s="118" t="s">
        <v>220</v>
      </c>
      <c r="H163" s="118" t="s">
        <v>220</v>
      </c>
      <c r="I163" s="117" t="str">
        <f aca="false">HYPERLINK("#'DL06. Đăng ký'!W4","Mở ô")</f>
        <v>Mở ô</v>
      </c>
      <c r="J163" s="4"/>
      <c r="K163" s="4"/>
      <c r="L163" s="4"/>
      <c r="M163" s="4"/>
      <c r="N163" s="4"/>
      <c r="O163" s="4"/>
      <c r="P163" s="4"/>
      <c r="Q163" s="4"/>
      <c r="R163" s="4"/>
      <c r="S163" s="4"/>
      <c r="T163" s="4"/>
      <c r="U163" s="4"/>
      <c r="V163" s="4"/>
      <c r="W163" s="4"/>
      <c r="X163" s="4"/>
      <c r="Y163" s="4"/>
      <c r="Z163" s="4"/>
    </row>
    <row r="164" customFormat="false" ht="51" hidden="false" customHeight="true" outlineLevel="0" collapsed="false">
      <c r="A164" s="115" t="s">
        <v>825</v>
      </c>
      <c r="B164" s="116" t="s">
        <v>864</v>
      </c>
      <c r="C164" s="116" t="s">
        <v>865</v>
      </c>
      <c r="D164" s="115" t="s">
        <v>220</v>
      </c>
      <c r="E164" s="116" t="s">
        <v>220</v>
      </c>
      <c r="F164" s="116" t="s">
        <v>220</v>
      </c>
      <c r="G164" s="118" t="s">
        <v>220</v>
      </c>
      <c r="H164" s="118" t="s">
        <v>220</v>
      </c>
      <c r="I164" s="117" t="str">
        <f aca="false">HYPERLINK("#'DL06. Đăng ký'!X4","Mở ô")</f>
        <v>Mở ô</v>
      </c>
      <c r="J164" s="4"/>
      <c r="K164" s="4"/>
      <c r="L164" s="4"/>
      <c r="M164" s="4"/>
      <c r="N164" s="4"/>
      <c r="O164" s="4"/>
      <c r="P164" s="4"/>
      <c r="Q164" s="4"/>
      <c r="R164" s="4"/>
      <c r="S164" s="4"/>
      <c r="T164" s="4"/>
      <c r="U164" s="4"/>
      <c r="V164" s="4"/>
      <c r="W164" s="4"/>
      <c r="X164" s="4"/>
      <c r="Y164" s="4"/>
      <c r="Z164" s="4"/>
    </row>
    <row r="165" customFormat="false" ht="19.5" hidden="false" customHeight="true" outlineLevel="0" collapsed="false">
      <c r="A165" s="114" t="s">
        <v>866</v>
      </c>
      <c r="B165" s="114"/>
      <c r="C165" s="114"/>
      <c r="D165" s="114"/>
      <c r="E165" s="114"/>
      <c r="F165" s="114"/>
      <c r="G165" s="114"/>
      <c r="H165" s="114"/>
      <c r="I165" s="114"/>
      <c r="J165" s="4"/>
      <c r="K165" s="4"/>
      <c r="L165" s="4"/>
      <c r="M165" s="4"/>
      <c r="N165" s="4"/>
      <c r="O165" s="4"/>
      <c r="P165" s="4"/>
      <c r="Q165" s="4"/>
      <c r="R165" s="4"/>
      <c r="S165" s="4"/>
      <c r="T165" s="4"/>
      <c r="U165" s="4"/>
      <c r="V165" s="4"/>
      <c r="W165" s="4"/>
      <c r="X165" s="4"/>
      <c r="Y165" s="4"/>
      <c r="Z165" s="4"/>
    </row>
    <row r="166" customFormat="false" ht="51" hidden="false" customHeight="true" outlineLevel="0" collapsed="false">
      <c r="A166" s="115" t="s">
        <v>825</v>
      </c>
      <c r="B166" s="116" t="s">
        <v>867</v>
      </c>
      <c r="C166" s="116" t="s">
        <v>868</v>
      </c>
      <c r="D166" s="115" t="s">
        <v>220</v>
      </c>
      <c r="E166" s="116" t="s">
        <v>220</v>
      </c>
      <c r="F166" s="116" t="s">
        <v>220</v>
      </c>
      <c r="G166" s="118" t="s">
        <v>220</v>
      </c>
      <c r="H166" s="118" t="s">
        <v>220</v>
      </c>
      <c r="I166" s="117" t="str">
        <f aca="false">HYPERLINK("#'DL07. Thanh toán'!B4","Mở ô")</f>
        <v>Mở ô</v>
      </c>
      <c r="J166" s="4"/>
      <c r="K166" s="4"/>
      <c r="L166" s="4"/>
      <c r="M166" s="4"/>
      <c r="N166" s="4"/>
      <c r="O166" s="4"/>
      <c r="P166" s="4"/>
      <c r="Q166" s="4"/>
      <c r="R166" s="4"/>
      <c r="S166" s="4"/>
      <c r="T166" s="4"/>
      <c r="U166" s="4"/>
      <c r="V166" s="4"/>
      <c r="W166" s="4"/>
      <c r="X166" s="4"/>
      <c r="Y166" s="4"/>
      <c r="Z166" s="4"/>
    </row>
    <row r="167" customFormat="false" ht="51" hidden="false" customHeight="true" outlineLevel="0" collapsed="false">
      <c r="A167" s="115" t="s">
        <v>825</v>
      </c>
      <c r="B167" s="116" t="s">
        <v>850</v>
      </c>
      <c r="C167" s="116" t="s">
        <v>851</v>
      </c>
      <c r="D167" s="115" t="s">
        <v>220</v>
      </c>
      <c r="E167" s="116" t="s">
        <v>220</v>
      </c>
      <c r="F167" s="116" t="s">
        <v>220</v>
      </c>
      <c r="G167" s="118" t="s">
        <v>220</v>
      </c>
      <c r="H167" s="118" t="s">
        <v>220</v>
      </c>
      <c r="I167" s="117" t="str">
        <f aca="false">HYPERLINK("#'DL07. Thanh toán'!C4","Mở ô")</f>
        <v>Mở ô</v>
      </c>
      <c r="J167" s="4"/>
      <c r="K167" s="4"/>
      <c r="L167" s="4"/>
      <c r="M167" s="4"/>
      <c r="N167" s="4"/>
      <c r="O167" s="4"/>
      <c r="P167" s="4"/>
      <c r="Q167" s="4"/>
      <c r="R167" s="4"/>
      <c r="S167" s="4"/>
      <c r="T167" s="4"/>
      <c r="U167" s="4"/>
      <c r="V167" s="4"/>
      <c r="W167" s="4"/>
      <c r="X167" s="4"/>
      <c r="Y167" s="4"/>
      <c r="Z167" s="4"/>
    </row>
    <row r="168" customFormat="false" ht="51" hidden="false" customHeight="true" outlineLevel="0" collapsed="false">
      <c r="A168" s="115" t="s">
        <v>825</v>
      </c>
      <c r="B168" s="116" t="s">
        <v>869</v>
      </c>
      <c r="C168" s="116" t="s">
        <v>857</v>
      </c>
      <c r="D168" s="115" t="s">
        <v>220</v>
      </c>
      <c r="E168" s="116" t="s">
        <v>220</v>
      </c>
      <c r="F168" s="116" t="s">
        <v>220</v>
      </c>
      <c r="G168" s="118" t="s">
        <v>220</v>
      </c>
      <c r="H168" s="118" t="s">
        <v>220</v>
      </c>
      <c r="I168" s="117" t="str">
        <f aca="false">HYPERLINK("#'DL07. Thanh toán'!H4","Mở ô")</f>
        <v>Mở ô</v>
      </c>
      <c r="J168" s="4"/>
      <c r="K168" s="4"/>
      <c r="L168" s="4"/>
      <c r="M168" s="4"/>
      <c r="N168" s="4"/>
      <c r="O168" s="4"/>
      <c r="P168" s="4"/>
      <c r="Q168" s="4"/>
      <c r="R168" s="4"/>
      <c r="S168" s="4"/>
      <c r="T168" s="4"/>
      <c r="U168" s="4"/>
      <c r="V168" s="4"/>
      <c r="W168" s="4"/>
      <c r="X168" s="4"/>
      <c r="Y168" s="4"/>
      <c r="Z168" s="4"/>
    </row>
    <row r="169" customFormat="false" ht="51" hidden="false" customHeight="true" outlineLevel="0" collapsed="false">
      <c r="A169" s="115" t="s">
        <v>825</v>
      </c>
      <c r="B169" s="116" t="s">
        <v>862</v>
      </c>
      <c r="C169" s="116" t="s">
        <v>863</v>
      </c>
      <c r="D169" s="115" t="s">
        <v>220</v>
      </c>
      <c r="E169" s="116" t="s">
        <v>220</v>
      </c>
      <c r="F169" s="116" t="s">
        <v>220</v>
      </c>
      <c r="G169" s="118" t="s">
        <v>220</v>
      </c>
      <c r="H169" s="118" t="s">
        <v>220</v>
      </c>
      <c r="I169" s="117" t="str">
        <f aca="false">HYPERLINK("#'DL07. Thanh toán'!O4","Mở ô")</f>
        <v>Mở ô</v>
      </c>
      <c r="J169" s="4"/>
      <c r="K169" s="4"/>
      <c r="L169" s="4"/>
      <c r="M169" s="4"/>
      <c r="N169" s="4"/>
      <c r="O169" s="4"/>
      <c r="P169" s="4"/>
      <c r="Q169" s="4"/>
      <c r="R169" s="4"/>
      <c r="S169" s="4"/>
      <c r="T169" s="4"/>
      <c r="U169" s="4"/>
      <c r="V169" s="4"/>
      <c r="W169" s="4"/>
      <c r="X169" s="4"/>
      <c r="Y169" s="4"/>
      <c r="Z169" s="4"/>
    </row>
    <row r="170" customFormat="false" ht="51" hidden="false" customHeight="true" outlineLevel="0" collapsed="false">
      <c r="A170" s="115" t="s">
        <v>825</v>
      </c>
      <c r="B170" s="116" t="s">
        <v>870</v>
      </c>
      <c r="C170" s="116" t="s">
        <v>835</v>
      </c>
      <c r="D170" s="115" t="s">
        <v>220</v>
      </c>
      <c r="E170" s="116" t="s">
        <v>220</v>
      </c>
      <c r="F170" s="116" t="s">
        <v>220</v>
      </c>
      <c r="G170" s="118" t="s">
        <v>220</v>
      </c>
      <c r="H170" s="118" t="s">
        <v>220</v>
      </c>
      <c r="I170" s="117" t="str">
        <f aca="false">HYPERLINK("#'DL07. Thanh toán'!P4","Mở ô")</f>
        <v>Mở ô</v>
      </c>
      <c r="J170" s="4"/>
      <c r="K170" s="4"/>
      <c r="L170" s="4"/>
      <c r="M170" s="4"/>
      <c r="N170" s="4"/>
      <c r="O170" s="4"/>
      <c r="P170" s="4"/>
      <c r="Q170" s="4"/>
      <c r="R170" s="4"/>
      <c r="S170" s="4"/>
      <c r="T170" s="4"/>
      <c r="U170" s="4"/>
      <c r="V170" s="4"/>
      <c r="W170" s="4"/>
      <c r="X170" s="4"/>
      <c r="Y170" s="4"/>
      <c r="Z170" s="4"/>
    </row>
    <row r="171" customFormat="false" ht="51" hidden="false" customHeight="true" outlineLevel="0" collapsed="false">
      <c r="A171" s="115" t="s">
        <v>825</v>
      </c>
      <c r="B171" s="116" t="s">
        <v>871</v>
      </c>
      <c r="C171" s="116" t="s">
        <v>835</v>
      </c>
      <c r="D171" s="115" t="s">
        <v>220</v>
      </c>
      <c r="E171" s="116" t="s">
        <v>220</v>
      </c>
      <c r="F171" s="116" t="s">
        <v>220</v>
      </c>
      <c r="G171" s="118" t="s">
        <v>220</v>
      </c>
      <c r="H171" s="118" t="s">
        <v>220</v>
      </c>
      <c r="I171" s="117" t="str">
        <f aca="false">HYPERLINK("#'DL07. Thanh toán'!Q4","Mở ô")</f>
        <v>Mở ô</v>
      </c>
      <c r="J171" s="4"/>
      <c r="K171" s="4"/>
      <c r="L171" s="4"/>
      <c r="M171" s="4"/>
      <c r="N171" s="4"/>
      <c r="O171" s="4"/>
      <c r="P171" s="4"/>
      <c r="Q171" s="4"/>
      <c r="R171" s="4"/>
      <c r="S171" s="4"/>
      <c r="T171" s="4"/>
      <c r="U171" s="4"/>
      <c r="V171" s="4"/>
      <c r="W171" s="4"/>
      <c r="X171" s="4"/>
      <c r="Y171" s="4"/>
      <c r="Z171" s="4"/>
    </row>
    <row r="172" customFormat="false" ht="19.5" hidden="false" customHeight="true" outlineLevel="0" collapsed="false">
      <c r="A172" s="114" t="s">
        <v>568</v>
      </c>
      <c r="B172" s="114"/>
      <c r="C172" s="114"/>
      <c r="D172" s="114"/>
      <c r="E172" s="114"/>
      <c r="F172" s="114"/>
      <c r="G172" s="114"/>
      <c r="H172" s="114"/>
      <c r="I172" s="114"/>
      <c r="J172" s="4"/>
      <c r="K172" s="4"/>
      <c r="L172" s="4"/>
      <c r="M172" s="4"/>
      <c r="N172" s="4"/>
      <c r="O172" s="4"/>
      <c r="P172" s="4"/>
      <c r="Q172" s="4"/>
      <c r="R172" s="4"/>
      <c r="S172" s="4"/>
      <c r="T172" s="4"/>
      <c r="U172" s="4"/>
      <c r="V172" s="4"/>
      <c r="W172" s="4"/>
      <c r="X172" s="4"/>
      <c r="Y172" s="4"/>
      <c r="Z172" s="4"/>
    </row>
    <row r="173" customFormat="false" ht="51" hidden="false" customHeight="true" outlineLevel="0" collapsed="false">
      <c r="A173" s="115" t="s">
        <v>825</v>
      </c>
      <c r="B173" s="116" t="s">
        <v>867</v>
      </c>
      <c r="C173" s="116" t="s">
        <v>868</v>
      </c>
      <c r="D173" s="115" t="s">
        <v>220</v>
      </c>
      <c r="E173" s="116" t="s">
        <v>220</v>
      </c>
      <c r="F173" s="116" t="s">
        <v>220</v>
      </c>
      <c r="G173" s="118" t="s">
        <v>220</v>
      </c>
      <c r="H173" s="118" t="s">
        <v>220</v>
      </c>
      <c r="I173" s="117" t="str">
        <f aca="false">HYPERLINK("#'DL08. Xếp lớp &amp; Nhập học'!B4","Mở ô")</f>
        <v>Mở ô</v>
      </c>
      <c r="J173" s="4"/>
      <c r="K173" s="4"/>
      <c r="L173" s="4"/>
      <c r="M173" s="4"/>
      <c r="N173" s="4"/>
      <c r="O173" s="4"/>
      <c r="P173" s="4"/>
      <c r="Q173" s="4"/>
      <c r="R173" s="4"/>
      <c r="S173" s="4"/>
      <c r="T173" s="4"/>
      <c r="U173" s="4"/>
      <c r="V173" s="4"/>
      <c r="W173" s="4"/>
      <c r="X173" s="4"/>
      <c r="Y173" s="4"/>
      <c r="Z173" s="4"/>
    </row>
    <row r="174" customFormat="false" ht="51" hidden="false" customHeight="true" outlineLevel="0" collapsed="false">
      <c r="A174" s="115" t="s">
        <v>825</v>
      </c>
      <c r="B174" s="116" t="s">
        <v>850</v>
      </c>
      <c r="C174" s="116" t="s">
        <v>851</v>
      </c>
      <c r="D174" s="115" t="s">
        <v>220</v>
      </c>
      <c r="E174" s="116" t="s">
        <v>220</v>
      </c>
      <c r="F174" s="116" t="s">
        <v>220</v>
      </c>
      <c r="G174" s="118" t="s">
        <v>220</v>
      </c>
      <c r="H174" s="118" t="s">
        <v>220</v>
      </c>
      <c r="I174" s="117" t="str">
        <f aca="false">HYPERLINK("#'DL08. Xếp lớp &amp; Nhập học'!C4","Mở ô")</f>
        <v>Mở ô</v>
      </c>
      <c r="J174" s="4"/>
      <c r="K174" s="4"/>
      <c r="L174" s="4"/>
      <c r="M174" s="4"/>
      <c r="N174" s="4"/>
      <c r="O174" s="4"/>
      <c r="P174" s="4"/>
      <c r="Q174" s="4"/>
      <c r="R174" s="4"/>
      <c r="S174" s="4"/>
      <c r="T174" s="4"/>
      <c r="U174" s="4"/>
      <c r="V174" s="4"/>
      <c r="W174" s="4"/>
      <c r="X174" s="4"/>
      <c r="Y174" s="4"/>
      <c r="Z174" s="4"/>
    </row>
    <row r="175" customFormat="false" ht="51" hidden="false" customHeight="true" outlineLevel="0" collapsed="false">
      <c r="A175" s="115" t="s">
        <v>825</v>
      </c>
      <c r="B175" s="116" t="s">
        <v>872</v>
      </c>
      <c r="C175" s="116" t="s">
        <v>873</v>
      </c>
      <c r="D175" s="115" t="s">
        <v>220</v>
      </c>
      <c r="E175" s="116" t="s">
        <v>220</v>
      </c>
      <c r="F175" s="116" t="s">
        <v>220</v>
      </c>
      <c r="G175" s="118" t="s">
        <v>220</v>
      </c>
      <c r="H175" s="118" t="s">
        <v>220</v>
      </c>
      <c r="I175" s="117" t="str">
        <f aca="false">HYPERLINK("#'DL08. Xếp lớp &amp; Nhập học'!H4","Mở ô")</f>
        <v>Mở ô</v>
      </c>
      <c r="J175" s="4"/>
      <c r="K175" s="4"/>
      <c r="L175" s="4"/>
      <c r="M175" s="4"/>
      <c r="N175" s="4"/>
      <c r="O175" s="4"/>
      <c r="P175" s="4"/>
      <c r="Q175" s="4"/>
      <c r="R175" s="4"/>
      <c r="S175" s="4"/>
      <c r="T175" s="4"/>
      <c r="U175" s="4"/>
      <c r="V175" s="4"/>
      <c r="W175" s="4"/>
      <c r="X175" s="4"/>
      <c r="Y175" s="4"/>
      <c r="Z175" s="4"/>
    </row>
    <row r="176" customFormat="false" ht="51" hidden="false" customHeight="true" outlineLevel="0" collapsed="false">
      <c r="A176" s="115" t="s">
        <v>825</v>
      </c>
      <c r="B176" s="116" t="s">
        <v>874</v>
      </c>
      <c r="C176" s="116" t="s">
        <v>857</v>
      </c>
      <c r="D176" s="115" t="s">
        <v>220</v>
      </c>
      <c r="E176" s="116" t="s">
        <v>220</v>
      </c>
      <c r="F176" s="116" t="s">
        <v>220</v>
      </c>
      <c r="G176" s="118" t="s">
        <v>220</v>
      </c>
      <c r="H176" s="118" t="s">
        <v>220</v>
      </c>
      <c r="I176" s="117" t="str">
        <f aca="false">HYPERLINK("#'DL08. Xếp lớp &amp; Nhập học'!O4","Mở ô")</f>
        <v>Mở ô</v>
      </c>
      <c r="J176" s="4"/>
      <c r="K176" s="4"/>
      <c r="L176" s="4"/>
      <c r="M176" s="4"/>
      <c r="N176" s="4"/>
      <c r="O176" s="4"/>
      <c r="P176" s="4"/>
      <c r="Q176" s="4"/>
      <c r="R176" s="4"/>
      <c r="S176" s="4"/>
      <c r="T176" s="4"/>
      <c r="U176" s="4"/>
      <c r="V176" s="4"/>
      <c r="W176" s="4"/>
      <c r="X176" s="4"/>
      <c r="Y176" s="4"/>
      <c r="Z176" s="4"/>
    </row>
    <row r="177" customFormat="false" ht="51" hidden="false" customHeight="true" outlineLevel="0" collapsed="false">
      <c r="A177" s="115" t="s">
        <v>825</v>
      </c>
      <c r="B177" s="116" t="s">
        <v>862</v>
      </c>
      <c r="C177" s="116" t="s">
        <v>863</v>
      </c>
      <c r="D177" s="115" t="s">
        <v>220</v>
      </c>
      <c r="E177" s="116" t="s">
        <v>220</v>
      </c>
      <c r="F177" s="116" t="s">
        <v>220</v>
      </c>
      <c r="G177" s="118" t="s">
        <v>220</v>
      </c>
      <c r="H177" s="118" t="s">
        <v>220</v>
      </c>
      <c r="I177" s="117" t="str">
        <f aca="false">HYPERLINK("#'DL08. Xếp lớp &amp; Nhập học'!R4","Mở ô")</f>
        <v>Mở ô</v>
      </c>
      <c r="J177" s="4"/>
      <c r="K177" s="4"/>
      <c r="L177" s="4"/>
      <c r="M177" s="4"/>
      <c r="N177" s="4"/>
      <c r="O177" s="4"/>
      <c r="P177" s="4"/>
      <c r="Q177" s="4"/>
      <c r="R177" s="4"/>
      <c r="S177" s="4"/>
      <c r="T177" s="4"/>
      <c r="U177" s="4"/>
      <c r="V177" s="4"/>
      <c r="W177" s="4"/>
      <c r="X177" s="4"/>
      <c r="Y177" s="4"/>
      <c r="Z177" s="4"/>
    </row>
    <row r="178" customFormat="false" ht="51" hidden="false" customHeight="true" outlineLevel="0" collapsed="false">
      <c r="A178" s="115" t="s">
        <v>825</v>
      </c>
      <c r="B178" s="116" t="s">
        <v>875</v>
      </c>
      <c r="C178" s="116" t="s">
        <v>876</v>
      </c>
      <c r="D178" s="115" t="s">
        <v>220</v>
      </c>
      <c r="E178" s="116" t="s">
        <v>220</v>
      </c>
      <c r="F178" s="116" t="s">
        <v>220</v>
      </c>
      <c r="G178" s="118" t="s">
        <v>220</v>
      </c>
      <c r="H178" s="118" t="s">
        <v>220</v>
      </c>
      <c r="I178" s="117" t="str">
        <f aca="false">HYPERLINK("#'DL08. Xếp lớp &amp; Nhập học'!S4","Mở ô")</f>
        <v>Mở ô</v>
      </c>
      <c r="J178" s="4"/>
      <c r="K178" s="4"/>
      <c r="L178" s="4"/>
      <c r="M178" s="4"/>
      <c r="N178" s="4"/>
      <c r="O178" s="4"/>
      <c r="P178" s="4"/>
      <c r="Q178" s="4"/>
      <c r="R178" s="4"/>
      <c r="S178" s="4"/>
      <c r="T178" s="4"/>
      <c r="U178" s="4"/>
      <c r="V178" s="4"/>
      <c r="W178" s="4"/>
      <c r="X178" s="4"/>
      <c r="Y178" s="4"/>
      <c r="Z178" s="4"/>
    </row>
    <row r="179" customFormat="false" ht="19.5" hidden="false" customHeight="true" outlineLevel="0" collapsed="false">
      <c r="A179" s="114" t="s">
        <v>593</v>
      </c>
      <c r="B179" s="114"/>
      <c r="C179" s="114"/>
      <c r="D179" s="114"/>
      <c r="E179" s="114"/>
      <c r="F179" s="114"/>
      <c r="G179" s="114"/>
      <c r="H179" s="114"/>
      <c r="I179" s="114"/>
      <c r="J179" s="4"/>
      <c r="K179" s="4"/>
      <c r="L179" s="4"/>
      <c r="M179" s="4"/>
      <c r="N179" s="4"/>
      <c r="O179" s="4"/>
      <c r="P179" s="4"/>
      <c r="Q179" s="4"/>
      <c r="R179" s="4"/>
      <c r="S179" s="4"/>
      <c r="T179" s="4"/>
      <c r="U179" s="4"/>
      <c r="V179" s="4"/>
      <c r="W179" s="4"/>
      <c r="X179" s="4"/>
      <c r="Y179" s="4"/>
      <c r="Z179" s="4"/>
    </row>
    <row r="180" customFormat="false" ht="51" hidden="false" customHeight="true" outlineLevel="0" collapsed="false">
      <c r="A180" s="115" t="s">
        <v>825</v>
      </c>
      <c r="B180" s="116" t="s">
        <v>877</v>
      </c>
      <c r="C180" s="116" t="s">
        <v>868</v>
      </c>
      <c r="D180" s="115" t="s">
        <v>220</v>
      </c>
      <c r="E180" s="116" t="s">
        <v>220</v>
      </c>
      <c r="F180" s="116" t="s">
        <v>220</v>
      </c>
      <c r="G180" s="118" t="s">
        <v>220</v>
      </c>
      <c r="H180" s="118" t="s">
        <v>220</v>
      </c>
      <c r="I180" s="117" t="str">
        <f aca="false">HYPERLINK("#'DL09. Học viên'!L4","Mở ô")</f>
        <v>Mở ô</v>
      </c>
      <c r="J180" s="4"/>
      <c r="K180" s="4"/>
      <c r="L180" s="4"/>
      <c r="M180" s="4"/>
      <c r="N180" s="4"/>
      <c r="O180" s="4"/>
      <c r="P180" s="4"/>
      <c r="Q180" s="4"/>
      <c r="R180" s="4"/>
      <c r="S180" s="4"/>
      <c r="T180" s="4"/>
      <c r="U180" s="4"/>
      <c r="V180" s="4"/>
      <c r="W180" s="4"/>
      <c r="X180" s="4"/>
      <c r="Y180" s="4"/>
      <c r="Z180" s="4"/>
    </row>
    <row r="181" customFormat="false" ht="51" hidden="false" customHeight="true" outlineLevel="0" collapsed="false">
      <c r="A181" s="115" t="s">
        <v>825</v>
      </c>
      <c r="B181" s="116" t="s">
        <v>878</v>
      </c>
      <c r="C181" s="116" t="s">
        <v>879</v>
      </c>
      <c r="D181" s="115" t="s">
        <v>220</v>
      </c>
      <c r="E181" s="116" t="s">
        <v>220</v>
      </c>
      <c r="F181" s="116" t="s">
        <v>220</v>
      </c>
      <c r="G181" s="118" t="s">
        <v>220</v>
      </c>
      <c r="H181" s="118" t="s">
        <v>220</v>
      </c>
      <c r="I181" s="117" t="str">
        <f aca="false">HYPERLINK("#'DL09. Học viên'!M4","Mở ô")</f>
        <v>Mở ô</v>
      </c>
      <c r="J181" s="4"/>
      <c r="K181" s="4"/>
      <c r="L181" s="4"/>
      <c r="M181" s="4"/>
      <c r="N181" s="4"/>
      <c r="O181" s="4"/>
      <c r="P181" s="4"/>
      <c r="Q181" s="4"/>
      <c r="R181" s="4"/>
      <c r="S181" s="4"/>
      <c r="T181" s="4"/>
      <c r="U181" s="4"/>
      <c r="V181" s="4"/>
      <c r="W181" s="4"/>
      <c r="X181" s="4"/>
      <c r="Y181" s="4"/>
      <c r="Z181" s="4"/>
    </row>
    <row r="182" customFormat="false" ht="51" hidden="false" customHeight="true" outlineLevel="0" collapsed="false">
      <c r="A182" s="115" t="s">
        <v>825</v>
      </c>
      <c r="B182" s="116" t="s">
        <v>880</v>
      </c>
      <c r="C182" s="116" t="s">
        <v>881</v>
      </c>
      <c r="D182" s="115" t="s">
        <v>220</v>
      </c>
      <c r="E182" s="116" t="s">
        <v>220</v>
      </c>
      <c r="F182" s="116" t="s">
        <v>220</v>
      </c>
      <c r="G182" s="118" t="s">
        <v>220</v>
      </c>
      <c r="H182" s="118" t="s">
        <v>220</v>
      </c>
      <c r="I182" s="117" t="str">
        <f aca="false">HYPERLINK("#'DL09. Học viên'!N4","Mở ô")</f>
        <v>Mở ô</v>
      </c>
      <c r="J182" s="4"/>
      <c r="K182" s="4"/>
      <c r="L182" s="4"/>
      <c r="M182" s="4"/>
      <c r="N182" s="4"/>
      <c r="O182" s="4"/>
      <c r="P182" s="4"/>
      <c r="Q182" s="4"/>
      <c r="R182" s="4"/>
      <c r="S182" s="4"/>
      <c r="T182" s="4"/>
      <c r="U182" s="4"/>
      <c r="V182" s="4"/>
      <c r="W182" s="4"/>
      <c r="X182" s="4"/>
      <c r="Y182" s="4"/>
      <c r="Z182" s="4"/>
    </row>
    <row r="183" customFormat="false" ht="51" hidden="false" customHeight="true" outlineLevel="0" collapsed="false">
      <c r="A183" s="115" t="s">
        <v>825</v>
      </c>
      <c r="B183" s="116" t="s">
        <v>882</v>
      </c>
      <c r="C183" s="116" t="s">
        <v>883</v>
      </c>
      <c r="D183" s="115" t="s">
        <v>220</v>
      </c>
      <c r="E183" s="116" t="s">
        <v>220</v>
      </c>
      <c r="F183" s="116" t="s">
        <v>220</v>
      </c>
      <c r="G183" s="118" t="s">
        <v>220</v>
      </c>
      <c r="H183" s="118" t="s">
        <v>220</v>
      </c>
      <c r="I183" s="117" t="str">
        <f aca="false">HYPERLINK("#'DL09. Học viên'!V4","Mở ô")</f>
        <v>Mở ô</v>
      </c>
      <c r="J183" s="4"/>
      <c r="K183" s="4"/>
      <c r="L183" s="4"/>
      <c r="M183" s="4"/>
      <c r="N183" s="4"/>
      <c r="O183" s="4"/>
      <c r="P183" s="4"/>
      <c r="Q183" s="4"/>
      <c r="R183" s="4"/>
      <c r="S183" s="4"/>
      <c r="T183" s="4"/>
      <c r="U183" s="4"/>
      <c r="V183" s="4"/>
      <c r="W183" s="4"/>
      <c r="X183" s="4"/>
      <c r="Y183" s="4"/>
      <c r="Z183" s="4"/>
    </row>
    <row r="184" customFormat="false" ht="51" hidden="false" customHeight="true" outlineLevel="0" collapsed="false">
      <c r="A184" s="115" t="s">
        <v>825</v>
      </c>
      <c r="B184" s="116" t="s">
        <v>884</v>
      </c>
      <c r="C184" s="116" t="s">
        <v>885</v>
      </c>
      <c r="D184" s="115" t="s">
        <v>220</v>
      </c>
      <c r="E184" s="116" t="s">
        <v>220</v>
      </c>
      <c r="F184" s="116" t="s">
        <v>220</v>
      </c>
      <c r="G184" s="118" t="s">
        <v>220</v>
      </c>
      <c r="H184" s="118" t="s">
        <v>220</v>
      </c>
      <c r="I184" s="117" t="str">
        <f aca="false">HYPERLINK("#'DL09. Học viên'!Y4","Mở ô")</f>
        <v>Mở ô</v>
      </c>
      <c r="J184" s="4"/>
      <c r="K184" s="4"/>
      <c r="L184" s="4"/>
      <c r="M184" s="4"/>
      <c r="N184" s="4"/>
      <c r="O184" s="4"/>
      <c r="P184" s="4"/>
      <c r="Q184" s="4"/>
      <c r="R184" s="4"/>
      <c r="S184" s="4"/>
      <c r="T184" s="4"/>
      <c r="U184" s="4"/>
      <c r="V184" s="4"/>
      <c r="W184" s="4"/>
      <c r="X184" s="4"/>
      <c r="Y184" s="4"/>
      <c r="Z184" s="4"/>
    </row>
    <row r="185" customFormat="false" ht="51" hidden="false" customHeight="true" outlineLevel="0" collapsed="false">
      <c r="A185" s="115" t="s">
        <v>825</v>
      </c>
      <c r="B185" s="116" t="s">
        <v>886</v>
      </c>
      <c r="C185" s="116" t="s">
        <v>887</v>
      </c>
      <c r="D185" s="115" t="s">
        <v>220</v>
      </c>
      <c r="E185" s="116" t="s">
        <v>220</v>
      </c>
      <c r="F185" s="116" t="s">
        <v>220</v>
      </c>
      <c r="G185" s="118" t="s">
        <v>220</v>
      </c>
      <c r="H185" s="118" t="s">
        <v>220</v>
      </c>
      <c r="I185" s="117" t="str">
        <f aca="false">HYPERLINK("#'DL09. Học viên'!AB4","Mở ô")</f>
        <v>Mở ô</v>
      </c>
      <c r="J185" s="4"/>
      <c r="K185" s="4"/>
      <c r="L185" s="4"/>
      <c r="M185" s="4"/>
      <c r="N185" s="4"/>
      <c r="O185" s="4"/>
      <c r="P185" s="4"/>
      <c r="Q185" s="4"/>
      <c r="R185" s="4"/>
      <c r="S185" s="4"/>
      <c r="T185" s="4"/>
      <c r="U185" s="4"/>
      <c r="V185" s="4"/>
      <c r="W185" s="4"/>
      <c r="X185" s="4"/>
      <c r="Y185" s="4"/>
      <c r="Z185" s="4"/>
    </row>
    <row r="186" customFormat="false" ht="51" hidden="false" customHeight="true" outlineLevel="0" collapsed="false">
      <c r="A186" s="115" t="s">
        <v>825</v>
      </c>
      <c r="B186" s="116" t="s">
        <v>888</v>
      </c>
      <c r="C186" s="116" t="s">
        <v>857</v>
      </c>
      <c r="D186" s="115" t="s">
        <v>220</v>
      </c>
      <c r="E186" s="116" t="s">
        <v>220</v>
      </c>
      <c r="F186" s="116" t="s">
        <v>220</v>
      </c>
      <c r="G186" s="118" t="s">
        <v>220</v>
      </c>
      <c r="H186" s="118" t="s">
        <v>220</v>
      </c>
      <c r="I186" s="117" t="str">
        <f aca="false">HYPERLINK("#'DL09. Học viên'!AC4","Mở ô")</f>
        <v>Mở ô</v>
      </c>
      <c r="J186" s="4"/>
      <c r="K186" s="4"/>
      <c r="L186" s="4"/>
      <c r="M186" s="4"/>
      <c r="N186" s="4"/>
      <c r="O186" s="4"/>
      <c r="P186" s="4"/>
      <c r="Q186" s="4"/>
      <c r="R186" s="4"/>
      <c r="S186" s="4"/>
      <c r="T186" s="4"/>
      <c r="U186" s="4"/>
      <c r="V186" s="4"/>
      <c r="W186" s="4"/>
      <c r="X186" s="4"/>
      <c r="Y186" s="4"/>
      <c r="Z186" s="4"/>
    </row>
    <row r="187" customFormat="false" ht="19.5" hidden="false" customHeight="true" outlineLevel="0" collapsed="false">
      <c r="A187" s="114" t="s">
        <v>889</v>
      </c>
      <c r="B187" s="114"/>
      <c r="C187" s="114"/>
      <c r="D187" s="114"/>
      <c r="E187" s="114"/>
      <c r="F187" s="114"/>
      <c r="G187" s="114"/>
      <c r="H187" s="114"/>
      <c r="I187" s="114"/>
      <c r="J187" s="4"/>
      <c r="K187" s="4"/>
      <c r="L187" s="4"/>
      <c r="M187" s="4"/>
      <c r="N187" s="4"/>
      <c r="O187" s="4"/>
      <c r="P187" s="4"/>
      <c r="Q187" s="4"/>
      <c r="R187" s="4"/>
      <c r="S187" s="4"/>
      <c r="T187" s="4"/>
      <c r="U187" s="4"/>
      <c r="V187" s="4"/>
      <c r="W187" s="4"/>
      <c r="X187" s="4"/>
      <c r="Y187" s="4"/>
      <c r="Z187" s="4"/>
    </row>
    <row r="188" customFormat="false" ht="51" hidden="false" customHeight="true" outlineLevel="0" collapsed="false">
      <c r="A188" s="115" t="s">
        <v>825</v>
      </c>
      <c r="B188" s="116" t="s">
        <v>854</v>
      </c>
      <c r="C188" s="116" t="s">
        <v>855</v>
      </c>
      <c r="D188" s="115" t="s">
        <v>220</v>
      </c>
      <c r="E188" s="116" t="s">
        <v>220</v>
      </c>
      <c r="F188" s="116" t="s">
        <v>220</v>
      </c>
      <c r="G188" s="118" t="s">
        <v>220</v>
      </c>
      <c r="H188" s="118" t="s">
        <v>220</v>
      </c>
      <c r="I188" s="117" t="str">
        <f aca="false">HYPERLINK("#'DL10. Lớp học'!C4","Mở ô")</f>
        <v>Mở ô</v>
      </c>
      <c r="J188" s="4"/>
      <c r="K188" s="4"/>
      <c r="L188" s="4"/>
      <c r="M188" s="4"/>
      <c r="N188" s="4"/>
      <c r="O188" s="4"/>
      <c r="P188" s="4"/>
      <c r="Q188" s="4"/>
      <c r="R188" s="4"/>
      <c r="S188" s="4"/>
      <c r="T188" s="4"/>
      <c r="U188" s="4"/>
      <c r="V188" s="4"/>
      <c r="W188" s="4"/>
      <c r="X188" s="4"/>
      <c r="Y188" s="4"/>
      <c r="Z188" s="4"/>
    </row>
    <row r="189" customFormat="false" ht="51" hidden="false" customHeight="true" outlineLevel="0" collapsed="false">
      <c r="A189" s="115" t="s">
        <v>825</v>
      </c>
      <c r="B189" s="116" t="s">
        <v>890</v>
      </c>
      <c r="C189" s="116" t="s">
        <v>827</v>
      </c>
      <c r="D189" s="115" t="s">
        <v>220</v>
      </c>
      <c r="E189" s="116" t="s">
        <v>220</v>
      </c>
      <c r="F189" s="116" t="s">
        <v>220</v>
      </c>
      <c r="G189" s="118" t="s">
        <v>220</v>
      </c>
      <c r="H189" s="118" t="s">
        <v>220</v>
      </c>
      <c r="I189" s="117" t="str">
        <f aca="false">HYPERLINK("#'DL10. Lớp học'!H4","Mở ô")</f>
        <v>Mở ô</v>
      </c>
      <c r="J189" s="4"/>
      <c r="K189" s="4"/>
      <c r="L189" s="4"/>
      <c r="M189" s="4"/>
      <c r="N189" s="4"/>
      <c r="O189" s="4"/>
      <c r="P189" s="4"/>
      <c r="Q189" s="4"/>
      <c r="R189" s="4"/>
      <c r="S189" s="4"/>
      <c r="T189" s="4"/>
      <c r="U189" s="4"/>
      <c r="V189" s="4"/>
      <c r="W189" s="4"/>
      <c r="X189" s="4"/>
      <c r="Y189" s="4"/>
      <c r="Z189" s="4"/>
    </row>
    <row r="190" customFormat="false" ht="51" hidden="false" customHeight="true" outlineLevel="0" collapsed="false">
      <c r="A190" s="115" t="s">
        <v>825</v>
      </c>
      <c r="B190" s="116" t="s">
        <v>891</v>
      </c>
      <c r="C190" s="116" t="s">
        <v>892</v>
      </c>
      <c r="D190" s="115" t="s">
        <v>220</v>
      </c>
      <c r="E190" s="116" t="s">
        <v>220</v>
      </c>
      <c r="F190" s="116" t="s">
        <v>220</v>
      </c>
      <c r="G190" s="118" t="s">
        <v>220</v>
      </c>
      <c r="H190" s="118" t="s">
        <v>220</v>
      </c>
      <c r="I190" s="117" t="str">
        <f aca="false">HYPERLINK("#'DL10. Lớp học'!J4","Mở ô")</f>
        <v>Mở ô</v>
      </c>
      <c r="J190" s="4"/>
      <c r="K190" s="4"/>
      <c r="L190" s="4"/>
      <c r="M190" s="4"/>
      <c r="N190" s="4"/>
      <c r="O190" s="4"/>
      <c r="P190" s="4"/>
      <c r="Q190" s="4"/>
      <c r="R190" s="4"/>
      <c r="S190" s="4"/>
      <c r="T190" s="4"/>
      <c r="U190" s="4"/>
      <c r="V190" s="4"/>
      <c r="W190" s="4"/>
      <c r="X190" s="4"/>
      <c r="Y190" s="4"/>
      <c r="Z190" s="4"/>
    </row>
    <row r="191" customFormat="false" ht="51" hidden="false" customHeight="true" outlineLevel="0" collapsed="false">
      <c r="A191" s="115" t="s">
        <v>825</v>
      </c>
      <c r="B191" s="116" t="s">
        <v>864</v>
      </c>
      <c r="C191" s="116" t="s">
        <v>865</v>
      </c>
      <c r="D191" s="115" t="s">
        <v>220</v>
      </c>
      <c r="E191" s="116" t="s">
        <v>220</v>
      </c>
      <c r="F191" s="116" t="s">
        <v>220</v>
      </c>
      <c r="G191" s="118" t="s">
        <v>220</v>
      </c>
      <c r="H191" s="118" t="s">
        <v>220</v>
      </c>
      <c r="I191" s="117" t="str">
        <f aca="false">HYPERLINK("#'DL10. Lớp học'!P4","Mở ô")</f>
        <v>Mở ô</v>
      </c>
      <c r="J191" s="4"/>
      <c r="K191" s="4"/>
      <c r="L191" s="4"/>
      <c r="M191" s="4"/>
      <c r="N191" s="4"/>
      <c r="O191" s="4"/>
      <c r="P191" s="4"/>
      <c r="Q191" s="4"/>
      <c r="R191" s="4"/>
      <c r="S191" s="4"/>
      <c r="T191" s="4"/>
      <c r="U191" s="4"/>
      <c r="V191" s="4"/>
      <c r="W191" s="4"/>
      <c r="X191" s="4"/>
      <c r="Y191" s="4"/>
      <c r="Z191" s="4"/>
    </row>
    <row r="192" customFormat="false" ht="19.5" hidden="false" customHeight="true" outlineLevel="0" collapsed="false">
      <c r="A192" s="114" t="s">
        <v>620</v>
      </c>
      <c r="B192" s="114"/>
      <c r="C192" s="114"/>
      <c r="D192" s="114"/>
      <c r="E192" s="114"/>
      <c r="F192" s="114"/>
      <c r="G192" s="114"/>
      <c r="H192" s="114"/>
      <c r="I192" s="114"/>
      <c r="J192" s="4"/>
      <c r="K192" s="4"/>
      <c r="L192" s="4"/>
      <c r="M192" s="4"/>
      <c r="N192" s="4"/>
      <c r="O192" s="4"/>
      <c r="P192" s="4"/>
      <c r="Q192" s="4"/>
      <c r="R192" s="4"/>
      <c r="S192" s="4"/>
      <c r="T192" s="4"/>
      <c r="U192" s="4"/>
      <c r="V192" s="4"/>
      <c r="W192" s="4"/>
      <c r="X192" s="4"/>
      <c r="Y192" s="4"/>
      <c r="Z192" s="4"/>
    </row>
    <row r="193" customFormat="false" ht="51" hidden="false" customHeight="true" outlineLevel="0" collapsed="false">
      <c r="A193" s="115" t="s">
        <v>825</v>
      </c>
      <c r="B193" s="116" t="s">
        <v>872</v>
      </c>
      <c r="C193" s="116" t="s">
        <v>873</v>
      </c>
      <c r="D193" s="115" t="s">
        <v>220</v>
      </c>
      <c r="E193" s="116" t="s">
        <v>220</v>
      </c>
      <c r="F193" s="116" t="s">
        <v>220</v>
      </c>
      <c r="G193" s="118" t="s">
        <v>220</v>
      </c>
      <c r="H193" s="118" t="s">
        <v>220</v>
      </c>
      <c r="I193" s="117" t="str">
        <f aca="false">HYPERLINK("#'DL11. Buổi học'!B4","Mở ô")</f>
        <v>Mở ô</v>
      </c>
      <c r="J193" s="4"/>
      <c r="K193" s="4"/>
      <c r="L193" s="4"/>
      <c r="M193" s="4"/>
      <c r="N193" s="4"/>
      <c r="O193" s="4"/>
      <c r="P193" s="4"/>
      <c r="Q193" s="4"/>
      <c r="R193" s="4"/>
      <c r="S193" s="4"/>
      <c r="T193" s="4"/>
      <c r="U193" s="4"/>
      <c r="V193" s="4"/>
      <c r="W193" s="4"/>
      <c r="X193" s="4"/>
      <c r="Y193" s="4"/>
      <c r="Z193" s="4"/>
    </row>
    <row r="194" customFormat="false" ht="51" hidden="false" customHeight="true" outlineLevel="0" collapsed="false">
      <c r="A194" s="115" t="s">
        <v>825</v>
      </c>
      <c r="B194" s="116" t="s">
        <v>893</v>
      </c>
      <c r="C194" s="116" t="s">
        <v>894</v>
      </c>
      <c r="D194" s="115" t="s">
        <v>220</v>
      </c>
      <c r="E194" s="116" t="s">
        <v>220</v>
      </c>
      <c r="F194" s="116" t="s">
        <v>220</v>
      </c>
      <c r="G194" s="118" t="s">
        <v>220</v>
      </c>
      <c r="H194" s="118" t="s">
        <v>220</v>
      </c>
      <c r="I194" s="117" t="str">
        <f aca="false">HYPERLINK("#'DL11. Buổi học'!H4","Mở ô")</f>
        <v>Mở ô</v>
      </c>
      <c r="J194" s="4"/>
      <c r="K194" s="4"/>
      <c r="L194" s="4"/>
      <c r="M194" s="4"/>
      <c r="N194" s="4"/>
      <c r="O194" s="4"/>
      <c r="P194" s="4"/>
      <c r="Q194" s="4"/>
      <c r="R194" s="4"/>
      <c r="S194" s="4"/>
      <c r="T194" s="4"/>
      <c r="U194" s="4"/>
      <c r="V194" s="4"/>
      <c r="W194" s="4"/>
      <c r="X194" s="4"/>
      <c r="Y194" s="4"/>
      <c r="Z194" s="4"/>
    </row>
    <row r="195" customFormat="false" ht="51" hidden="false" customHeight="true" outlineLevel="0" collapsed="false">
      <c r="A195" s="115" t="s">
        <v>825</v>
      </c>
      <c r="B195" s="116" t="s">
        <v>895</v>
      </c>
      <c r="C195" s="116" t="s">
        <v>827</v>
      </c>
      <c r="D195" s="115" t="s">
        <v>220</v>
      </c>
      <c r="E195" s="116" t="s">
        <v>220</v>
      </c>
      <c r="F195" s="116" t="s">
        <v>220</v>
      </c>
      <c r="G195" s="118" t="s">
        <v>220</v>
      </c>
      <c r="H195" s="118" t="s">
        <v>220</v>
      </c>
      <c r="I195" s="117" t="str">
        <f aca="false">HYPERLINK("#'DL11. Buổi học'!I4","Mở ô")</f>
        <v>Mở ô</v>
      </c>
      <c r="J195" s="4"/>
      <c r="K195" s="4"/>
      <c r="L195" s="4"/>
      <c r="M195" s="4"/>
      <c r="N195" s="4"/>
      <c r="O195" s="4"/>
      <c r="P195" s="4"/>
      <c r="Q195" s="4"/>
      <c r="R195" s="4"/>
      <c r="S195" s="4"/>
      <c r="T195" s="4"/>
      <c r="U195" s="4"/>
      <c r="V195" s="4"/>
      <c r="W195" s="4"/>
      <c r="X195" s="4"/>
      <c r="Y195" s="4"/>
      <c r="Z195" s="4"/>
    </row>
    <row r="196" customFormat="false" ht="51" hidden="false" customHeight="true" outlineLevel="0" collapsed="false">
      <c r="A196" s="115" t="s">
        <v>825</v>
      </c>
      <c r="B196" s="116" t="s">
        <v>896</v>
      </c>
      <c r="C196" s="116" t="s">
        <v>857</v>
      </c>
      <c r="D196" s="115" t="s">
        <v>220</v>
      </c>
      <c r="E196" s="116" t="s">
        <v>220</v>
      </c>
      <c r="F196" s="116" t="s">
        <v>220</v>
      </c>
      <c r="G196" s="118" t="s">
        <v>220</v>
      </c>
      <c r="H196" s="118" t="s">
        <v>220</v>
      </c>
      <c r="I196" s="117" t="str">
        <f aca="false">HYPERLINK("#'DL11. Buổi học'!K4","Mở ô")</f>
        <v>Mở ô</v>
      </c>
      <c r="J196" s="4"/>
      <c r="K196" s="4"/>
      <c r="L196" s="4"/>
      <c r="M196" s="4"/>
      <c r="N196" s="4"/>
      <c r="O196" s="4"/>
      <c r="P196" s="4"/>
      <c r="Q196" s="4"/>
      <c r="R196" s="4"/>
      <c r="S196" s="4"/>
      <c r="T196" s="4"/>
      <c r="U196" s="4"/>
      <c r="V196" s="4"/>
      <c r="W196" s="4"/>
      <c r="X196" s="4"/>
      <c r="Y196" s="4"/>
      <c r="Z196" s="4"/>
    </row>
    <row r="197" customFormat="false" ht="51" hidden="false" customHeight="true" outlineLevel="0" collapsed="false">
      <c r="A197" s="115" t="s">
        <v>825</v>
      </c>
      <c r="B197" s="116" t="s">
        <v>897</v>
      </c>
      <c r="C197" s="116" t="s">
        <v>857</v>
      </c>
      <c r="D197" s="115" t="s">
        <v>220</v>
      </c>
      <c r="E197" s="116" t="s">
        <v>220</v>
      </c>
      <c r="F197" s="116" t="s">
        <v>220</v>
      </c>
      <c r="G197" s="118" t="s">
        <v>220</v>
      </c>
      <c r="H197" s="118" t="s">
        <v>220</v>
      </c>
      <c r="I197" s="117" t="str">
        <f aca="false">HYPERLINK("#'DL11. Buổi học'!M4","Mở ô")</f>
        <v>Mở ô</v>
      </c>
      <c r="J197" s="4"/>
      <c r="K197" s="4"/>
      <c r="L197" s="4"/>
      <c r="M197" s="4"/>
      <c r="N197" s="4"/>
      <c r="O197" s="4"/>
      <c r="P197" s="4"/>
      <c r="Q197" s="4"/>
      <c r="R197" s="4"/>
      <c r="S197" s="4"/>
      <c r="T197" s="4"/>
      <c r="U197" s="4"/>
      <c r="V197" s="4"/>
      <c r="W197" s="4"/>
      <c r="X197" s="4"/>
      <c r="Y197" s="4"/>
      <c r="Z197" s="4"/>
    </row>
    <row r="198" customFormat="false" ht="51" hidden="false" customHeight="true" outlineLevel="0" collapsed="false">
      <c r="A198" s="115" t="s">
        <v>825</v>
      </c>
      <c r="B198" s="116" t="s">
        <v>875</v>
      </c>
      <c r="C198" s="116" t="s">
        <v>876</v>
      </c>
      <c r="D198" s="115" t="s">
        <v>220</v>
      </c>
      <c r="E198" s="116" t="s">
        <v>220</v>
      </c>
      <c r="F198" s="116" t="s">
        <v>220</v>
      </c>
      <c r="G198" s="118" t="s">
        <v>220</v>
      </c>
      <c r="H198" s="118" t="s">
        <v>220</v>
      </c>
      <c r="I198" s="117" t="str">
        <f aca="false">HYPERLINK("#'DL11. Buổi học'!R4","Mở ô")</f>
        <v>Mở ô</v>
      </c>
      <c r="J198" s="4"/>
      <c r="K198" s="4"/>
      <c r="L198" s="4"/>
      <c r="M198" s="4"/>
      <c r="N198" s="4"/>
      <c r="O198" s="4"/>
      <c r="P198" s="4"/>
      <c r="Q198" s="4"/>
      <c r="R198" s="4"/>
      <c r="S198" s="4"/>
      <c r="T198" s="4"/>
      <c r="U198" s="4"/>
      <c r="V198" s="4"/>
      <c r="W198" s="4"/>
      <c r="X198" s="4"/>
      <c r="Y198" s="4"/>
      <c r="Z198" s="4"/>
    </row>
    <row r="199" customFormat="false" ht="51" hidden="false" customHeight="true" outlineLevel="0" collapsed="false">
      <c r="A199" s="115" t="s">
        <v>825</v>
      </c>
      <c r="B199" s="116" t="s">
        <v>898</v>
      </c>
      <c r="C199" s="116" t="s">
        <v>835</v>
      </c>
      <c r="D199" s="115" t="s">
        <v>220</v>
      </c>
      <c r="E199" s="116" t="s">
        <v>220</v>
      </c>
      <c r="F199" s="116" t="s">
        <v>220</v>
      </c>
      <c r="G199" s="118" t="s">
        <v>220</v>
      </c>
      <c r="H199" s="118" t="s">
        <v>220</v>
      </c>
      <c r="I199" s="117" t="str">
        <f aca="false">HYPERLINK("#'DL11. Buổi học'!S4","Mở ô")</f>
        <v>Mở ô</v>
      </c>
      <c r="J199" s="4"/>
      <c r="K199" s="4"/>
      <c r="L199" s="4"/>
      <c r="M199" s="4"/>
      <c r="N199" s="4"/>
      <c r="O199" s="4"/>
      <c r="P199" s="4"/>
      <c r="Q199" s="4"/>
      <c r="R199" s="4"/>
      <c r="S199" s="4"/>
      <c r="T199" s="4"/>
      <c r="U199" s="4"/>
      <c r="V199" s="4"/>
      <c r="W199" s="4"/>
      <c r="X199" s="4"/>
      <c r="Y199" s="4"/>
      <c r="Z199" s="4"/>
    </row>
    <row r="200" customFormat="false" ht="19.5" hidden="false" customHeight="true" outlineLevel="0" collapsed="false">
      <c r="A200" s="114" t="s">
        <v>645</v>
      </c>
      <c r="B200" s="114"/>
      <c r="C200" s="114"/>
      <c r="D200" s="114"/>
      <c r="E200" s="114"/>
      <c r="F200" s="114"/>
      <c r="G200" s="114"/>
      <c r="H200" s="114"/>
      <c r="I200" s="114"/>
      <c r="J200" s="4"/>
      <c r="K200" s="4"/>
      <c r="L200" s="4"/>
      <c r="M200" s="4"/>
      <c r="N200" s="4"/>
      <c r="O200" s="4"/>
      <c r="P200" s="4"/>
      <c r="Q200" s="4"/>
      <c r="R200" s="4"/>
      <c r="S200" s="4"/>
      <c r="T200" s="4"/>
      <c r="U200" s="4"/>
      <c r="V200" s="4"/>
      <c r="W200" s="4"/>
      <c r="X200" s="4"/>
      <c r="Y200" s="4"/>
      <c r="Z200" s="4"/>
    </row>
    <row r="201" customFormat="false" ht="51" hidden="false" customHeight="true" outlineLevel="0" collapsed="false">
      <c r="A201" s="115" t="s">
        <v>825</v>
      </c>
      <c r="B201" s="116" t="s">
        <v>899</v>
      </c>
      <c r="C201" s="116" t="s">
        <v>900</v>
      </c>
      <c r="D201" s="115" t="s">
        <v>220</v>
      </c>
      <c r="E201" s="116" t="s">
        <v>220</v>
      </c>
      <c r="F201" s="116" t="s">
        <v>220</v>
      </c>
      <c r="G201" s="118" t="s">
        <v>220</v>
      </c>
      <c r="H201" s="118" t="s">
        <v>220</v>
      </c>
      <c r="I201" s="117" t="str">
        <f aca="false">HYPERLINK("#'DL12. Điểm danh'!B4","Mở ô")</f>
        <v>Mở ô</v>
      </c>
      <c r="J201" s="4"/>
      <c r="K201" s="4"/>
      <c r="L201" s="4"/>
      <c r="M201" s="4"/>
      <c r="N201" s="4"/>
      <c r="O201" s="4"/>
      <c r="P201" s="4"/>
      <c r="Q201" s="4"/>
      <c r="R201" s="4"/>
      <c r="S201" s="4"/>
      <c r="T201" s="4"/>
      <c r="U201" s="4"/>
      <c r="V201" s="4"/>
      <c r="W201" s="4"/>
      <c r="X201" s="4"/>
      <c r="Y201" s="4"/>
      <c r="Z201" s="4"/>
    </row>
    <row r="202" customFormat="false" ht="51" hidden="false" customHeight="true" outlineLevel="0" collapsed="false">
      <c r="A202" s="115" t="s">
        <v>825</v>
      </c>
      <c r="B202" s="116" t="s">
        <v>850</v>
      </c>
      <c r="C202" s="116" t="s">
        <v>851</v>
      </c>
      <c r="D202" s="115" t="s">
        <v>220</v>
      </c>
      <c r="E202" s="116" t="s">
        <v>220</v>
      </c>
      <c r="F202" s="116" t="s">
        <v>220</v>
      </c>
      <c r="G202" s="118" t="s">
        <v>220</v>
      </c>
      <c r="H202" s="118" t="s">
        <v>220</v>
      </c>
      <c r="I202" s="117" t="str">
        <f aca="false">HYPERLINK("#'DL12. Điểm danh'!C4","Mở ô")</f>
        <v>Mở ô</v>
      </c>
      <c r="J202" s="4"/>
      <c r="K202" s="4"/>
      <c r="L202" s="4"/>
      <c r="M202" s="4"/>
      <c r="N202" s="4"/>
      <c r="O202" s="4"/>
      <c r="P202" s="4"/>
      <c r="Q202" s="4"/>
      <c r="R202" s="4"/>
      <c r="S202" s="4"/>
      <c r="T202" s="4"/>
      <c r="U202" s="4"/>
      <c r="V202" s="4"/>
      <c r="W202" s="4"/>
      <c r="X202" s="4"/>
      <c r="Y202" s="4"/>
      <c r="Z202" s="4"/>
    </row>
    <row r="203" customFormat="false" ht="19.5" hidden="false" customHeight="true" outlineLevel="0" collapsed="false">
      <c r="A203" s="114" t="s">
        <v>661</v>
      </c>
      <c r="B203" s="114"/>
      <c r="C203" s="114"/>
      <c r="D203" s="114"/>
      <c r="E203" s="114"/>
      <c r="F203" s="114"/>
      <c r="G203" s="114"/>
      <c r="H203" s="114"/>
      <c r="I203" s="114"/>
      <c r="J203" s="4"/>
      <c r="K203" s="4"/>
      <c r="L203" s="4"/>
      <c r="M203" s="4"/>
      <c r="N203" s="4"/>
      <c r="O203" s="4"/>
      <c r="P203" s="4"/>
      <c r="Q203" s="4"/>
      <c r="R203" s="4"/>
      <c r="S203" s="4"/>
      <c r="T203" s="4"/>
      <c r="U203" s="4"/>
      <c r="V203" s="4"/>
      <c r="W203" s="4"/>
      <c r="X203" s="4"/>
      <c r="Y203" s="4"/>
      <c r="Z203" s="4"/>
    </row>
    <row r="204" customFormat="false" ht="51" hidden="false" customHeight="true" outlineLevel="0" collapsed="false">
      <c r="A204" s="115" t="s">
        <v>825</v>
      </c>
      <c r="B204" s="116" t="s">
        <v>899</v>
      </c>
      <c r="C204" s="116" t="s">
        <v>900</v>
      </c>
      <c r="D204" s="115" t="s">
        <v>220</v>
      </c>
      <c r="E204" s="116" t="s">
        <v>220</v>
      </c>
      <c r="F204" s="116" t="s">
        <v>220</v>
      </c>
      <c r="G204" s="118" t="s">
        <v>220</v>
      </c>
      <c r="H204" s="118" t="s">
        <v>220</v>
      </c>
      <c r="I204" s="117" t="str">
        <f aca="false">HYPERLINK("#'DL13. Bài tập'!B4","Mở ô")</f>
        <v>Mở ô</v>
      </c>
      <c r="J204" s="4"/>
      <c r="K204" s="4"/>
      <c r="L204" s="4"/>
      <c r="M204" s="4"/>
      <c r="N204" s="4"/>
      <c r="O204" s="4"/>
      <c r="P204" s="4"/>
      <c r="Q204" s="4"/>
      <c r="R204" s="4"/>
      <c r="S204" s="4"/>
      <c r="T204" s="4"/>
      <c r="U204" s="4"/>
      <c r="V204" s="4"/>
      <c r="W204" s="4"/>
      <c r="X204" s="4"/>
      <c r="Y204" s="4"/>
      <c r="Z204" s="4"/>
    </row>
    <row r="205" customFormat="false" ht="51" hidden="false" customHeight="true" outlineLevel="0" collapsed="false">
      <c r="A205" s="115" t="s">
        <v>825</v>
      </c>
      <c r="B205" s="116" t="s">
        <v>872</v>
      </c>
      <c r="C205" s="116" t="s">
        <v>873</v>
      </c>
      <c r="D205" s="115" t="s">
        <v>220</v>
      </c>
      <c r="E205" s="116" t="s">
        <v>220</v>
      </c>
      <c r="F205" s="116" t="s">
        <v>220</v>
      </c>
      <c r="G205" s="118" t="s">
        <v>220</v>
      </c>
      <c r="H205" s="118" t="s">
        <v>220</v>
      </c>
      <c r="I205" s="117" t="str">
        <f aca="false">HYPERLINK("#'DL13. Bài tập'!C4","Mở ô")</f>
        <v>Mở ô</v>
      </c>
      <c r="J205" s="4"/>
      <c r="K205" s="4"/>
      <c r="L205" s="4"/>
      <c r="M205" s="4"/>
      <c r="N205" s="4"/>
      <c r="O205" s="4"/>
      <c r="P205" s="4"/>
      <c r="Q205" s="4"/>
      <c r="R205" s="4"/>
      <c r="S205" s="4"/>
      <c r="T205" s="4"/>
      <c r="U205" s="4"/>
      <c r="V205" s="4"/>
      <c r="W205" s="4"/>
      <c r="X205" s="4"/>
      <c r="Y205" s="4"/>
      <c r="Z205" s="4"/>
    </row>
    <row r="206" customFormat="false" ht="51" hidden="false" customHeight="true" outlineLevel="0" collapsed="false">
      <c r="A206" s="115" t="s">
        <v>825</v>
      </c>
      <c r="B206" s="116" t="s">
        <v>850</v>
      </c>
      <c r="C206" s="116" t="s">
        <v>851</v>
      </c>
      <c r="D206" s="115" t="s">
        <v>220</v>
      </c>
      <c r="E206" s="116" t="s">
        <v>220</v>
      </c>
      <c r="F206" s="116" t="s">
        <v>220</v>
      </c>
      <c r="G206" s="118" t="s">
        <v>220</v>
      </c>
      <c r="H206" s="118" t="s">
        <v>220</v>
      </c>
      <c r="I206" s="117" t="str">
        <f aca="false">HYPERLINK("#'DL13. Bài tập'!D4","Mở ô")</f>
        <v>Mở ô</v>
      </c>
      <c r="J206" s="4"/>
      <c r="K206" s="4"/>
      <c r="L206" s="4"/>
      <c r="M206" s="4"/>
      <c r="N206" s="4"/>
      <c r="O206" s="4"/>
      <c r="P206" s="4"/>
      <c r="Q206" s="4"/>
      <c r="R206" s="4"/>
      <c r="S206" s="4"/>
      <c r="T206" s="4"/>
      <c r="U206" s="4"/>
      <c r="V206" s="4"/>
      <c r="W206" s="4"/>
      <c r="X206" s="4"/>
      <c r="Y206" s="4"/>
      <c r="Z206" s="4"/>
    </row>
    <row r="207" customFormat="false" ht="51" hidden="false" customHeight="true" outlineLevel="0" collapsed="false">
      <c r="A207" s="115" t="s">
        <v>825</v>
      </c>
      <c r="B207" s="116" t="s">
        <v>901</v>
      </c>
      <c r="C207" s="116" t="s">
        <v>857</v>
      </c>
      <c r="D207" s="115" t="s">
        <v>220</v>
      </c>
      <c r="E207" s="116" t="s">
        <v>220</v>
      </c>
      <c r="F207" s="116" t="s">
        <v>220</v>
      </c>
      <c r="G207" s="118" t="s">
        <v>220</v>
      </c>
      <c r="H207" s="118" t="s">
        <v>220</v>
      </c>
      <c r="I207" s="117" t="str">
        <f aca="false">HYPERLINK("#'DL13. Bài tập'!K4","Mở ô")</f>
        <v>Mở ô</v>
      </c>
      <c r="J207" s="4"/>
      <c r="K207" s="4"/>
      <c r="L207" s="4"/>
      <c r="M207" s="4"/>
      <c r="N207" s="4"/>
      <c r="O207" s="4"/>
      <c r="P207" s="4"/>
      <c r="Q207" s="4"/>
      <c r="R207" s="4"/>
      <c r="S207" s="4"/>
      <c r="T207" s="4"/>
      <c r="U207" s="4"/>
      <c r="V207" s="4"/>
      <c r="W207" s="4"/>
      <c r="X207" s="4"/>
      <c r="Y207" s="4"/>
      <c r="Z207" s="4"/>
    </row>
    <row r="208" customFormat="false" ht="51" hidden="false" customHeight="true" outlineLevel="0" collapsed="false">
      <c r="A208" s="115" t="s">
        <v>825</v>
      </c>
      <c r="B208" s="116" t="s">
        <v>902</v>
      </c>
      <c r="C208" s="116" t="s">
        <v>857</v>
      </c>
      <c r="D208" s="115" t="s">
        <v>220</v>
      </c>
      <c r="E208" s="116" t="s">
        <v>220</v>
      </c>
      <c r="F208" s="116" t="s">
        <v>220</v>
      </c>
      <c r="G208" s="118" t="s">
        <v>220</v>
      </c>
      <c r="H208" s="118" t="s">
        <v>220</v>
      </c>
      <c r="I208" s="117" t="str">
        <f aca="false">HYPERLINK("#'DL13. Bài tập'!P4","Mở ô")</f>
        <v>Mở ô</v>
      </c>
      <c r="J208" s="4"/>
      <c r="K208" s="4"/>
      <c r="L208" s="4"/>
      <c r="M208" s="4"/>
      <c r="N208" s="4"/>
      <c r="O208" s="4"/>
      <c r="P208" s="4"/>
      <c r="Q208" s="4"/>
      <c r="R208" s="4"/>
      <c r="S208" s="4"/>
      <c r="T208" s="4"/>
      <c r="U208" s="4"/>
      <c r="V208" s="4"/>
      <c r="W208" s="4"/>
      <c r="X208" s="4"/>
      <c r="Y208" s="4"/>
      <c r="Z208" s="4"/>
    </row>
    <row r="209" customFormat="false" ht="51" hidden="false" customHeight="true" outlineLevel="0" collapsed="false">
      <c r="A209" s="115" t="s">
        <v>825</v>
      </c>
      <c r="B209" s="116" t="s">
        <v>895</v>
      </c>
      <c r="C209" s="116" t="s">
        <v>827</v>
      </c>
      <c r="D209" s="115" t="s">
        <v>220</v>
      </c>
      <c r="E209" s="116" t="s">
        <v>220</v>
      </c>
      <c r="F209" s="116" t="s">
        <v>220</v>
      </c>
      <c r="G209" s="118" t="s">
        <v>220</v>
      </c>
      <c r="H209" s="118" t="s">
        <v>220</v>
      </c>
      <c r="I209" s="117" t="str">
        <f aca="false">HYPERLINK("#'DL13. Bài tập'!R4","Mở ô")</f>
        <v>Mở ô</v>
      </c>
      <c r="J209" s="4"/>
      <c r="K209" s="4"/>
      <c r="L209" s="4"/>
      <c r="M209" s="4"/>
      <c r="N209" s="4"/>
      <c r="O209" s="4"/>
      <c r="P209" s="4"/>
      <c r="Q209" s="4"/>
      <c r="R209" s="4"/>
      <c r="S209" s="4"/>
      <c r="T209" s="4"/>
      <c r="U209" s="4"/>
      <c r="V209" s="4"/>
      <c r="W209" s="4"/>
      <c r="X209" s="4"/>
      <c r="Y209" s="4"/>
      <c r="Z209" s="4"/>
    </row>
    <row r="210" customFormat="false" ht="51" hidden="false" customHeight="true" outlineLevel="0" collapsed="false">
      <c r="A210" s="115" t="s">
        <v>825</v>
      </c>
      <c r="B210" s="116" t="s">
        <v>875</v>
      </c>
      <c r="C210" s="116" t="s">
        <v>876</v>
      </c>
      <c r="D210" s="115" t="s">
        <v>220</v>
      </c>
      <c r="E210" s="116" t="s">
        <v>220</v>
      </c>
      <c r="F210" s="116" t="s">
        <v>220</v>
      </c>
      <c r="G210" s="118" t="s">
        <v>220</v>
      </c>
      <c r="H210" s="118" t="s">
        <v>220</v>
      </c>
      <c r="I210" s="117" t="str">
        <f aca="false">HYPERLINK("#'DL13. Bài tập'!U4","Mở ô")</f>
        <v>Mở ô</v>
      </c>
      <c r="J210" s="4"/>
      <c r="K210" s="4"/>
      <c r="L210" s="4"/>
      <c r="M210" s="4"/>
      <c r="N210" s="4"/>
      <c r="O210" s="4"/>
      <c r="P210" s="4"/>
      <c r="Q210" s="4"/>
      <c r="R210" s="4"/>
      <c r="S210" s="4"/>
      <c r="T210" s="4"/>
      <c r="U210" s="4"/>
      <c r="V210" s="4"/>
      <c r="W210" s="4"/>
      <c r="X210" s="4"/>
      <c r="Y210" s="4"/>
      <c r="Z210" s="4"/>
    </row>
    <row r="211" customFormat="false" ht="51" hidden="false" customHeight="true" outlineLevel="0" collapsed="false">
      <c r="A211" s="115" t="s">
        <v>825</v>
      </c>
      <c r="B211" s="116" t="s">
        <v>898</v>
      </c>
      <c r="C211" s="116" t="s">
        <v>835</v>
      </c>
      <c r="D211" s="115" t="s">
        <v>220</v>
      </c>
      <c r="E211" s="116" t="s">
        <v>220</v>
      </c>
      <c r="F211" s="116" t="s">
        <v>220</v>
      </c>
      <c r="G211" s="118" t="s">
        <v>220</v>
      </c>
      <c r="H211" s="118" t="s">
        <v>220</v>
      </c>
      <c r="I211" s="117" t="str">
        <f aca="false">HYPERLINK("#'DL13. Bài tập'!V4","Mở ô")</f>
        <v>Mở ô</v>
      </c>
      <c r="J211" s="4"/>
      <c r="K211" s="4"/>
      <c r="L211" s="4"/>
      <c r="M211" s="4"/>
      <c r="N211" s="4"/>
      <c r="O211" s="4"/>
      <c r="P211" s="4"/>
      <c r="Q211" s="4"/>
      <c r="R211" s="4"/>
      <c r="S211" s="4"/>
      <c r="T211" s="4"/>
      <c r="U211" s="4"/>
      <c r="V211" s="4"/>
      <c r="W211" s="4"/>
      <c r="X211" s="4"/>
      <c r="Y211" s="4"/>
      <c r="Z211" s="4"/>
    </row>
    <row r="212" customFormat="false" ht="19.5" hidden="false" customHeight="true" outlineLevel="0" collapsed="false">
      <c r="A212" s="114" t="s">
        <v>677</v>
      </c>
      <c r="B212" s="114"/>
      <c r="C212" s="114"/>
      <c r="D212" s="114"/>
      <c r="E212" s="114"/>
      <c r="F212" s="114"/>
      <c r="G212" s="114"/>
      <c r="H212" s="114"/>
      <c r="I212" s="114"/>
      <c r="J212" s="4"/>
      <c r="K212" s="4"/>
      <c r="L212" s="4"/>
      <c r="M212" s="4"/>
      <c r="N212" s="4"/>
      <c r="O212" s="4"/>
      <c r="P212" s="4"/>
      <c r="Q212" s="4"/>
      <c r="R212" s="4"/>
      <c r="S212" s="4"/>
      <c r="T212" s="4"/>
      <c r="U212" s="4"/>
      <c r="V212" s="4"/>
      <c r="W212" s="4"/>
      <c r="X212" s="4"/>
      <c r="Y212" s="4"/>
      <c r="Z212" s="4"/>
    </row>
    <row r="213" customFormat="false" ht="51" hidden="false" customHeight="true" outlineLevel="0" collapsed="false">
      <c r="A213" s="115" t="s">
        <v>825</v>
      </c>
      <c r="B213" s="116" t="s">
        <v>850</v>
      </c>
      <c r="C213" s="116" t="s">
        <v>851</v>
      </c>
      <c r="D213" s="115" t="s">
        <v>220</v>
      </c>
      <c r="E213" s="116" t="s">
        <v>220</v>
      </c>
      <c r="F213" s="116" t="s">
        <v>220</v>
      </c>
      <c r="G213" s="118" t="s">
        <v>220</v>
      </c>
      <c r="H213" s="118" t="s">
        <v>220</v>
      </c>
      <c r="I213" s="117" t="str">
        <f aca="false">HYPERLINK("#'DL14. Buổi WOW 1-1'!C4","Mở ô")</f>
        <v>Mở ô</v>
      </c>
      <c r="J213" s="4"/>
      <c r="K213" s="4"/>
      <c r="L213" s="4"/>
      <c r="M213" s="4"/>
      <c r="N213" s="4"/>
      <c r="O213" s="4"/>
      <c r="P213" s="4"/>
      <c r="Q213" s="4"/>
      <c r="R213" s="4"/>
      <c r="S213" s="4"/>
      <c r="T213" s="4"/>
      <c r="U213" s="4"/>
      <c r="V213" s="4"/>
      <c r="W213" s="4"/>
      <c r="X213" s="4"/>
      <c r="Y213" s="4"/>
      <c r="Z213" s="4"/>
    </row>
    <row r="214" customFormat="false" ht="51" hidden="false" customHeight="true" outlineLevel="0" collapsed="false">
      <c r="A214" s="115" t="s">
        <v>825</v>
      </c>
      <c r="B214" s="116" t="s">
        <v>841</v>
      </c>
      <c r="C214" s="116" t="s">
        <v>827</v>
      </c>
      <c r="D214" s="115" t="s">
        <v>220</v>
      </c>
      <c r="E214" s="116" t="s">
        <v>220</v>
      </c>
      <c r="F214" s="116" t="s">
        <v>220</v>
      </c>
      <c r="G214" s="118" t="s">
        <v>220</v>
      </c>
      <c r="H214" s="118" t="s">
        <v>220</v>
      </c>
      <c r="I214" s="117" t="str">
        <f aca="false">HYPERLINK("#'DL14. Buổi WOW 1-1'!J4","Mở ô")</f>
        <v>Mở ô</v>
      </c>
      <c r="J214" s="4"/>
      <c r="K214" s="4"/>
      <c r="L214" s="4"/>
      <c r="M214" s="4"/>
      <c r="N214" s="4"/>
      <c r="O214" s="4"/>
      <c r="P214" s="4"/>
      <c r="Q214" s="4"/>
      <c r="R214" s="4"/>
      <c r="S214" s="4"/>
      <c r="T214" s="4"/>
      <c r="U214" s="4"/>
      <c r="V214" s="4"/>
      <c r="W214" s="4"/>
      <c r="X214" s="4"/>
      <c r="Y214" s="4"/>
      <c r="Z214" s="4"/>
    </row>
    <row r="215" customFormat="false" ht="51" hidden="false" customHeight="true" outlineLevel="0" collapsed="false">
      <c r="A215" s="115" t="s">
        <v>825</v>
      </c>
      <c r="B215" s="116" t="s">
        <v>903</v>
      </c>
      <c r="C215" s="116" t="s">
        <v>835</v>
      </c>
      <c r="D215" s="115" t="s">
        <v>220</v>
      </c>
      <c r="E215" s="116" t="s">
        <v>220</v>
      </c>
      <c r="F215" s="116" t="s">
        <v>220</v>
      </c>
      <c r="G215" s="118" t="s">
        <v>220</v>
      </c>
      <c r="H215" s="118" t="s">
        <v>220</v>
      </c>
      <c r="I215" s="117" t="str">
        <f aca="false">HYPERLINK("#'DL14. Buổi WOW 1-1'!K4","Mở ô")</f>
        <v>Mở ô</v>
      </c>
      <c r="J215" s="4"/>
      <c r="K215" s="4"/>
      <c r="L215" s="4"/>
      <c r="M215" s="4"/>
      <c r="N215" s="4"/>
      <c r="O215" s="4"/>
      <c r="P215" s="4"/>
      <c r="Q215" s="4"/>
      <c r="R215" s="4"/>
      <c r="S215" s="4"/>
      <c r="T215" s="4"/>
      <c r="U215" s="4"/>
      <c r="V215" s="4"/>
      <c r="W215" s="4"/>
      <c r="X215" s="4"/>
      <c r="Y215" s="4"/>
      <c r="Z215" s="4"/>
    </row>
    <row r="216" customFormat="false" ht="51" hidden="false" customHeight="true" outlineLevel="0" collapsed="false">
      <c r="A216" s="115" t="s">
        <v>825</v>
      </c>
      <c r="B216" s="116" t="s">
        <v>904</v>
      </c>
      <c r="C216" s="116" t="s">
        <v>857</v>
      </c>
      <c r="D216" s="115" t="s">
        <v>220</v>
      </c>
      <c r="E216" s="116" t="s">
        <v>220</v>
      </c>
      <c r="F216" s="116" t="s">
        <v>220</v>
      </c>
      <c r="G216" s="118" t="s">
        <v>220</v>
      </c>
      <c r="H216" s="118" t="s">
        <v>220</v>
      </c>
      <c r="I216" s="117" t="str">
        <f aca="false">HYPERLINK("#'DL14. Buổi WOW 1-1'!P4","Mở ô")</f>
        <v>Mở ô</v>
      </c>
      <c r="J216" s="4"/>
      <c r="K216" s="4"/>
      <c r="L216" s="4"/>
      <c r="M216" s="4"/>
      <c r="N216" s="4"/>
      <c r="O216" s="4"/>
      <c r="P216" s="4"/>
      <c r="Q216" s="4"/>
      <c r="R216" s="4"/>
      <c r="S216" s="4"/>
      <c r="T216" s="4"/>
      <c r="U216" s="4"/>
      <c r="V216" s="4"/>
      <c r="W216" s="4"/>
      <c r="X216" s="4"/>
      <c r="Y216" s="4"/>
      <c r="Z216" s="4"/>
    </row>
    <row r="217" customFormat="false" ht="51" hidden="false" customHeight="true" outlineLevel="0" collapsed="false">
      <c r="A217" s="115" t="s">
        <v>825</v>
      </c>
      <c r="B217" s="116" t="s">
        <v>905</v>
      </c>
      <c r="C217" s="116" t="s">
        <v>857</v>
      </c>
      <c r="D217" s="115" t="s">
        <v>220</v>
      </c>
      <c r="E217" s="116" t="s">
        <v>220</v>
      </c>
      <c r="F217" s="116" t="s">
        <v>220</v>
      </c>
      <c r="G217" s="118" t="s">
        <v>220</v>
      </c>
      <c r="H217" s="118" t="s">
        <v>220</v>
      </c>
      <c r="I217" s="117" t="str">
        <f aca="false">HYPERLINK("#'DL14. Buổi WOW 1-1'!Q4","Mở ô")</f>
        <v>Mở ô</v>
      </c>
      <c r="J217" s="4"/>
      <c r="K217" s="4"/>
      <c r="L217" s="4"/>
      <c r="M217" s="4"/>
      <c r="N217" s="4"/>
      <c r="O217" s="4"/>
      <c r="P217" s="4"/>
      <c r="Q217" s="4"/>
      <c r="R217" s="4"/>
      <c r="S217" s="4"/>
      <c r="T217" s="4"/>
      <c r="U217" s="4"/>
      <c r="V217" s="4"/>
      <c r="W217" s="4"/>
      <c r="X217" s="4"/>
      <c r="Y217" s="4"/>
      <c r="Z217" s="4"/>
    </row>
    <row r="218" customFormat="false" ht="19.5" hidden="false" customHeight="true" outlineLevel="0" collapsed="false">
      <c r="A218" s="114" t="s">
        <v>707</v>
      </c>
      <c r="B218" s="114"/>
      <c r="C218" s="114"/>
      <c r="D218" s="114"/>
      <c r="E218" s="114"/>
      <c r="F218" s="114"/>
      <c r="G218" s="114"/>
      <c r="H218" s="114"/>
      <c r="I218" s="114"/>
      <c r="J218" s="4"/>
      <c r="K218" s="4"/>
      <c r="L218" s="4"/>
      <c r="M218" s="4"/>
      <c r="N218" s="4"/>
      <c r="O218" s="4"/>
      <c r="P218" s="4"/>
      <c r="Q218" s="4"/>
      <c r="R218" s="4"/>
      <c r="S218" s="4"/>
      <c r="T218" s="4"/>
      <c r="U218" s="4"/>
      <c r="V218" s="4"/>
      <c r="W218" s="4"/>
      <c r="X218" s="4"/>
      <c r="Y218" s="4"/>
      <c r="Z218" s="4"/>
    </row>
    <row r="219" customFormat="false" ht="51" hidden="false" customHeight="true" outlineLevel="0" collapsed="false">
      <c r="A219" s="115" t="s">
        <v>825</v>
      </c>
      <c r="B219" s="116" t="s">
        <v>850</v>
      </c>
      <c r="C219" s="116" t="s">
        <v>851</v>
      </c>
      <c r="D219" s="115" t="s">
        <v>220</v>
      </c>
      <c r="E219" s="116" t="s">
        <v>220</v>
      </c>
      <c r="F219" s="116" t="s">
        <v>220</v>
      </c>
      <c r="G219" s="118" t="s">
        <v>220</v>
      </c>
      <c r="H219" s="118" t="s">
        <v>220</v>
      </c>
      <c r="I219" s="117" t="str">
        <f aca="false">HYPERLINK("#'DL15. Khảo sát'!B4","Mở ô")</f>
        <v>Mở ô</v>
      </c>
      <c r="J219" s="4"/>
      <c r="K219" s="4"/>
      <c r="L219" s="4"/>
      <c r="M219" s="4"/>
      <c r="N219" s="4"/>
      <c r="O219" s="4"/>
      <c r="P219" s="4"/>
      <c r="Q219" s="4"/>
      <c r="R219" s="4"/>
      <c r="S219" s="4"/>
      <c r="T219" s="4"/>
      <c r="U219" s="4"/>
      <c r="V219" s="4"/>
      <c r="W219" s="4"/>
      <c r="X219" s="4"/>
      <c r="Y219" s="4"/>
      <c r="Z219" s="4"/>
    </row>
    <row r="220" customFormat="false" ht="51" hidden="false" customHeight="true" outlineLevel="0" collapsed="false">
      <c r="A220" s="115" t="s">
        <v>825</v>
      </c>
      <c r="B220" s="116" t="s">
        <v>872</v>
      </c>
      <c r="C220" s="116" t="s">
        <v>873</v>
      </c>
      <c r="D220" s="115" t="s">
        <v>220</v>
      </c>
      <c r="E220" s="116" t="s">
        <v>220</v>
      </c>
      <c r="F220" s="116" t="s">
        <v>220</v>
      </c>
      <c r="G220" s="118" t="s">
        <v>220</v>
      </c>
      <c r="H220" s="118" t="s">
        <v>220</v>
      </c>
      <c r="I220" s="117" t="str">
        <f aca="false">HYPERLINK("#'DL15. Khảo sát'!D4","Mở ô")</f>
        <v>Mở ô</v>
      </c>
      <c r="J220" s="4"/>
      <c r="K220" s="4"/>
      <c r="L220" s="4"/>
      <c r="M220" s="4"/>
      <c r="N220" s="4"/>
      <c r="O220" s="4"/>
      <c r="P220" s="4"/>
      <c r="Q220" s="4"/>
      <c r="R220" s="4"/>
      <c r="S220" s="4"/>
      <c r="T220" s="4"/>
      <c r="U220" s="4"/>
      <c r="V220" s="4"/>
      <c r="W220" s="4"/>
      <c r="X220" s="4"/>
      <c r="Y220" s="4"/>
      <c r="Z220" s="4"/>
    </row>
    <row r="221" customFormat="false" ht="51" hidden="false" customHeight="true" outlineLevel="0" collapsed="false">
      <c r="A221" s="115" t="s">
        <v>825</v>
      </c>
      <c r="B221" s="116" t="s">
        <v>906</v>
      </c>
      <c r="C221" s="116" t="s">
        <v>857</v>
      </c>
      <c r="D221" s="115" t="s">
        <v>220</v>
      </c>
      <c r="E221" s="116" t="s">
        <v>220</v>
      </c>
      <c r="F221" s="116" t="s">
        <v>220</v>
      </c>
      <c r="G221" s="118" t="s">
        <v>220</v>
      </c>
      <c r="H221" s="118" t="s">
        <v>220</v>
      </c>
      <c r="I221" s="117" t="str">
        <f aca="false">HYPERLINK("#'DL15. Khảo sát'!H4","Mở ô")</f>
        <v>Mở ô</v>
      </c>
      <c r="J221" s="4"/>
      <c r="K221" s="4"/>
      <c r="L221" s="4"/>
      <c r="M221" s="4"/>
      <c r="N221" s="4"/>
      <c r="O221" s="4"/>
      <c r="P221" s="4"/>
      <c r="Q221" s="4"/>
      <c r="R221" s="4"/>
      <c r="S221" s="4"/>
      <c r="T221" s="4"/>
      <c r="U221" s="4"/>
      <c r="V221" s="4"/>
      <c r="W221" s="4"/>
      <c r="X221" s="4"/>
      <c r="Y221" s="4"/>
      <c r="Z221" s="4"/>
    </row>
    <row r="222" customFormat="false" ht="51" hidden="false" customHeight="true" outlineLevel="0" collapsed="false">
      <c r="A222" s="115" t="s">
        <v>825</v>
      </c>
      <c r="B222" s="116" t="s">
        <v>907</v>
      </c>
      <c r="C222" s="116" t="s">
        <v>857</v>
      </c>
      <c r="D222" s="115" t="s">
        <v>220</v>
      </c>
      <c r="E222" s="116" t="s">
        <v>220</v>
      </c>
      <c r="F222" s="116" t="s">
        <v>220</v>
      </c>
      <c r="G222" s="118" t="s">
        <v>220</v>
      </c>
      <c r="H222" s="118" t="s">
        <v>220</v>
      </c>
      <c r="I222" s="117" t="str">
        <f aca="false">HYPERLINK("#'DL15. Khảo sát'!O4","Mở ô")</f>
        <v>Mở ô</v>
      </c>
      <c r="J222" s="4"/>
      <c r="K222" s="4"/>
      <c r="L222" s="4"/>
      <c r="M222" s="4"/>
      <c r="N222" s="4"/>
      <c r="O222" s="4"/>
      <c r="P222" s="4"/>
      <c r="Q222" s="4"/>
      <c r="R222" s="4"/>
      <c r="S222" s="4"/>
      <c r="T222" s="4"/>
      <c r="U222" s="4"/>
      <c r="V222" s="4"/>
      <c r="W222" s="4"/>
      <c r="X222" s="4"/>
      <c r="Y222" s="4"/>
      <c r="Z222" s="4"/>
    </row>
    <row r="223" customFormat="false" ht="51" hidden="false" customHeight="true" outlineLevel="0" collapsed="false">
      <c r="A223" s="115" t="s">
        <v>825</v>
      </c>
      <c r="B223" s="116" t="s">
        <v>875</v>
      </c>
      <c r="C223" s="116" t="s">
        <v>876</v>
      </c>
      <c r="D223" s="115" t="s">
        <v>220</v>
      </c>
      <c r="E223" s="116" t="s">
        <v>220</v>
      </c>
      <c r="F223" s="116" t="s">
        <v>220</v>
      </c>
      <c r="G223" s="118" t="s">
        <v>220</v>
      </c>
      <c r="H223" s="118" t="s">
        <v>220</v>
      </c>
      <c r="I223" s="117" t="str">
        <f aca="false">HYPERLINK("#'DL15. Khảo sát'!S4","Mở ô")</f>
        <v>Mở ô</v>
      </c>
      <c r="J223" s="4"/>
      <c r="K223" s="4"/>
      <c r="L223" s="4"/>
      <c r="M223" s="4"/>
      <c r="N223" s="4"/>
      <c r="O223" s="4"/>
      <c r="P223" s="4"/>
      <c r="Q223" s="4"/>
      <c r="R223" s="4"/>
      <c r="S223" s="4"/>
      <c r="T223" s="4"/>
      <c r="U223" s="4"/>
      <c r="V223" s="4"/>
      <c r="W223" s="4"/>
      <c r="X223" s="4"/>
      <c r="Y223" s="4"/>
      <c r="Z223" s="4"/>
    </row>
    <row r="224" customFormat="false" ht="19.5" hidden="false" customHeight="true" outlineLevel="0" collapsed="false">
      <c r="A224" s="114" t="s">
        <v>720</v>
      </c>
      <c r="B224" s="114"/>
      <c r="C224" s="114"/>
      <c r="D224" s="114"/>
      <c r="E224" s="114"/>
      <c r="F224" s="114"/>
      <c r="G224" s="114"/>
      <c r="H224" s="114"/>
      <c r="I224" s="114"/>
      <c r="J224" s="4"/>
      <c r="K224" s="4"/>
      <c r="L224" s="4"/>
      <c r="M224" s="4"/>
      <c r="N224" s="4"/>
      <c r="O224" s="4"/>
      <c r="P224" s="4"/>
      <c r="Q224" s="4"/>
      <c r="R224" s="4"/>
      <c r="S224" s="4"/>
      <c r="T224" s="4"/>
      <c r="U224" s="4"/>
      <c r="V224" s="4"/>
      <c r="W224" s="4"/>
      <c r="X224" s="4"/>
      <c r="Y224" s="4"/>
      <c r="Z224" s="4"/>
    </row>
    <row r="225" customFormat="false" ht="51" hidden="false" customHeight="true" outlineLevel="0" collapsed="false">
      <c r="A225" s="115" t="s">
        <v>825</v>
      </c>
      <c r="B225" s="116" t="s">
        <v>850</v>
      </c>
      <c r="C225" s="116" t="s">
        <v>851</v>
      </c>
      <c r="D225" s="115" t="s">
        <v>220</v>
      </c>
      <c r="E225" s="116" t="s">
        <v>220</v>
      </c>
      <c r="F225" s="116" t="s">
        <v>220</v>
      </c>
      <c r="G225" s="118" t="s">
        <v>220</v>
      </c>
      <c r="H225" s="118" t="s">
        <v>220</v>
      </c>
      <c r="I225" s="117" t="str">
        <f aca="false">HYPERLINK("#'DL16. Phản hồi'!C4","Mở ô")</f>
        <v>Mở ô</v>
      </c>
      <c r="J225" s="4"/>
      <c r="K225" s="4"/>
      <c r="L225" s="4"/>
      <c r="M225" s="4"/>
      <c r="N225" s="4"/>
      <c r="O225" s="4"/>
      <c r="P225" s="4"/>
      <c r="Q225" s="4"/>
      <c r="R225" s="4"/>
      <c r="S225" s="4"/>
      <c r="T225" s="4"/>
      <c r="U225" s="4"/>
      <c r="V225" s="4"/>
      <c r="W225" s="4"/>
      <c r="X225" s="4"/>
      <c r="Y225" s="4"/>
      <c r="Z225" s="4"/>
    </row>
    <row r="226" customFormat="false" ht="51" hidden="false" customHeight="true" outlineLevel="0" collapsed="false">
      <c r="A226" s="115" t="s">
        <v>825</v>
      </c>
      <c r="B226" s="116" t="s">
        <v>872</v>
      </c>
      <c r="C226" s="116" t="s">
        <v>873</v>
      </c>
      <c r="D226" s="115" t="s">
        <v>220</v>
      </c>
      <c r="E226" s="116" t="s">
        <v>220</v>
      </c>
      <c r="F226" s="116" t="s">
        <v>220</v>
      </c>
      <c r="G226" s="118" t="s">
        <v>220</v>
      </c>
      <c r="H226" s="118" t="s">
        <v>220</v>
      </c>
      <c r="I226" s="117" t="str">
        <f aca="false">HYPERLINK("#'DL16. Phản hồi'!D4","Mở ô")</f>
        <v>Mở ô</v>
      </c>
      <c r="J226" s="4"/>
      <c r="K226" s="4"/>
      <c r="L226" s="4"/>
      <c r="M226" s="4"/>
      <c r="N226" s="4"/>
      <c r="O226" s="4"/>
      <c r="P226" s="4"/>
      <c r="Q226" s="4"/>
      <c r="R226" s="4"/>
      <c r="S226" s="4"/>
      <c r="T226" s="4"/>
      <c r="U226" s="4"/>
      <c r="V226" s="4"/>
      <c r="W226" s="4"/>
      <c r="X226" s="4"/>
      <c r="Y226" s="4"/>
      <c r="Z226" s="4"/>
    </row>
    <row r="227" customFormat="false" ht="51" hidden="false" customHeight="true" outlineLevel="0" collapsed="false">
      <c r="A227" s="115" t="s">
        <v>825</v>
      </c>
      <c r="B227" s="116" t="s">
        <v>862</v>
      </c>
      <c r="C227" s="116" t="s">
        <v>863</v>
      </c>
      <c r="D227" s="115" t="s">
        <v>220</v>
      </c>
      <c r="E227" s="116" t="s">
        <v>220</v>
      </c>
      <c r="F227" s="116" t="s">
        <v>220</v>
      </c>
      <c r="G227" s="118" t="s">
        <v>220</v>
      </c>
      <c r="H227" s="118" t="s">
        <v>220</v>
      </c>
      <c r="I227" s="117" t="str">
        <f aca="false">HYPERLINK("#'DL16. Phản hồi'!S4","Mở ô")</f>
        <v>Mở ô</v>
      </c>
      <c r="J227" s="4"/>
      <c r="K227" s="4"/>
      <c r="L227" s="4"/>
      <c r="M227" s="4"/>
      <c r="N227" s="4"/>
      <c r="O227" s="4"/>
      <c r="P227" s="4"/>
      <c r="Q227" s="4"/>
      <c r="R227" s="4"/>
      <c r="S227" s="4"/>
      <c r="T227" s="4"/>
      <c r="U227" s="4"/>
      <c r="V227" s="4"/>
      <c r="W227" s="4"/>
      <c r="X227" s="4"/>
      <c r="Y227" s="4"/>
      <c r="Z227" s="4"/>
    </row>
    <row r="228" customFormat="false" ht="51" hidden="false" customHeight="true" outlineLevel="0" collapsed="false">
      <c r="A228" s="115" t="s">
        <v>825</v>
      </c>
      <c r="B228" s="116" t="s">
        <v>875</v>
      </c>
      <c r="C228" s="116" t="s">
        <v>876</v>
      </c>
      <c r="D228" s="115" t="s">
        <v>220</v>
      </c>
      <c r="E228" s="116" t="s">
        <v>220</v>
      </c>
      <c r="F228" s="116" t="s">
        <v>220</v>
      </c>
      <c r="G228" s="118" t="s">
        <v>220</v>
      </c>
      <c r="H228" s="118" t="s">
        <v>220</v>
      </c>
      <c r="I228" s="117" t="str">
        <f aca="false">HYPERLINK("#'DL16. Phản hồi'!T4","Mở ô")</f>
        <v>Mở ô</v>
      </c>
      <c r="J228" s="4"/>
      <c r="K228" s="4"/>
      <c r="L228" s="4"/>
      <c r="M228" s="4"/>
      <c r="N228" s="4"/>
      <c r="O228" s="4"/>
      <c r="P228" s="4"/>
      <c r="Q228" s="4"/>
      <c r="R228" s="4"/>
      <c r="S228" s="4"/>
      <c r="T228" s="4"/>
      <c r="U228" s="4"/>
      <c r="V228" s="4"/>
      <c r="W228" s="4"/>
      <c r="X228" s="4"/>
      <c r="Y228" s="4"/>
      <c r="Z228" s="4"/>
    </row>
    <row r="229" customFormat="false" ht="19.5" hidden="false" customHeight="true" outlineLevel="0" collapsed="false">
      <c r="A229" s="114" t="s">
        <v>733</v>
      </c>
      <c r="B229" s="114"/>
      <c r="C229" s="114"/>
      <c r="D229" s="114"/>
      <c r="E229" s="114"/>
      <c r="F229" s="114"/>
      <c r="G229" s="114"/>
      <c r="H229" s="114"/>
      <c r="I229" s="114"/>
      <c r="J229" s="4"/>
      <c r="K229" s="4"/>
      <c r="L229" s="4"/>
      <c r="M229" s="4"/>
      <c r="N229" s="4"/>
      <c r="O229" s="4"/>
      <c r="P229" s="4"/>
      <c r="Q229" s="4"/>
      <c r="R229" s="4"/>
      <c r="S229" s="4"/>
      <c r="T229" s="4"/>
      <c r="U229" s="4"/>
      <c r="V229" s="4"/>
      <c r="W229" s="4"/>
      <c r="X229" s="4"/>
      <c r="Y229" s="4"/>
      <c r="Z229" s="4"/>
    </row>
    <row r="230" customFormat="false" ht="51" hidden="false" customHeight="true" outlineLevel="0" collapsed="false">
      <c r="A230" s="115" t="s">
        <v>825</v>
      </c>
      <c r="B230" s="116" t="s">
        <v>850</v>
      </c>
      <c r="C230" s="116" t="s">
        <v>851</v>
      </c>
      <c r="D230" s="115" t="s">
        <v>220</v>
      </c>
      <c r="E230" s="116" t="s">
        <v>220</v>
      </c>
      <c r="F230" s="116" t="s">
        <v>220</v>
      </c>
      <c r="G230" s="118" t="s">
        <v>220</v>
      </c>
      <c r="H230" s="118" t="s">
        <v>220</v>
      </c>
      <c r="I230" s="117" t="str">
        <f aca="false">HYPERLINK("#'DL17. Khiếu nại'!B4","Mở ô")</f>
        <v>Mở ô</v>
      </c>
      <c r="J230" s="4"/>
      <c r="K230" s="4"/>
      <c r="L230" s="4"/>
      <c r="M230" s="4"/>
      <c r="N230" s="4"/>
      <c r="O230" s="4"/>
      <c r="P230" s="4"/>
      <c r="Q230" s="4"/>
      <c r="R230" s="4"/>
      <c r="S230" s="4"/>
      <c r="T230" s="4"/>
      <c r="U230" s="4"/>
      <c r="V230" s="4"/>
      <c r="W230" s="4"/>
      <c r="X230" s="4"/>
      <c r="Y230" s="4"/>
      <c r="Z230" s="4"/>
    </row>
    <row r="231" customFormat="false" ht="51" hidden="false" customHeight="true" outlineLevel="0" collapsed="false">
      <c r="A231" s="115" t="s">
        <v>825</v>
      </c>
      <c r="B231" s="116" t="s">
        <v>872</v>
      </c>
      <c r="C231" s="116" t="s">
        <v>873</v>
      </c>
      <c r="D231" s="115" t="s">
        <v>220</v>
      </c>
      <c r="E231" s="116" t="s">
        <v>220</v>
      </c>
      <c r="F231" s="116" t="s">
        <v>220</v>
      </c>
      <c r="G231" s="118" t="s">
        <v>220</v>
      </c>
      <c r="H231" s="118" t="s">
        <v>220</v>
      </c>
      <c r="I231" s="117" t="str">
        <f aca="false">HYPERLINK("#'DL17. Khiếu nại'!C4","Mở ô")</f>
        <v>Mở ô</v>
      </c>
      <c r="J231" s="4"/>
      <c r="K231" s="4"/>
      <c r="L231" s="4"/>
      <c r="M231" s="4"/>
      <c r="N231" s="4"/>
      <c r="O231" s="4"/>
      <c r="P231" s="4"/>
      <c r="Q231" s="4"/>
      <c r="R231" s="4"/>
      <c r="S231" s="4"/>
      <c r="T231" s="4"/>
      <c r="U231" s="4"/>
      <c r="V231" s="4"/>
      <c r="W231" s="4"/>
      <c r="X231" s="4"/>
      <c r="Y231" s="4"/>
      <c r="Z231" s="4"/>
    </row>
    <row r="232" customFormat="false" ht="51" hidden="false" customHeight="true" outlineLevel="0" collapsed="false">
      <c r="A232" s="115" t="s">
        <v>825</v>
      </c>
      <c r="B232" s="116" t="s">
        <v>908</v>
      </c>
      <c r="C232" s="116" t="s">
        <v>909</v>
      </c>
      <c r="D232" s="115" t="s">
        <v>220</v>
      </c>
      <c r="E232" s="116" t="s">
        <v>220</v>
      </c>
      <c r="F232" s="116" t="s">
        <v>220</v>
      </c>
      <c r="G232" s="118" t="s">
        <v>220</v>
      </c>
      <c r="H232" s="118" t="s">
        <v>220</v>
      </c>
      <c r="I232" s="117" t="str">
        <f aca="false">HYPERLINK("#'DL17. Khiếu nại'!D4","Mở ô")</f>
        <v>Mở ô</v>
      </c>
      <c r="J232" s="4"/>
      <c r="K232" s="4"/>
      <c r="L232" s="4"/>
      <c r="M232" s="4"/>
      <c r="N232" s="4"/>
      <c r="O232" s="4"/>
      <c r="P232" s="4"/>
      <c r="Q232" s="4"/>
      <c r="R232" s="4"/>
      <c r="S232" s="4"/>
      <c r="T232" s="4"/>
      <c r="U232" s="4"/>
      <c r="V232" s="4"/>
      <c r="W232" s="4"/>
      <c r="X232" s="4"/>
      <c r="Y232" s="4"/>
      <c r="Z232" s="4"/>
    </row>
    <row r="233" customFormat="false" ht="51" hidden="false" customHeight="true" outlineLevel="0" collapsed="false">
      <c r="A233" s="115" t="s">
        <v>825</v>
      </c>
      <c r="B233" s="116" t="s">
        <v>874</v>
      </c>
      <c r="C233" s="116" t="s">
        <v>857</v>
      </c>
      <c r="D233" s="115" t="s">
        <v>220</v>
      </c>
      <c r="E233" s="116" t="s">
        <v>220</v>
      </c>
      <c r="F233" s="116" t="s">
        <v>220</v>
      </c>
      <c r="G233" s="118" t="s">
        <v>220</v>
      </c>
      <c r="H233" s="118" t="s">
        <v>220</v>
      </c>
      <c r="I233" s="117" t="str">
        <f aca="false">HYPERLINK("#'DL17. Khiếu nại'!R4","Mở ô")</f>
        <v>Mở ô</v>
      </c>
      <c r="J233" s="4"/>
      <c r="K233" s="4"/>
      <c r="L233" s="4"/>
      <c r="M233" s="4"/>
      <c r="N233" s="4"/>
      <c r="O233" s="4"/>
      <c r="P233" s="4"/>
      <c r="Q233" s="4"/>
      <c r="R233" s="4"/>
      <c r="S233" s="4"/>
      <c r="T233" s="4"/>
      <c r="U233" s="4"/>
      <c r="V233" s="4"/>
      <c r="W233" s="4"/>
      <c r="X233" s="4"/>
      <c r="Y233" s="4"/>
      <c r="Z233" s="4"/>
    </row>
    <row r="234" customFormat="false" ht="51" hidden="false" customHeight="true" outlineLevel="0" collapsed="false">
      <c r="A234" s="115" t="s">
        <v>825</v>
      </c>
      <c r="B234" s="116" t="s">
        <v>862</v>
      </c>
      <c r="C234" s="116" t="s">
        <v>863</v>
      </c>
      <c r="D234" s="115" t="s">
        <v>220</v>
      </c>
      <c r="E234" s="116" t="s">
        <v>220</v>
      </c>
      <c r="F234" s="116" t="s">
        <v>220</v>
      </c>
      <c r="G234" s="118" t="s">
        <v>220</v>
      </c>
      <c r="H234" s="118" t="s">
        <v>220</v>
      </c>
      <c r="I234" s="117" t="str">
        <f aca="false">HYPERLINK("#'DL17. Khiếu nại'!U4","Mở ô")</f>
        <v>Mở ô</v>
      </c>
      <c r="J234" s="4"/>
      <c r="K234" s="4"/>
      <c r="L234" s="4"/>
      <c r="M234" s="4"/>
      <c r="N234" s="4"/>
      <c r="O234" s="4"/>
      <c r="P234" s="4"/>
      <c r="Q234" s="4"/>
      <c r="R234" s="4"/>
      <c r="S234" s="4"/>
      <c r="T234" s="4"/>
      <c r="U234" s="4"/>
      <c r="V234" s="4"/>
      <c r="W234" s="4"/>
      <c r="X234" s="4"/>
      <c r="Y234" s="4"/>
      <c r="Z234" s="4"/>
    </row>
    <row r="235" customFormat="false" ht="19.5" hidden="false" customHeight="true" outlineLevel="0" collapsed="false">
      <c r="A235" s="114" t="s">
        <v>753</v>
      </c>
      <c r="B235" s="114"/>
      <c r="C235" s="114"/>
      <c r="D235" s="114"/>
      <c r="E235" s="114"/>
      <c r="F235" s="114"/>
      <c r="G235" s="114"/>
      <c r="H235" s="114"/>
      <c r="I235" s="114"/>
      <c r="J235" s="4"/>
      <c r="K235" s="4"/>
      <c r="L235" s="4"/>
      <c r="M235" s="4"/>
      <c r="N235" s="4"/>
      <c r="O235" s="4"/>
      <c r="P235" s="4"/>
      <c r="Q235" s="4"/>
      <c r="R235" s="4"/>
      <c r="S235" s="4"/>
      <c r="T235" s="4"/>
      <c r="U235" s="4"/>
      <c r="V235" s="4"/>
      <c r="W235" s="4"/>
      <c r="X235" s="4"/>
      <c r="Y235" s="4"/>
      <c r="Z235" s="4"/>
    </row>
    <row r="236" customFormat="false" ht="51" hidden="false" customHeight="true" outlineLevel="0" collapsed="false">
      <c r="A236" s="115" t="s">
        <v>825</v>
      </c>
      <c r="B236" s="116" t="s">
        <v>850</v>
      </c>
      <c r="C236" s="116" t="s">
        <v>851</v>
      </c>
      <c r="D236" s="115" t="s">
        <v>220</v>
      </c>
      <c r="E236" s="116" t="s">
        <v>220</v>
      </c>
      <c r="F236" s="116" t="s">
        <v>220</v>
      </c>
      <c r="G236" s="118" t="s">
        <v>220</v>
      </c>
      <c r="H236" s="118" t="s">
        <v>220</v>
      </c>
      <c r="I236" s="117" t="str">
        <f aca="false">HYPERLINK("#'DL18. Kết thúc khóa'!B4","Mở ô")</f>
        <v>Mở ô</v>
      </c>
      <c r="J236" s="4"/>
      <c r="K236" s="4"/>
      <c r="L236" s="4"/>
      <c r="M236" s="4"/>
      <c r="N236" s="4"/>
      <c r="O236" s="4"/>
      <c r="P236" s="4"/>
      <c r="Q236" s="4"/>
      <c r="R236" s="4"/>
      <c r="S236" s="4"/>
      <c r="T236" s="4"/>
      <c r="U236" s="4"/>
      <c r="V236" s="4"/>
      <c r="W236" s="4"/>
      <c r="X236" s="4"/>
      <c r="Y236" s="4"/>
      <c r="Z236" s="4"/>
    </row>
    <row r="237" customFormat="false" ht="51" hidden="false" customHeight="true" outlineLevel="0" collapsed="false">
      <c r="A237" s="115" t="s">
        <v>825</v>
      </c>
      <c r="B237" s="116" t="s">
        <v>867</v>
      </c>
      <c r="C237" s="116" t="s">
        <v>868</v>
      </c>
      <c r="D237" s="115" t="s">
        <v>220</v>
      </c>
      <c r="E237" s="116" t="s">
        <v>220</v>
      </c>
      <c r="F237" s="116" t="s">
        <v>220</v>
      </c>
      <c r="G237" s="118" t="s">
        <v>220</v>
      </c>
      <c r="H237" s="118" t="s">
        <v>220</v>
      </c>
      <c r="I237" s="117" t="str">
        <f aca="false">HYPERLINK("#'DL18. Kết thúc khóa'!C4","Mở ô")</f>
        <v>Mở ô</v>
      </c>
      <c r="J237" s="4"/>
      <c r="K237" s="4"/>
      <c r="L237" s="4"/>
      <c r="M237" s="4"/>
      <c r="N237" s="4"/>
      <c r="O237" s="4"/>
      <c r="P237" s="4"/>
      <c r="Q237" s="4"/>
      <c r="R237" s="4"/>
      <c r="S237" s="4"/>
      <c r="T237" s="4"/>
      <c r="U237" s="4"/>
      <c r="V237" s="4"/>
      <c r="W237" s="4"/>
      <c r="X237" s="4"/>
      <c r="Y237" s="4"/>
      <c r="Z237" s="4"/>
    </row>
    <row r="238" customFormat="false" ht="51" hidden="false" customHeight="true" outlineLevel="0" collapsed="false">
      <c r="A238" s="115" t="s">
        <v>825</v>
      </c>
      <c r="B238" s="116" t="s">
        <v>872</v>
      </c>
      <c r="C238" s="116" t="s">
        <v>873</v>
      </c>
      <c r="D238" s="115" t="s">
        <v>220</v>
      </c>
      <c r="E238" s="116" t="s">
        <v>220</v>
      </c>
      <c r="F238" s="116" t="s">
        <v>220</v>
      </c>
      <c r="G238" s="118" t="s">
        <v>220</v>
      </c>
      <c r="H238" s="118" t="s">
        <v>220</v>
      </c>
      <c r="I238" s="117" t="str">
        <f aca="false">HYPERLINK("#'DL18. Kết thúc khóa'!D4","Mở ô")</f>
        <v>Mở ô</v>
      </c>
      <c r="J238" s="4"/>
      <c r="K238" s="4"/>
      <c r="L238" s="4"/>
      <c r="M238" s="4"/>
      <c r="N238" s="4"/>
      <c r="O238" s="4"/>
      <c r="P238" s="4"/>
      <c r="Q238" s="4"/>
      <c r="R238" s="4"/>
      <c r="S238" s="4"/>
      <c r="T238" s="4"/>
      <c r="U238" s="4"/>
      <c r="V238" s="4"/>
      <c r="W238" s="4"/>
      <c r="X238" s="4"/>
      <c r="Y238" s="4"/>
      <c r="Z238" s="4"/>
    </row>
    <row r="239" customFormat="false" ht="51" hidden="false" customHeight="true" outlineLevel="0" collapsed="false">
      <c r="A239" s="115" t="s">
        <v>825</v>
      </c>
      <c r="B239" s="116" t="s">
        <v>910</v>
      </c>
      <c r="C239" s="116" t="s">
        <v>911</v>
      </c>
      <c r="D239" s="115" t="s">
        <v>220</v>
      </c>
      <c r="E239" s="116" t="s">
        <v>220</v>
      </c>
      <c r="F239" s="116" t="s">
        <v>220</v>
      </c>
      <c r="G239" s="118" t="s">
        <v>220</v>
      </c>
      <c r="H239" s="118" t="s">
        <v>220</v>
      </c>
      <c r="I239" s="117" t="str">
        <f aca="false">HYPERLINK("#'DL18. Kết thúc khóa'!G4","Mở ô")</f>
        <v>Mở ô</v>
      </c>
      <c r="J239" s="4"/>
      <c r="K239" s="4"/>
      <c r="L239" s="4"/>
      <c r="M239" s="4"/>
      <c r="N239" s="4"/>
      <c r="O239" s="4"/>
      <c r="P239" s="4"/>
      <c r="Q239" s="4"/>
      <c r="R239" s="4"/>
      <c r="S239" s="4"/>
      <c r="T239" s="4"/>
      <c r="U239" s="4"/>
      <c r="V239" s="4"/>
      <c r="W239" s="4"/>
      <c r="X239" s="4"/>
      <c r="Y239" s="4"/>
      <c r="Z239" s="4"/>
    </row>
    <row r="240" customFormat="false" ht="51" hidden="false" customHeight="true" outlineLevel="0" collapsed="false">
      <c r="A240" s="115" t="s">
        <v>825</v>
      </c>
      <c r="B240" s="116" t="s">
        <v>912</v>
      </c>
      <c r="C240" s="116" t="s">
        <v>913</v>
      </c>
      <c r="D240" s="115" t="s">
        <v>220</v>
      </c>
      <c r="E240" s="116" t="s">
        <v>220</v>
      </c>
      <c r="F240" s="116" t="s">
        <v>220</v>
      </c>
      <c r="G240" s="118" t="s">
        <v>220</v>
      </c>
      <c r="H240" s="118" t="s">
        <v>220</v>
      </c>
      <c r="I240" s="117" t="str">
        <f aca="false">HYPERLINK("#'DL18. Kết thúc khóa'!H4","Mở ô")</f>
        <v>Mở ô</v>
      </c>
      <c r="J240" s="4"/>
      <c r="K240" s="4"/>
      <c r="L240" s="4"/>
      <c r="M240" s="4"/>
      <c r="N240" s="4"/>
      <c r="O240" s="4"/>
      <c r="P240" s="4"/>
      <c r="Q240" s="4"/>
      <c r="R240" s="4"/>
      <c r="S240" s="4"/>
      <c r="T240" s="4"/>
      <c r="U240" s="4"/>
      <c r="V240" s="4"/>
      <c r="W240" s="4"/>
      <c r="X240" s="4"/>
      <c r="Y240" s="4"/>
      <c r="Z240" s="4"/>
    </row>
    <row r="241" customFormat="false" ht="51" hidden="false" customHeight="true" outlineLevel="0" collapsed="false">
      <c r="A241" s="115" t="s">
        <v>825</v>
      </c>
      <c r="B241" s="116" t="s">
        <v>862</v>
      </c>
      <c r="C241" s="116" t="s">
        <v>863</v>
      </c>
      <c r="D241" s="115" t="s">
        <v>220</v>
      </c>
      <c r="E241" s="116" t="s">
        <v>220</v>
      </c>
      <c r="F241" s="116" t="s">
        <v>220</v>
      </c>
      <c r="G241" s="118" t="s">
        <v>220</v>
      </c>
      <c r="H241" s="118" t="s">
        <v>220</v>
      </c>
      <c r="I241" s="117" t="str">
        <f aca="false">HYPERLINK("#'DL18. Kết thúc khóa'!Z4","Mở ô")</f>
        <v>Mở ô</v>
      </c>
      <c r="J241" s="4"/>
      <c r="K241" s="4"/>
      <c r="L241" s="4"/>
      <c r="M241" s="4"/>
      <c r="N241" s="4"/>
      <c r="O241" s="4"/>
      <c r="P241" s="4"/>
      <c r="Q241" s="4"/>
      <c r="R241" s="4"/>
      <c r="S241" s="4"/>
      <c r="T241" s="4"/>
      <c r="U241" s="4"/>
      <c r="V241" s="4"/>
      <c r="W241" s="4"/>
      <c r="X241" s="4"/>
      <c r="Y241" s="4"/>
      <c r="Z241" s="4"/>
    </row>
    <row r="242" customFormat="false" ht="51" hidden="false" customHeight="true" outlineLevel="0" collapsed="false">
      <c r="A242" s="115" t="s">
        <v>825</v>
      </c>
      <c r="B242" s="116" t="s">
        <v>875</v>
      </c>
      <c r="C242" s="116" t="s">
        <v>876</v>
      </c>
      <c r="D242" s="115" t="s">
        <v>220</v>
      </c>
      <c r="E242" s="116" t="s">
        <v>220</v>
      </c>
      <c r="F242" s="116" t="s">
        <v>220</v>
      </c>
      <c r="G242" s="118" t="s">
        <v>220</v>
      </c>
      <c r="H242" s="118" t="s">
        <v>220</v>
      </c>
      <c r="I242" s="117" t="str">
        <f aca="false">HYPERLINK("#'DL18. Kết thúc khóa'!AA4","Mở ô")</f>
        <v>Mở ô</v>
      </c>
      <c r="J242" s="4"/>
      <c r="K242" s="4"/>
      <c r="L242" s="4"/>
      <c r="M242" s="4"/>
      <c r="N242" s="4"/>
      <c r="O242" s="4"/>
      <c r="P242" s="4"/>
      <c r="Q242" s="4"/>
      <c r="R242" s="4"/>
      <c r="S242" s="4"/>
      <c r="T242" s="4"/>
      <c r="U242" s="4"/>
      <c r="V242" s="4"/>
      <c r="W242" s="4"/>
      <c r="X242" s="4"/>
      <c r="Y242" s="4"/>
      <c r="Z242" s="4"/>
    </row>
    <row r="243" customFormat="false" ht="21.75" hidden="false" customHeight="true" outlineLevel="0" collapsed="false">
      <c r="A243" s="113" t="s">
        <v>914</v>
      </c>
      <c r="B243" s="113"/>
      <c r="C243" s="113"/>
      <c r="D243" s="113"/>
      <c r="E243" s="113"/>
      <c r="F243" s="113"/>
      <c r="G243" s="113"/>
      <c r="H243" s="113"/>
      <c r="I243" s="113"/>
      <c r="J243" s="4"/>
      <c r="K243" s="4"/>
      <c r="L243" s="4"/>
      <c r="M243" s="4"/>
      <c r="N243" s="4"/>
      <c r="O243" s="4"/>
      <c r="P243" s="4"/>
      <c r="Q243" s="4"/>
      <c r="R243" s="4"/>
      <c r="S243" s="4"/>
      <c r="T243" s="4"/>
      <c r="U243" s="4"/>
      <c r="V243" s="4"/>
      <c r="W243" s="4"/>
      <c r="X243" s="4"/>
      <c r="Y243" s="4"/>
      <c r="Z243" s="4"/>
    </row>
    <row r="244" customFormat="false" ht="51" hidden="false" customHeight="true" outlineLevel="0" collapsed="false">
      <c r="A244" s="115" t="s">
        <v>915</v>
      </c>
      <c r="B244" s="116" t="s">
        <v>916</v>
      </c>
      <c r="C244" s="116" t="s">
        <v>917</v>
      </c>
      <c r="D244" s="115" t="s">
        <v>220</v>
      </c>
      <c r="E244" s="116" t="s">
        <v>220</v>
      </c>
      <c r="F244" s="116" t="s">
        <v>220</v>
      </c>
      <c r="G244" s="118" t="s">
        <v>918</v>
      </c>
      <c r="H244" s="118" t="s">
        <v>220</v>
      </c>
      <c r="I244" s="117" t="str">
        <f aca="false">HYPERLINK("#'BC1. Học viên nguy cơ'!A1","Mở bảng")</f>
        <v>Mở bảng</v>
      </c>
      <c r="J244" s="4"/>
      <c r="K244" s="4"/>
      <c r="L244" s="4"/>
      <c r="M244" s="4"/>
      <c r="N244" s="4"/>
      <c r="O244" s="4"/>
      <c r="P244" s="4"/>
      <c r="Q244" s="4"/>
      <c r="R244" s="4"/>
      <c r="S244" s="4"/>
      <c r="T244" s="4"/>
      <c r="U244" s="4"/>
      <c r="V244" s="4"/>
      <c r="W244" s="4"/>
      <c r="X244" s="4"/>
      <c r="Y244" s="4"/>
      <c r="Z244" s="4"/>
    </row>
    <row r="245" customFormat="false" ht="51" hidden="false" customHeight="true" outlineLevel="0" collapsed="false">
      <c r="A245" s="115" t="s">
        <v>915</v>
      </c>
      <c r="B245" s="116" t="s">
        <v>919</v>
      </c>
      <c r="C245" s="116" t="s">
        <v>920</v>
      </c>
      <c r="D245" s="115" t="s">
        <v>220</v>
      </c>
      <c r="E245" s="116" t="s">
        <v>220</v>
      </c>
      <c r="F245" s="116" t="s">
        <v>220</v>
      </c>
      <c r="G245" s="118" t="s">
        <v>220</v>
      </c>
      <c r="H245" s="118" t="s">
        <v>220</v>
      </c>
      <c r="I245" s="117" t="str">
        <f aca="false">HYPERLINK("#'BC5. Bảng NV Tư vấn'!A1","Mở bảng")</f>
        <v>Mở bảng</v>
      </c>
      <c r="J245" s="4"/>
      <c r="K245" s="4"/>
      <c r="L245" s="4"/>
      <c r="M245" s="4"/>
      <c r="N245" s="4"/>
      <c r="O245" s="4"/>
      <c r="P245" s="4"/>
      <c r="Q245" s="4"/>
      <c r="R245" s="4"/>
      <c r="S245" s="4"/>
      <c r="T245" s="4"/>
      <c r="U245" s="4"/>
      <c r="V245" s="4"/>
      <c r="W245" s="4"/>
      <c r="X245" s="4"/>
      <c r="Y245" s="4"/>
      <c r="Z245" s="4"/>
    </row>
    <row r="246" customFormat="false" ht="51" hidden="false" customHeight="true" outlineLevel="0" collapsed="false">
      <c r="A246" s="115" t="s">
        <v>915</v>
      </c>
      <c r="B246" s="116" t="s">
        <v>921</v>
      </c>
      <c r="C246" s="116" t="s">
        <v>922</v>
      </c>
      <c r="D246" s="115" t="s">
        <v>220</v>
      </c>
      <c r="E246" s="116" t="s">
        <v>220</v>
      </c>
      <c r="F246" s="116" t="s">
        <v>220</v>
      </c>
      <c r="G246" s="118" t="s">
        <v>923</v>
      </c>
      <c r="H246" s="118" t="s">
        <v>220</v>
      </c>
      <c r="I246" s="117" t="str">
        <f aca="false">HYPERLINK("#'BC6. Bảng NV WOW'!A1","Mở bảng")</f>
        <v>Mở bảng</v>
      </c>
      <c r="J246" s="4"/>
      <c r="K246" s="4"/>
      <c r="L246" s="4"/>
      <c r="M246" s="4"/>
      <c r="N246" s="4"/>
      <c r="O246" s="4"/>
      <c r="P246" s="4"/>
      <c r="Q246" s="4"/>
      <c r="R246" s="4"/>
      <c r="S246" s="4"/>
      <c r="T246" s="4"/>
      <c r="U246" s="4"/>
      <c r="V246" s="4"/>
      <c r="W246" s="4"/>
      <c r="X246" s="4"/>
      <c r="Y246" s="4"/>
      <c r="Z246" s="4"/>
    </row>
    <row r="247" customFormat="false" ht="51" hidden="false" customHeight="true" outlineLevel="0" collapsed="false">
      <c r="A247" s="115" t="s">
        <v>915</v>
      </c>
      <c r="B247" s="116" t="s">
        <v>924</v>
      </c>
      <c r="C247" s="116" t="s">
        <v>925</v>
      </c>
      <c r="D247" s="115" t="s">
        <v>220</v>
      </c>
      <c r="E247" s="116" t="s">
        <v>220</v>
      </c>
      <c r="F247" s="116" t="s">
        <v>220</v>
      </c>
      <c r="G247" s="118" t="s">
        <v>926</v>
      </c>
      <c r="H247" s="118" t="s">
        <v>220</v>
      </c>
      <c r="I247" s="117" t="str">
        <f aca="false">HYPERLINK("#'BC8. Bảng Học vụ'!A1","Mở bảng")</f>
        <v>Mở bảng</v>
      </c>
      <c r="J247" s="4"/>
      <c r="K247" s="4"/>
      <c r="L247" s="4"/>
      <c r="M247" s="4"/>
      <c r="N247" s="4"/>
      <c r="O247" s="4"/>
      <c r="P247" s="4"/>
      <c r="Q247" s="4"/>
      <c r="R247" s="4"/>
      <c r="S247" s="4"/>
      <c r="T247" s="4"/>
      <c r="U247" s="4"/>
      <c r="V247" s="4"/>
      <c r="W247" s="4"/>
      <c r="X247" s="4"/>
      <c r="Y247" s="4"/>
      <c r="Z247" s="4"/>
    </row>
    <row r="248" customFormat="false" ht="51" hidden="false" customHeight="true" outlineLevel="0" collapsed="false">
      <c r="A248" s="115" t="s">
        <v>915</v>
      </c>
      <c r="B248" s="116" t="s">
        <v>927</v>
      </c>
      <c r="C248" s="116" t="s">
        <v>928</v>
      </c>
      <c r="D248" s="115" t="s">
        <v>220</v>
      </c>
      <c r="E248" s="116" t="s">
        <v>220</v>
      </c>
      <c r="F248" s="116" t="s">
        <v>220</v>
      </c>
      <c r="G248" s="118" t="s">
        <v>929</v>
      </c>
      <c r="H248" s="118" t="s">
        <v>220</v>
      </c>
      <c r="I248" s="117" t="str">
        <f aca="false">HYPERLINK("#'BC8. Bảng Học vụ'!A1","Mở bảng")</f>
        <v>Mở bảng</v>
      </c>
      <c r="J248" s="4"/>
      <c r="K248" s="4"/>
      <c r="L248" s="4"/>
      <c r="M248" s="4"/>
      <c r="N248" s="4"/>
      <c r="O248" s="4"/>
      <c r="P248" s="4"/>
      <c r="Q248" s="4"/>
      <c r="R248" s="4"/>
      <c r="S248" s="4"/>
      <c r="T248" s="4"/>
      <c r="U248" s="4"/>
      <c r="V248" s="4"/>
      <c r="W248" s="4"/>
      <c r="X248" s="4"/>
      <c r="Y248" s="4"/>
      <c r="Z248" s="4"/>
    </row>
    <row r="249" customFormat="false" ht="51" hidden="false" customHeight="true" outlineLevel="0" collapsed="false">
      <c r="A249" s="115" t="s">
        <v>915</v>
      </c>
      <c r="B249" s="116" t="s">
        <v>930</v>
      </c>
      <c r="C249" s="116" t="s">
        <v>931</v>
      </c>
      <c r="D249" s="115" t="s">
        <v>220</v>
      </c>
      <c r="E249" s="116" t="s">
        <v>220</v>
      </c>
      <c r="F249" s="116" t="s">
        <v>220</v>
      </c>
      <c r="G249" s="118" t="s">
        <v>932</v>
      </c>
      <c r="H249" s="118" t="s">
        <v>220</v>
      </c>
      <c r="I249" s="117" t="str">
        <f aca="false">HYPERLINK("#'BC9. Bảng Quản lý'!A1","Mở bảng")</f>
        <v>Mở bảng</v>
      </c>
      <c r="J249" s="4"/>
      <c r="K249" s="4"/>
      <c r="L249" s="4"/>
      <c r="M249" s="4"/>
      <c r="N249" s="4"/>
      <c r="O249" s="4"/>
      <c r="P249" s="4"/>
      <c r="Q249" s="4"/>
      <c r="R249" s="4"/>
      <c r="S249" s="4"/>
      <c r="T249" s="4"/>
      <c r="U249" s="4"/>
      <c r="V249" s="4"/>
      <c r="W249" s="4"/>
      <c r="X249" s="4"/>
      <c r="Y249" s="4"/>
      <c r="Z249" s="4"/>
    </row>
    <row r="250" customFormat="false" ht="51" hidden="false" customHeight="true" outlineLevel="0" collapsed="false">
      <c r="A250" s="115" t="s">
        <v>915</v>
      </c>
      <c r="B250" s="116" t="s">
        <v>933</v>
      </c>
      <c r="C250" s="116" t="s">
        <v>934</v>
      </c>
      <c r="D250" s="115" t="s">
        <v>220</v>
      </c>
      <c r="E250" s="116" t="s">
        <v>220</v>
      </c>
      <c r="F250" s="116" t="s">
        <v>220</v>
      </c>
      <c r="G250" s="118" t="s">
        <v>935</v>
      </c>
      <c r="H250" s="118" t="s">
        <v>220</v>
      </c>
      <c r="I250" s="117" t="str">
        <f aca="false">HYPERLINK("#'BC9. Bảng Quản lý'!A1","Mở bảng")</f>
        <v>Mở bảng</v>
      </c>
      <c r="J250" s="4"/>
      <c r="K250" s="4"/>
      <c r="L250" s="4"/>
      <c r="M250" s="4"/>
      <c r="N250" s="4"/>
      <c r="O250" s="4"/>
      <c r="P250" s="4"/>
      <c r="Q250" s="4"/>
      <c r="R250" s="4"/>
      <c r="S250" s="4"/>
      <c r="T250" s="4"/>
      <c r="U250" s="4"/>
      <c r="V250" s="4"/>
      <c r="W250" s="4"/>
      <c r="X250" s="4"/>
      <c r="Y250" s="4"/>
      <c r="Z250" s="4"/>
    </row>
    <row r="251" customFormat="false" ht="51" hidden="false" customHeight="true" outlineLevel="0" collapsed="false">
      <c r="A251" s="115" t="s">
        <v>915</v>
      </c>
      <c r="B251" s="116" t="s">
        <v>936</v>
      </c>
      <c r="C251" s="116" t="s">
        <v>937</v>
      </c>
      <c r="D251" s="115" t="s">
        <v>220</v>
      </c>
      <c r="E251" s="116" t="s">
        <v>220</v>
      </c>
      <c r="F251" s="116" t="s">
        <v>220</v>
      </c>
      <c r="G251" s="118" t="s">
        <v>938</v>
      </c>
      <c r="H251" s="118" t="s">
        <v>220</v>
      </c>
      <c r="I251" s="117" t="str">
        <f aca="false">HYPERLINK("#'BC9. Bảng Quản lý'!A1","Mở bảng")</f>
        <v>Mở bảng</v>
      </c>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8">
    <mergeCell ref="A1:I1"/>
    <mergeCell ref="A2:I2"/>
    <mergeCell ref="A5:I5"/>
    <mergeCell ref="A6:I6"/>
    <mergeCell ref="A15:I15"/>
    <mergeCell ref="A23:I23"/>
    <mergeCell ref="A28:I28"/>
    <mergeCell ref="A38:I38"/>
    <mergeCell ref="A47:I47"/>
    <mergeCell ref="A57:I57"/>
    <mergeCell ref="A66:I66"/>
    <mergeCell ref="A72:I72"/>
    <mergeCell ref="A78:I78"/>
    <mergeCell ref="A89:I89"/>
    <mergeCell ref="A94:I94"/>
    <mergeCell ref="A99:I99"/>
    <mergeCell ref="A107:I107"/>
    <mergeCell ref="A115:I115"/>
    <mergeCell ref="A128:I128"/>
    <mergeCell ref="A132:I132"/>
    <mergeCell ref="A133:I133"/>
    <mergeCell ref="A139:I139"/>
    <mergeCell ref="A144:I144"/>
    <mergeCell ref="A148:I148"/>
    <mergeCell ref="A153:I153"/>
    <mergeCell ref="A165:I165"/>
    <mergeCell ref="A172:I172"/>
    <mergeCell ref="A179:I179"/>
    <mergeCell ref="A187:I187"/>
    <mergeCell ref="A192:I192"/>
    <mergeCell ref="A200:I200"/>
    <mergeCell ref="A203:I203"/>
    <mergeCell ref="A212:I212"/>
    <mergeCell ref="A218:I218"/>
    <mergeCell ref="A224:I224"/>
    <mergeCell ref="A229:I229"/>
    <mergeCell ref="A235:I235"/>
    <mergeCell ref="A243:I2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322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8"/>
    <col collapsed="false" customWidth="true" hidden="false" outlineLevel="0" max="2" min="2" style="1" width="48"/>
    <col collapsed="false" customWidth="true" hidden="false" outlineLevel="0" max="26" min="3" style="1" width="8.71"/>
  </cols>
  <sheetData>
    <row r="1" customFormat="false" ht="31.5" hidden="false" customHeight="true" outlineLevel="0" collapsed="false">
      <c r="A1" s="123" t="s">
        <v>939</v>
      </c>
      <c r="B1" s="123"/>
      <c r="C1" s="4"/>
      <c r="D1" s="4"/>
      <c r="E1" s="4"/>
      <c r="F1" s="4"/>
      <c r="G1" s="4"/>
      <c r="H1" s="4"/>
      <c r="I1" s="4"/>
      <c r="J1" s="4"/>
      <c r="K1" s="4"/>
      <c r="L1" s="4"/>
      <c r="M1" s="4"/>
      <c r="N1" s="4"/>
      <c r="O1" s="4"/>
      <c r="P1" s="4"/>
      <c r="Q1" s="4"/>
      <c r="R1" s="4"/>
      <c r="S1" s="4"/>
      <c r="T1" s="4"/>
      <c r="U1" s="4"/>
      <c r="V1" s="4"/>
      <c r="W1" s="4"/>
      <c r="X1" s="4"/>
      <c r="Y1" s="4"/>
      <c r="Z1" s="4"/>
    </row>
    <row r="2" customFormat="false" ht="65.25" hidden="false" customHeight="true" outlineLevel="0" collapsed="false">
      <c r="A2" s="124" t="s">
        <v>940</v>
      </c>
      <c r="B2" s="124"/>
      <c r="C2" s="4"/>
      <c r="D2" s="4"/>
      <c r="E2" s="4"/>
      <c r="F2" s="4"/>
      <c r="G2" s="4"/>
      <c r="H2" s="4"/>
      <c r="I2" s="4"/>
      <c r="J2" s="4"/>
      <c r="K2" s="4"/>
      <c r="L2" s="4"/>
      <c r="M2" s="4"/>
      <c r="N2" s="4"/>
      <c r="O2" s="4"/>
      <c r="P2" s="4"/>
      <c r="Q2" s="4"/>
      <c r="R2" s="4"/>
      <c r="S2" s="4"/>
      <c r="T2" s="4"/>
      <c r="U2" s="4"/>
      <c r="V2" s="4"/>
      <c r="W2" s="4"/>
      <c r="X2" s="4"/>
      <c r="Y2" s="4"/>
      <c r="Z2" s="4"/>
    </row>
    <row r="3" customFormat="false" ht="21.75" hidden="false" customHeight="true" outlineLevel="0" collapsed="false">
      <c r="A3" s="20" t="s">
        <v>941</v>
      </c>
      <c r="B3" s="20" t="s">
        <v>942</v>
      </c>
      <c r="C3" s="4"/>
      <c r="D3" s="4"/>
      <c r="E3" s="4"/>
      <c r="F3" s="4"/>
      <c r="G3" s="4"/>
      <c r="H3" s="4"/>
      <c r="I3" s="4"/>
      <c r="J3" s="4"/>
      <c r="K3" s="4"/>
      <c r="L3" s="4"/>
      <c r="M3" s="4"/>
      <c r="N3" s="4"/>
      <c r="O3" s="4"/>
      <c r="P3" s="4"/>
      <c r="Q3" s="4"/>
      <c r="R3" s="4"/>
      <c r="S3" s="4"/>
      <c r="T3" s="4"/>
      <c r="U3" s="4"/>
      <c r="V3" s="4"/>
      <c r="W3" s="4"/>
      <c r="X3" s="4"/>
      <c r="Y3" s="4"/>
      <c r="Z3" s="4"/>
    </row>
    <row r="4" customFormat="false" ht="22.5" hidden="false" customHeight="true" outlineLevel="0" collapsed="false">
      <c r="A4" s="125" t="s">
        <v>943</v>
      </c>
      <c r="B4" s="125"/>
      <c r="C4" s="4"/>
      <c r="D4" s="4"/>
      <c r="E4" s="4"/>
      <c r="F4" s="4"/>
      <c r="G4" s="4"/>
      <c r="H4" s="4"/>
      <c r="I4" s="4"/>
      <c r="J4" s="4"/>
      <c r="K4" s="4"/>
      <c r="L4" s="4"/>
      <c r="M4" s="4"/>
      <c r="N4" s="4"/>
      <c r="O4" s="4"/>
      <c r="P4" s="4"/>
      <c r="Q4" s="4"/>
      <c r="R4" s="4"/>
      <c r="S4" s="4"/>
      <c r="T4" s="4"/>
      <c r="U4" s="4"/>
      <c r="V4" s="4"/>
      <c r="W4" s="4"/>
      <c r="X4" s="4"/>
      <c r="Y4" s="4"/>
      <c r="Z4" s="4"/>
    </row>
    <row r="5" customFormat="false" ht="22.5" hidden="false" customHeight="true" outlineLevel="0" collapsed="false">
      <c r="A5" s="126" t="s">
        <v>944</v>
      </c>
      <c r="B5" s="126" t="s">
        <v>945</v>
      </c>
      <c r="C5" s="4"/>
      <c r="D5" s="4"/>
      <c r="E5" s="4"/>
      <c r="F5" s="4"/>
      <c r="G5" s="4"/>
      <c r="H5" s="4"/>
      <c r="I5" s="4"/>
      <c r="J5" s="4"/>
      <c r="K5" s="4"/>
      <c r="L5" s="4"/>
      <c r="M5" s="4"/>
      <c r="N5" s="4"/>
      <c r="O5" s="4"/>
      <c r="P5" s="4"/>
      <c r="Q5" s="4"/>
      <c r="R5" s="4"/>
      <c r="S5" s="4"/>
      <c r="T5" s="4"/>
      <c r="U5" s="4"/>
      <c r="V5" s="4"/>
      <c r="W5" s="4"/>
      <c r="X5" s="4"/>
      <c r="Y5" s="4"/>
      <c r="Z5" s="4"/>
    </row>
    <row r="6" customFormat="false" ht="22.5" hidden="false" customHeight="true" outlineLevel="0" collapsed="false">
      <c r="A6" s="21" t="s">
        <v>946</v>
      </c>
      <c r="B6" s="21" t="s">
        <v>947</v>
      </c>
      <c r="C6" s="4"/>
      <c r="D6" s="4"/>
      <c r="E6" s="4"/>
      <c r="F6" s="4"/>
      <c r="G6" s="4"/>
      <c r="H6" s="4"/>
      <c r="I6" s="4"/>
      <c r="J6" s="4"/>
      <c r="K6" s="4"/>
      <c r="L6" s="4"/>
      <c r="M6" s="4"/>
      <c r="N6" s="4"/>
      <c r="O6" s="4"/>
      <c r="P6" s="4"/>
      <c r="Q6" s="4"/>
      <c r="R6" s="4"/>
      <c r="S6" s="4"/>
      <c r="T6" s="4"/>
      <c r="U6" s="4"/>
      <c r="V6" s="4"/>
      <c r="W6" s="4"/>
      <c r="X6" s="4"/>
      <c r="Y6" s="4"/>
      <c r="Z6" s="4"/>
    </row>
    <row r="7" customFormat="false" ht="22.5" hidden="false" customHeight="true" outlineLevel="0" collapsed="false">
      <c r="A7" s="21" t="s">
        <v>948</v>
      </c>
      <c r="B7" s="21" t="s">
        <v>949</v>
      </c>
      <c r="C7" s="4"/>
      <c r="D7" s="4"/>
      <c r="E7" s="4"/>
      <c r="F7" s="4"/>
      <c r="G7" s="4"/>
      <c r="H7" s="4"/>
      <c r="I7" s="4"/>
      <c r="J7" s="4"/>
      <c r="K7" s="4"/>
      <c r="L7" s="4"/>
      <c r="M7" s="4"/>
      <c r="N7" s="4"/>
      <c r="O7" s="4"/>
      <c r="P7" s="4"/>
      <c r="Q7" s="4"/>
      <c r="R7" s="4"/>
      <c r="S7" s="4"/>
      <c r="T7" s="4"/>
      <c r="U7" s="4"/>
      <c r="V7" s="4"/>
      <c r="W7" s="4"/>
      <c r="X7" s="4"/>
      <c r="Y7" s="4"/>
      <c r="Z7" s="4"/>
    </row>
    <row r="8" customFormat="false" ht="22.5" hidden="false" customHeight="true" outlineLevel="0" collapsed="false">
      <c r="A8" s="21" t="s">
        <v>950</v>
      </c>
      <c r="B8" s="21" t="s">
        <v>951</v>
      </c>
      <c r="C8" s="4"/>
      <c r="D8" s="4"/>
      <c r="E8" s="4"/>
      <c r="F8" s="4"/>
      <c r="G8" s="4"/>
      <c r="H8" s="4"/>
      <c r="I8" s="4"/>
      <c r="J8" s="4"/>
      <c r="K8" s="4"/>
      <c r="L8" s="4"/>
      <c r="M8" s="4"/>
      <c r="N8" s="4"/>
      <c r="O8" s="4"/>
      <c r="P8" s="4"/>
      <c r="Q8" s="4"/>
      <c r="R8" s="4"/>
      <c r="S8" s="4"/>
      <c r="T8" s="4"/>
      <c r="U8" s="4"/>
      <c r="V8" s="4"/>
      <c r="W8" s="4"/>
      <c r="X8" s="4"/>
      <c r="Y8" s="4"/>
      <c r="Z8" s="4"/>
    </row>
    <row r="9" customFormat="false" ht="22.5" hidden="false" customHeight="true" outlineLevel="0" collapsed="false">
      <c r="A9" s="21" t="s">
        <v>952</v>
      </c>
      <c r="B9" s="21" t="s">
        <v>953</v>
      </c>
      <c r="C9" s="4"/>
      <c r="D9" s="4"/>
      <c r="E9" s="4"/>
      <c r="F9" s="4"/>
      <c r="G9" s="4"/>
      <c r="H9" s="4"/>
      <c r="I9" s="4"/>
      <c r="J9" s="4"/>
      <c r="K9" s="4"/>
      <c r="L9" s="4"/>
      <c r="M9" s="4"/>
      <c r="N9" s="4"/>
      <c r="O9" s="4"/>
      <c r="P9" s="4"/>
      <c r="Q9" s="4"/>
      <c r="R9" s="4"/>
      <c r="S9" s="4"/>
      <c r="T9" s="4"/>
      <c r="U9" s="4"/>
      <c r="V9" s="4"/>
      <c r="W9" s="4"/>
      <c r="X9" s="4"/>
      <c r="Y9" s="4"/>
      <c r="Z9" s="4"/>
    </row>
    <row r="10" customFormat="false" ht="22.5" hidden="false" customHeight="true" outlineLevel="0" collapsed="false">
      <c r="A10" s="21" t="s">
        <v>954</v>
      </c>
      <c r="B10" s="21" t="s">
        <v>955</v>
      </c>
      <c r="C10" s="4"/>
      <c r="D10" s="4"/>
      <c r="E10" s="4"/>
      <c r="F10" s="4"/>
      <c r="G10" s="4"/>
      <c r="H10" s="4"/>
      <c r="I10" s="4"/>
      <c r="J10" s="4"/>
      <c r="K10" s="4"/>
      <c r="L10" s="4"/>
      <c r="M10" s="4"/>
      <c r="N10" s="4"/>
      <c r="O10" s="4"/>
      <c r="P10" s="4"/>
      <c r="Q10" s="4"/>
      <c r="R10" s="4"/>
      <c r="S10" s="4"/>
      <c r="T10" s="4"/>
      <c r="U10" s="4"/>
      <c r="V10" s="4"/>
      <c r="W10" s="4"/>
      <c r="X10" s="4"/>
      <c r="Y10" s="4"/>
      <c r="Z10" s="4"/>
    </row>
    <row r="11" customFormat="false" ht="22.5" hidden="false" customHeight="true" outlineLevel="0" collapsed="false">
      <c r="A11" s="21" t="s">
        <v>956</v>
      </c>
      <c r="B11" s="21" t="s">
        <v>957</v>
      </c>
      <c r="C11" s="4"/>
      <c r="D11" s="4"/>
      <c r="E11" s="4"/>
      <c r="F11" s="4"/>
      <c r="G11" s="4"/>
      <c r="H11" s="4"/>
      <c r="I11" s="4"/>
      <c r="J11" s="4"/>
      <c r="K11" s="4"/>
      <c r="L11" s="4"/>
      <c r="M11" s="4"/>
      <c r="N11" s="4"/>
      <c r="O11" s="4"/>
      <c r="P11" s="4"/>
      <c r="Q11" s="4"/>
      <c r="R11" s="4"/>
      <c r="S11" s="4"/>
      <c r="T11" s="4"/>
      <c r="U11" s="4"/>
      <c r="V11" s="4"/>
      <c r="W11" s="4"/>
      <c r="X11" s="4"/>
      <c r="Y11" s="4"/>
      <c r="Z11" s="4"/>
    </row>
    <row r="12" customFormat="false" ht="22.5" hidden="false" customHeight="true" outlineLevel="0" collapsed="false">
      <c r="A12" s="21" t="s">
        <v>958</v>
      </c>
      <c r="B12" s="21" t="s">
        <v>959</v>
      </c>
      <c r="C12" s="4"/>
      <c r="D12" s="4"/>
      <c r="E12" s="4"/>
      <c r="F12" s="4"/>
      <c r="G12" s="4"/>
      <c r="H12" s="4"/>
      <c r="I12" s="4"/>
      <c r="J12" s="4"/>
      <c r="K12" s="4"/>
      <c r="L12" s="4"/>
      <c r="M12" s="4"/>
      <c r="N12" s="4"/>
      <c r="O12" s="4"/>
      <c r="P12" s="4"/>
      <c r="Q12" s="4"/>
      <c r="R12" s="4"/>
      <c r="S12" s="4"/>
      <c r="T12" s="4"/>
      <c r="U12" s="4"/>
      <c r="V12" s="4"/>
      <c r="W12" s="4"/>
      <c r="X12" s="4"/>
      <c r="Y12" s="4"/>
      <c r="Z12" s="4"/>
    </row>
    <row r="13" customFormat="false" ht="22.5" hidden="false" customHeight="true" outlineLevel="0" collapsed="false">
      <c r="A13" s="21" t="s">
        <v>960</v>
      </c>
      <c r="B13" s="21" t="s">
        <v>961</v>
      </c>
      <c r="C13" s="4"/>
      <c r="D13" s="4"/>
      <c r="E13" s="4"/>
      <c r="F13" s="4"/>
      <c r="G13" s="4"/>
      <c r="H13" s="4"/>
      <c r="I13" s="4"/>
      <c r="J13" s="4"/>
      <c r="K13" s="4"/>
      <c r="L13" s="4"/>
      <c r="M13" s="4"/>
      <c r="N13" s="4"/>
      <c r="O13" s="4"/>
      <c r="P13" s="4"/>
      <c r="Q13" s="4"/>
      <c r="R13" s="4"/>
      <c r="S13" s="4"/>
      <c r="T13" s="4"/>
      <c r="U13" s="4"/>
      <c r="V13" s="4"/>
      <c r="W13" s="4"/>
      <c r="X13" s="4"/>
      <c r="Y13" s="4"/>
      <c r="Z13" s="4"/>
    </row>
    <row r="14" customFormat="false" ht="22.5" hidden="false" customHeight="true" outlineLevel="0" collapsed="false">
      <c r="A14" s="21" t="s">
        <v>962</v>
      </c>
      <c r="B14" s="21" t="s">
        <v>963</v>
      </c>
      <c r="C14" s="4"/>
      <c r="D14" s="4"/>
      <c r="E14" s="4"/>
      <c r="F14" s="4"/>
      <c r="G14" s="4"/>
      <c r="H14" s="4"/>
      <c r="I14" s="4"/>
      <c r="J14" s="4"/>
      <c r="K14" s="4"/>
      <c r="L14" s="4"/>
      <c r="M14" s="4"/>
      <c r="N14" s="4"/>
      <c r="O14" s="4"/>
      <c r="P14" s="4"/>
      <c r="Q14" s="4"/>
      <c r="R14" s="4"/>
      <c r="S14" s="4"/>
      <c r="T14" s="4"/>
      <c r="U14" s="4"/>
      <c r="V14" s="4"/>
      <c r="W14" s="4"/>
      <c r="X14" s="4"/>
      <c r="Y14" s="4"/>
      <c r="Z14" s="4"/>
    </row>
    <row r="15" customFormat="false" ht="22.5" hidden="false" customHeight="true" outlineLevel="0" collapsed="false">
      <c r="A15" s="21" t="s">
        <v>964</v>
      </c>
      <c r="B15" s="21" t="s">
        <v>965</v>
      </c>
      <c r="C15" s="4"/>
      <c r="D15" s="4"/>
      <c r="E15" s="4"/>
      <c r="F15" s="4"/>
      <c r="G15" s="4"/>
      <c r="H15" s="4"/>
      <c r="I15" s="4"/>
      <c r="J15" s="4"/>
      <c r="K15" s="4"/>
      <c r="L15" s="4"/>
      <c r="M15" s="4"/>
      <c r="N15" s="4"/>
      <c r="O15" s="4"/>
      <c r="P15" s="4"/>
      <c r="Q15" s="4"/>
      <c r="R15" s="4"/>
      <c r="S15" s="4"/>
      <c r="T15" s="4"/>
      <c r="U15" s="4"/>
      <c r="V15" s="4"/>
      <c r="W15" s="4"/>
      <c r="X15" s="4"/>
      <c r="Y15" s="4"/>
      <c r="Z15" s="4"/>
    </row>
    <row r="16" customFormat="false" ht="22.5" hidden="false" customHeight="true" outlineLevel="0" collapsed="false">
      <c r="A16" s="21" t="s">
        <v>966</v>
      </c>
      <c r="B16" s="21" t="s">
        <v>967</v>
      </c>
      <c r="C16" s="4"/>
      <c r="D16" s="4"/>
      <c r="E16" s="4"/>
      <c r="F16" s="4"/>
      <c r="G16" s="4"/>
      <c r="H16" s="4"/>
      <c r="I16" s="4"/>
      <c r="J16" s="4"/>
      <c r="K16" s="4"/>
      <c r="L16" s="4"/>
      <c r="M16" s="4"/>
      <c r="N16" s="4"/>
      <c r="O16" s="4"/>
      <c r="P16" s="4"/>
      <c r="Q16" s="4"/>
      <c r="R16" s="4"/>
      <c r="S16" s="4"/>
      <c r="T16" s="4"/>
      <c r="U16" s="4"/>
      <c r="V16" s="4"/>
      <c r="W16" s="4"/>
      <c r="X16" s="4"/>
      <c r="Y16" s="4"/>
      <c r="Z16" s="4"/>
    </row>
    <row r="17" customFormat="false" ht="22.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22.5" hidden="false" customHeight="true" outlineLevel="0" collapsed="false">
      <c r="A18" s="125" t="s">
        <v>968</v>
      </c>
      <c r="B18" s="125"/>
      <c r="C18" s="4"/>
      <c r="D18" s="4"/>
      <c r="E18" s="4"/>
      <c r="F18" s="4"/>
      <c r="G18" s="4"/>
      <c r="H18" s="4"/>
      <c r="I18" s="4"/>
      <c r="J18" s="4"/>
      <c r="K18" s="4"/>
      <c r="L18" s="4"/>
      <c r="M18" s="4"/>
      <c r="N18" s="4"/>
      <c r="O18" s="4"/>
      <c r="P18" s="4"/>
      <c r="Q18" s="4"/>
      <c r="R18" s="4"/>
      <c r="S18" s="4"/>
      <c r="T18" s="4"/>
      <c r="U18" s="4"/>
      <c r="V18" s="4"/>
      <c r="W18" s="4"/>
      <c r="X18" s="4"/>
      <c r="Y18" s="4"/>
      <c r="Z18" s="4"/>
    </row>
    <row r="19" customFormat="false" ht="22.5" hidden="false" customHeight="true" outlineLevel="0" collapsed="false">
      <c r="A19" s="126" t="s">
        <v>944</v>
      </c>
      <c r="B19" s="126" t="s">
        <v>945</v>
      </c>
      <c r="C19" s="4"/>
      <c r="D19" s="4"/>
      <c r="E19" s="4"/>
      <c r="F19" s="4"/>
      <c r="G19" s="4"/>
      <c r="H19" s="4"/>
      <c r="I19" s="4"/>
      <c r="J19" s="4"/>
      <c r="K19" s="4"/>
      <c r="L19" s="4"/>
      <c r="M19" s="4"/>
      <c r="N19" s="4"/>
      <c r="O19" s="4"/>
      <c r="P19" s="4"/>
      <c r="Q19" s="4"/>
      <c r="R19" s="4"/>
      <c r="S19" s="4"/>
      <c r="T19" s="4"/>
      <c r="U19" s="4"/>
      <c r="V19" s="4"/>
      <c r="W19" s="4"/>
      <c r="X19" s="4"/>
      <c r="Y19" s="4"/>
      <c r="Z19" s="4"/>
    </row>
    <row r="20" customFormat="false" ht="22.5" hidden="false" customHeight="true" outlineLevel="0" collapsed="false">
      <c r="A20" s="21" t="s">
        <v>969</v>
      </c>
      <c r="B20" s="21" t="s">
        <v>970</v>
      </c>
      <c r="C20" s="4"/>
      <c r="D20" s="4"/>
      <c r="E20" s="4"/>
      <c r="F20" s="4"/>
      <c r="G20" s="4"/>
      <c r="H20" s="4"/>
      <c r="I20" s="4"/>
      <c r="J20" s="4"/>
      <c r="K20" s="4"/>
      <c r="L20" s="4"/>
      <c r="M20" s="4"/>
      <c r="N20" s="4"/>
      <c r="O20" s="4"/>
      <c r="P20" s="4"/>
      <c r="Q20" s="4"/>
      <c r="R20" s="4"/>
      <c r="S20" s="4"/>
      <c r="T20" s="4"/>
      <c r="U20" s="4"/>
      <c r="V20" s="4"/>
      <c r="W20" s="4"/>
      <c r="X20" s="4"/>
      <c r="Y20" s="4"/>
      <c r="Z20" s="4"/>
    </row>
    <row r="21" customFormat="false" ht="22.5" hidden="false" customHeight="true" outlineLevel="0" collapsed="false">
      <c r="A21" s="21" t="s">
        <v>971</v>
      </c>
      <c r="B21" s="21" t="s">
        <v>972</v>
      </c>
      <c r="C21" s="4"/>
      <c r="D21" s="4"/>
      <c r="E21" s="4"/>
      <c r="F21" s="4"/>
      <c r="G21" s="4"/>
      <c r="H21" s="4"/>
      <c r="I21" s="4"/>
      <c r="J21" s="4"/>
      <c r="K21" s="4"/>
      <c r="L21" s="4"/>
      <c r="M21" s="4"/>
      <c r="N21" s="4"/>
      <c r="O21" s="4"/>
      <c r="P21" s="4"/>
      <c r="Q21" s="4"/>
      <c r="R21" s="4"/>
      <c r="S21" s="4"/>
      <c r="T21" s="4"/>
      <c r="U21" s="4"/>
      <c r="V21" s="4"/>
      <c r="W21" s="4"/>
      <c r="X21" s="4"/>
      <c r="Y21" s="4"/>
      <c r="Z21" s="4"/>
    </row>
    <row r="22" customFormat="false" ht="22.5" hidden="false" customHeight="true" outlineLevel="0" collapsed="false">
      <c r="A22" s="21" t="s">
        <v>973</v>
      </c>
      <c r="B22" s="21" t="s">
        <v>974</v>
      </c>
      <c r="C22" s="4"/>
      <c r="D22" s="4"/>
      <c r="E22" s="4"/>
      <c r="F22" s="4"/>
      <c r="G22" s="4"/>
      <c r="H22" s="4"/>
      <c r="I22" s="4"/>
      <c r="J22" s="4"/>
      <c r="K22" s="4"/>
      <c r="L22" s="4"/>
      <c r="M22" s="4"/>
      <c r="N22" s="4"/>
      <c r="O22" s="4"/>
      <c r="P22" s="4"/>
      <c r="Q22" s="4"/>
      <c r="R22" s="4"/>
      <c r="S22" s="4"/>
      <c r="T22" s="4"/>
      <c r="U22" s="4"/>
      <c r="V22" s="4"/>
      <c r="W22" s="4"/>
      <c r="X22" s="4"/>
      <c r="Y22" s="4"/>
      <c r="Z22" s="4"/>
    </row>
    <row r="23" customFormat="false" ht="22.5" hidden="false" customHeight="true" outlineLevel="0" collapsed="false">
      <c r="A23" s="21"/>
      <c r="B23" s="21"/>
      <c r="C23" s="4"/>
      <c r="D23" s="4"/>
      <c r="E23" s="4"/>
      <c r="F23" s="4"/>
      <c r="G23" s="4"/>
      <c r="H23" s="4"/>
      <c r="I23" s="4"/>
      <c r="J23" s="4"/>
      <c r="K23" s="4"/>
      <c r="L23" s="4"/>
      <c r="M23" s="4"/>
      <c r="N23" s="4"/>
      <c r="O23" s="4"/>
      <c r="P23" s="4"/>
      <c r="Q23" s="4"/>
      <c r="R23" s="4"/>
      <c r="S23" s="4"/>
      <c r="T23" s="4"/>
      <c r="U23" s="4"/>
      <c r="V23" s="4"/>
      <c r="W23" s="4"/>
      <c r="X23" s="4"/>
      <c r="Y23" s="4"/>
      <c r="Z23" s="4"/>
    </row>
    <row r="24" customFormat="false" ht="22.5" hidden="false" customHeight="true" outlineLevel="0" collapsed="false">
      <c r="A24" s="125" t="s">
        <v>975</v>
      </c>
      <c r="B24" s="125"/>
      <c r="C24" s="4"/>
      <c r="D24" s="4"/>
      <c r="E24" s="4"/>
      <c r="F24" s="4"/>
      <c r="G24" s="4"/>
      <c r="H24" s="4"/>
      <c r="I24" s="4"/>
      <c r="J24" s="4"/>
      <c r="K24" s="4"/>
      <c r="L24" s="4"/>
      <c r="M24" s="4"/>
      <c r="N24" s="4"/>
      <c r="O24" s="4"/>
      <c r="P24" s="4"/>
      <c r="Q24" s="4"/>
      <c r="R24" s="4"/>
      <c r="S24" s="4"/>
      <c r="T24" s="4"/>
      <c r="U24" s="4"/>
      <c r="V24" s="4"/>
      <c r="W24" s="4"/>
      <c r="X24" s="4"/>
      <c r="Y24" s="4"/>
      <c r="Z24" s="4"/>
    </row>
    <row r="25" customFormat="false" ht="22.5" hidden="false" customHeight="true" outlineLevel="0" collapsed="false">
      <c r="A25" s="126" t="s">
        <v>944</v>
      </c>
      <c r="B25" s="126" t="s">
        <v>945</v>
      </c>
      <c r="C25" s="4"/>
      <c r="D25" s="4"/>
      <c r="E25" s="4"/>
      <c r="F25" s="4"/>
      <c r="G25" s="4"/>
      <c r="H25" s="4"/>
      <c r="I25" s="4"/>
      <c r="J25" s="4"/>
      <c r="K25" s="4"/>
      <c r="L25" s="4"/>
      <c r="M25" s="4"/>
      <c r="N25" s="4"/>
      <c r="O25" s="4"/>
      <c r="P25" s="4"/>
      <c r="Q25" s="4"/>
      <c r="R25" s="4"/>
      <c r="S25" s="4"/>
      <c r="T25" s="4"/>
      <c r="U25" s="4"/>
      <c r="V25" s="4"/>
      <c r="W25" s="4"/>
      <c r="X25" s="4"/>
      <c r="Y25" s="4"/>
      <c r="Z25" s="4"/>
    </row>
    <row r="26" customFormat="false" ht="22.5" hidden="false" customHeight="true" outlineLevel="0" collapsed="false">
      <c r="A26" s="21" t="s">
        <v>976</v>
      </c>
      <c r="B26" s="21" t="s">
        <v>977</v>
      </c>
      <c r="C26" s="4"/>
      <c r="D26" s="4"/>
      <c r="E26" s="4"/>
      <c r="F26" s="4"/>
      <c r="G26" s="4"/>
      <c r="H26" s="4"/>
      <c r="I26" s="4"/>
      <c r="J26" s="4"/>
      <c r="K26" s="4"/>
      <c r="L26" s="4"/>
      <c r="M26" s="4"/>
      <c r="N26" s="4"/>
      <c r="O26" s="4"/>
      <c r="P26" s="4"/>
      <c r="Q26" s="4"/>
      <c r="R26" s="4"/>
      <c r="S26" s="4"/>
      <c r="T26" s="4"/>
      <c r="U26" s="4"/>
      <c r="V26" s="4"/>
      <c r="W26" s="4"/>
      <c r="X26" s="4"/>
      <c r="Y26" s="4"/>
      <c r="Z26" s="4"/>
    </row>
    <row r="27" customFormat="false" ht="22.5" hidden="false" customHeight="true" outlineLevel="0" collapsed="false">
      <c r="A27" s="21" t="s">
        <v>978</v>
      </c>
      <c r="B27" s="21" t="s">
        <v>979</v>
      </c>
      <c r="C27" s="4"/>
      <c r="D27" s="4"/>
      <c r="E27" s="4"/>
      <c r="F27" s="4"/>
      <c r="G27" s="4"/>
      <c r="H27" s="4"/>
      <c r="I27" s="4"/>
      <c r="J27" s="4"/>
      <c r="K27" s="4"/>
      <c r="L27" s="4"/>
      <c r="M27" s="4"/>
      <c r="N27" s="4"/>
      <c r="O27" s="4"/>
      <c r="P27" s="4"/>
      <c r="Q27" s="4"/>
      <c r="R27" s="4"/>
      <c r="S27" s="4"/>
      <c r="T27" s="4"/>
      <c r="U27" s="4"/>
      <c r="V27" s="4"/>
      <c r="W27" s="4"/>
      <c r="X27" s="4"/>
      <c r="Y27" s="4"/>
      <c r="Z27" s="4"/>
    </row>
    <row r="28" customFormat="false" ht="22.5" hidden="false" customHeight="true" outlineLevel="0" collapsed="false">
      <c r="A28" s="21" t="s">
        <v>980</v>
      </c>
      <c r="B28" s="21" t="s">
        <v>981</v>
      </c>
      <c r="C28" s="4"/>
      <c r="D28" s="4"/>
      <c r="E28" s="4"/>
      <c r="F28" s="4"/>
      <c r="G28" s="4"/>
      <c r="H28" s="4"/>
      <c r="I28" s="4"/>
      <c r="J28" s="4"/>
      <c r="K28" s="4"/>
      <c r="L28" s="4"/>
      <c r="M28" s="4"/>
      <c r="N28" s="4"/>
      <c r="O28" s="4"/>
      <c r="P28" s="4"/>
      <c r="Q28" s="4"/>
      <c r="R28" s="4"/>
      <c r="S28" s="4"/>
      <c r="T28" s="4"/>
      <c r="U28" s="4"/>
      <c r="V28" s="4"/>
      <c r="W28" s="4"/>
      <c r="X28" s="4"/>
      <c r="Y28" s="4"/>
      <c r="Z28" s="4"/>
    </row>
    <row r="29" customFormat="false" ht="22.5" hidden="false" customHeight="true" outlineLevel="0" collapsed="false">
      <c r="A29" s="21" t="s">
        <v>982</v>
      </c>
      <c r="B29" s="21" t="s">
        <v>983</v>
      </c>
      <c r="C29" s="4"/>
      <c r="D29" s="4"/>
      <c r="E29" s="4"/>
      <c r="F29" s="4"/>
      <c r="G29" s="4"/>
      <c r="H29" s="4"/>
      <c r="I29" s="4"/>
      <c r="J29" s="4"/>
      <c r="K29" s="4"/>
      <c r="L29" s="4"/>
      <c r="M29" s="4"/>
      <c r="N29" s="4"/>
      <c r="O29" s="4"/>
      <c r="P29" s="4"/>
      <c r="Q29" s="4"/>
      <c r="R29" s="4"/>
      <c r="S29" s="4"/>
      <c r="T29" s="4"/>
      <c r="U29" s="4"/>
      <c r="V29" s="4"/>
      <c r="W29" s="4"/>
      <c r="X29" s="4"/>
      <c r="Y29" s="4"/>
      <c r="Z29" s="4"/>
    </row>
    <row r="30" customFormat="false" ht="22.5" hidden="false" customHeight="true" outlineLevel="0" collapsed="false">
      <c r="A30" s="21" t="s">
        <v>984</v>
      </c>
      <c r="B30" s="21" t="s">
        <v>985</v>
      </c>
      <c r="C30" s="4"/>
      <c r="D30" s="4"/>
      <c r="E30" s="4"/>
      <c r="F30" s="4"/>
      <c r="G30" s="4"/>
      <c r="H30" s="4"/>
      <c r="I30" s="4"/>
      <c r="J30" s="4"/>
      <c r="K30" s="4"/>
      <c r="L30" s="4"/>
      <c r="M30" s="4"/>
      <c r="N30" s="4"/>
      <c r="O30" s="4"/>
      <c r="P30" s="4"/>
      <c r="Q30" s="4"/>
      <c r="R30" s="4"/>
      <c r="S30" s="4"/>
      <c r="T30" s="4"/>
      <c r="U30" s="4"/>
      <c r="V30" s="4"/>
      <c r="W30" s="4"/>
      <c r="X30" s="4"/>
      <c r="Y30" s="4"/>
      <c r="Z30" s="4"/>
    </row>
    <row r="31" customFormat="false" ht="22.5" hidden="false" customHeight="true" outlineLevel="0" collapsed="false">
      <c r="A31" s="21" t="s">
        <v>986</v>
      </c>
      <c r="B31" s="21" t="s">
        <v>987</v>
      </c>
      <c r="C31" s="4"/>
      <c r="D31" s="4"/>
      <c r="E31" s="4"/>
      <c r="F31" s="4"/>
      <c r="G31" s="4"/>
      <c r="H31" s="4"/>
      <c r="I31" s="4"/>
      <c r="J31" s="4"/>
      <c r="K31" s="4"/>
      <c r="L31" s="4"/>
      <c r="M31" s="4"/>
      <c r="N31" s="4"/>
      <c r="O31" s="4"/>
      <c r="P31" s="4"/>
      <c r="Q31" s="4"/>
      <c r="R31" s="4"/>
      <c r="S31" s="4"/>
      <c r="T31" s="4"/>
      <c r="U31" s="4"/>
      <c r="V31" s="4"/>
      <c r="W31" s="4"/>
      <c r="X31" s="4"/>
      <c r="Y31" s="4"/>
      <c r="Z31" s="4"/>
    </row>
    <row r="32" customFormat="false" ht="22.5" hidden="false" customHeight="true" outlineLevel="0" collapsed="false">
      <c r="A32" s="21" t="s">
        <v>988</v>
      </c>
      <c r="B32" s="21" t="s">
        <v>989</v>
      </c>
      <c r="C32" s="4"/>
      <c r="D32" s="4"/>
      <c r="E32" s="4"/>
      <c r="F32" s="4"/>
      <c r="G32" s="4"/>
      <c r="H32" s="4"/>
      <c r="I32" s="4"/>
      <c r="J32" s="4"/>
      <c r="K32" s="4"/>
      <c r="L32" s="4"/>
      <c r="M32" s="4"/>
      <c r="N32" s="4"/>
      <c r="O32" s="4"/>
      <c r="P32" s="4"/>
      <c r="Q32" s="4"/>
      <c r="R32" s="4"/>
      <c r="S32" s="4"/>
      <c r="T32" s="4"/>
      <c r="U32" s="4"/>
      <c r="V32" s="4"/>
      <c r="W32" s="4"/>
      <c r="X32" s="4"/>
      <c r="Y32" s="4"/>
      <c r="Z32" s="4"/>
    </row>
    <row r="33" customFormat="false" ht="22.5" hidden="false" customHeight="true" outlineLevel="0" collapsed="false">
      <c r="A33" s="127"/>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22.5" hidden="false" customHeight="true" outlineLevel="0" collapsed="false">
      <c r="A34" s="125" t="s">
        <v>990</v>
      </c>
      <c r="B34" s="125"/>
      <c r="C34" s="4"/>
      <c r="D34" s="4"/>
      <c r="E34" s="4"/>
      <c r="F34" s="4"/>
      <c r="G34" s="4"/>
      <c r="H34" s="4"/>
      <c r="I34" s="4"/>
      <c r="J34" s="4"/>
      <c r="K34" s="4"/>
      <c r="L34" s="4"/>
      <c r="M34" s="4"/>
      <c r="N34" s="4"/>
      <c r="O34" s="4"/>
      <c r="P34" s="4"/>
      <c r="Q34" s="4"/>
      <c r="R34" s="4"/>
      <c r="S34" s="4"/>
      <c r="T34" s="4"/>
      <c r="U34" s="4"/>
      <c r="V34" s="4"/>
      <c r="W34" s="4"/>
      <c r="X34" s="4"/>
      <c r="Y34" s="4"/>
      <c r="Z34" s="4"/>
    </row>
    <row r="35" customFormat="false" ht="22.5" hidden="false" customHeight="true" outlineLevel="0" collapsed="false">
      <c r="A35" s="126" t="s">
        <v>944</v>
      </c>
      <c r="B35" s="126" t="s">
        <v>991</v>
      </c>
      <c r="C35" s="4"/>
      <c r="D35" s="4"/>
      <c r="E35" s="4"/>
      <c r="F35" s="4"/>
      <c r="G35" s="4"/>
      <c r="H35" s="4"/>
      <c r="I35" s="4"/>
      <c r="J35" s="4"/>
      <c r="K35" s="4"/>
      <c r="L35" s="4"/>
      <c r="M35" s="4"/>
      <c r="N35" s="4"/>
      <c r="O35" s="4"/>
      <c r="P35" s="4"/>
      <c r="Q35" s="4"/>
      <c r="R35" s="4"/>
      <c r="S35" s="4"/>
      <c r="T35" s="4"/>
      <c r="U35" s="4"/>
      <c r="V35" s="4"/>
      <c r="W35" s="4"/>
      <c r="X35" s="4"/>
      <c r="Y35" s="4"/>
      <c r="Z35" s="4"/>
    </row>
    <row r="36" customFormat="false" ht="22.5" hidden="false" customHeight="true" outlineLevel="0" collapsed="false">
      <c r="A36" s="128" t="s">
        <v>992</v>
      </c>
      <c r="B36" s="128" t="s">
        <v>993</v>
      </c>
      <c r="C36" s="4"/>
      <c r="D36" s="4"/>
      <c r="E36" s="4"/>
      <c r="F36" s="4"/>
      <c r="G36" s="4"/>
      <c r="H36" s="4"/>
      <c r="I36" s="4"/>
      <c r="J36" s="4"/>
      <c r="K36" s="4"/>
      <c r="L36" s="4"/>
      <c r="M36" s="4"/>
      <c r="N36" s="4"/>
      <c r="O36" s="4"/>
      <c r="P36" s="4"/>
      <c r="Q36" s="4"/>
      <c r="R36" s="4"/>
      <c r="S36" s="4"/>
      <c r="T36" s="4"/>
      <c r="U36" s="4"/>
      <c r="V36" s="4"/>
      <c r="W36" s="4"/>
      <c r="X36" s="4"/>
      <c r="Y36" s="4"/>
      <c r="Z36" s="4"/>
    </row>
    <row r="37" customFormat="false" ht="22.5" hidden="false" customHeight="true" outlineLevel="0" collapsed="false">
      <c r="A37" s="128" t="s">
        <v>994</v>
      </c>
      <c r="B37" s="128" t="s">
        <v>995</v>
      </c>
      <c r="C37" s="4"/>
      <c r="D37" s="4"/>
      <c r="E37" s="4"/>
      <c r="F37" s="4"/>
      <c r="G37" s="4"/>
      <c r="H37" s="4"/>
      <c r="I37" s="4"/>
      <c r="J37" s="4"/>
      <c r="K37" s="4"/>
      <c r="L37" s="4"/>
      <c r="M37" s="4"/>
      <c r="N37" s="4"/>
      <c r="O37" s="4"/>
      <c r="P37" s="4"/>
      <c r="Q37" s="4"/>
      <c r="R37" s="4"/>
      <c r="S37" s="4"/>
      <c r="T37" s="4"/>
      <c r="U37" s="4"/>
      <c r="V37" s="4"/>
      <c r="W37" s="4"/>
      <c r="X37" s="4"/>
      <c r="Y37" s="4"/>
      <c r="Z37" s="4"/>
    </row>
    <row r="38" customFormat="false" ht="22.5" hidden="false" customHeight="true" outlineLevel="0" collapsed="false">
      <c r="A38" s="128" t="s">
        <v>996</v>
      </c>
      <c r="B38" s="128" t="s">
        <v>997</v>
      </c>
      <c r="C38" s="4"/>
      <c r="D38" s="4"/>
      <c r="E38" s="4"/>
      <c r="F38" s="4"/>
      <c r="G38" s="4"/>
      <c r="H38" s="4"/>
      <c r="I38" s="4"/>
      <c r="J38" s="4"/>
      <c r="K38" s="4"/>
      <c r="L38" s="4"/>
      <c r="M38" s="4"/>
      <c r="N38" s="4"/>
      <c r="O38" s="4"/>
      <c r="P38" s="4"/>
      <c r="Q38" s="4"/>
      <c r="R38" s="4"/>
      <c r="S38" s="4"/>
      <c r="T38" s="4"/>
      <c r="U38" s="4"/>
      <c r="V38" s="4"/>
      <c r="W38" s="4"/>
      <c r="X38" s="4"/>
      <c r="Y38" s="4"/>
      <c r="Z38" s="4"/>
    </row>
    <row r="39" customFormat="false" ht="22.5" hidden="false" customHeight="true" outlineLevel="0" collapsed="false">
      <c r="A39" s="128" t="s">
        <v>998</v>
      </c>
      <c r="B39" s="128" t="s">
        <v>999</v>
      </c>
      <c r="C39" s="4"/>
      <c r="D39" s="4"/>
      <c r="E39" s="4"/>
      <c r="F39" s="4"/>
      <c r="G39" s="4"/>
      <c r="H39" s="4"/>
      <c r="I39" s="4"/>
      <c r="J39" s="4"/>
      <c r="K39" s="4"/>
      <c r="L39" s="4"/>
      <c r="M39" s="4"/>
      <c r="N39" s="4"/>
      <c r="O39" s="4"/>
      <c r="P39" s="4"/>
      <c r="Q39" s="4"/>
      <c r="R39" s="4"/>
      <c r="S39" s="4"/>
      <c r="T39" s="4"/>
      <c r="U39" s="4"/>
      <c r="V39" s="4"/>
      <c r="W39" s="4"/>
      <c r="X39" s="4"/>
      <c r="Y39" s="4"/>
      <c r="Z39" s="4"/>
    </row>
    <row r="40" customFormat="false" ht="22.5" hidden="false" customHeight="true" outlineLevel="0" collapsed="false">
      <c r="A40" s="128" t="s">
        <v>958</v>
      </c>
      <c r="B40" s="128" t="s">
        <v>1000</v>
      </c>
      <c r="C40" s="4"/>
      <c r="D40" s="4"/>
      <c r="E40" s="4"/>
      <c r="F40" s="4"/>
      <c r="G40" s="4"/>
      <c r="H40" s="4"/>
      <c r="I40" s="4"/>
      <c r="J40" s="4"/>
      <c r="K40" s="4"/>
      <c r="L40" s="4"/>
      <c r="M40" s="4"/>
      <c r="N40" s="4"/>
      <c r="O40" s="4"/>
      <c r="P40" s="4"/>
      <c r="Q40" s="4"/>
      <c r="R40" s="4"/>
      <c r="S40" s="4"/>
      <c r="T40" s="4"/>
      <c r="U40" s="4"/>
      <c r="V40" s="4"/>
      <c r="W40" s="4"/>
      <c r="X40" s="4"/>
      <c r="Y40" s="4"/>
      <c r="Z40" s="4"/>
    </row>
    <row r="41" customFormat="false" ht="22.5" hidden="false" customHeight="true" outlineLevel="0" collapsed="false">
      <c r="A41" s="128" t="s">
        <v>966</v>
      </c>
      <c r="B41" s="128" t="s">
        <v>967</v>
      </c>
      <c r="C41" s="4"/>
      <c r="D41" s="4"/>
      <c r="E41" s="4"/>
      <c r="F41" s="4"/>
      <c r="G41" s="4"/>
      <c r="H41" s="4"/>
      <c r="I41" s="4"/>
      <c r="J41" s="4"/>
      <c r="K41" s="4"/>
      <c r="L41" s="4"/>
      <c r="M41" s="4"/>
      <c r="N41" s="4"/>
      <c r="O41" s="4"/>
      <c r="P41" s="4"/>
      <c r="Q41" s="4"/>
      <c r="R41" s="4"/>
      <c r="S41" s="4"/>
      <c r="T41" s="4"/>
      <c r="U41" s="4"/>
      <c r="V41" s="4"/>
      <c r="W41" s="4"/>
      <c r="X41" s="4"/>
      <c r="Y41" s="4"/>
      <c r="Z41" s="4"/>
    </row>
    <row r="42" customFormat="false" ht="22.5" hidden="false" customHeight="true" outlineLevel="0" collapsed="false">
      <c r="A42" s="21"/>
      <c r="B42" s="21"/>
      <c r="C42" s="4"/>
      <c r="D42" s="4"/>
      <c r="E42" s="4"/>
      <c r="F42" s="4"/>
      <c r="G42" s="4"/>
      <c r="H42" s="4"/>
      <c r="I42" s="4"/>
      <c r="J42" s="4"/>
      <c r="K42" s="4"/>
      <c r="L42" s="4"/>
      <c r="M42" s="4"/>
      <c r="N42" s="4"/>
      <c r="O42" s="4"/>
      <c r="P42" s="4"/>
      <c r="Q42" s="4"/>
      <c r="R42" s="4"/>
      <c r="S42" s="4"/>
      <c r="T42" s="4"/>
      <c r="U42" s="4"/>
      <c r="V42" s="4"/>
      <c r="W42" s="4"/>
      <c r="X42" s="4"/>
      <c r="Y42" s="4"/>
      <c r="Z42" s="4"/>
    </row>
    <row r="43" customFormat="false" ht="22.5" hidden="false" customHeight="true" outlineLevel="0" collapsed="false">
      <c r="A43" s="129" t="s">
        <v>1001</v>
      </c>
      <c r="B43" s="129"/>
      <c r="C43" s="4"/>
      <c r="D43" s="4"/>
      <c r="E43" s="4"/>
      <c r="F43" s="4"/>
      <c r="G43" s="4"/>
      <c r="H43" s="4"/>
      <c r="I43" s="4"/>
      <c r="J43" s="4"/>
      <c r="K43" s="4"/>
      <c r="L43" s="4"/>
      <c r="M43" s="4"/>
      <c r="N43" s="4"/>
      <c r="O43" s="4"/>
      <c r="P43" s="4"/>
      <c r="Q43" s="4"/>
      <c r="R43" s="4"/>
      <c r="S43" s="4"/>
      <c r="T43" s="4"/>
      <c r="U43" s="4"/>
      <c r="V43" s="4"/>
      <c r="W43" s="4"/>
      <c r="X43" s="4"/>
      <c r="Y43" s="4"/>
      <c r="Z43" s="4"/>
    </row>
    <row r="44" customFormat="false" ht="22.5" hidden="false" customHeight="true" outlineLevel="0" collapsed="false">
      <c r="A44" s="126" t="s">
        <v>944</v>
      </c>
      <c r="B44" s="126" t="s">
        <v>991</v>
      </c>
      <c r="C44" s="4"/>
      <c r="D44" s="4"/>
      <c r="E44" s="4"/>
      <c r="F44" s="4"/>
      <c r="G44" s="4"/>
      <c r="H44" s="4"/>
      <c r="I44" s="4"/>
      <c r="J44" s="4"/>
      <c r="K44" s="4"/>
      <c r="L44" s="4"/>
      <c r="M44" s="4"/>
      <c r="N44" s="4"/>
      <c r="O44" s="4"/>
      <c r="P44" s="4"/>
      <c r="Q44" s="4"/>
      <c r="R44" s="4"/>
      <c r="S44" s="4"/>
      <c r="T44" s="4"/>
      <c r="U44" s="4"/>
      <c r="V44" s="4"/>
      <c r="W44" s="4"/>
      <c r="X44" s="4"/>
      <c r="Y44" s="4"/>
      <c r="Z44" s="4"/>
    </row>
    <row r="45" customFormat="false" ht="22.5" hidden="false" customHeight="true" outlineLevel="0" collapsed="false">
      <c r="A45" s="128" t="s">
        <v>1002</v>
      </c>
      <c r="B45" s="128" t="s">
        <v>1003</v>
      </c>
      <c r="C45" s="4"/>
      <c r="D45" s="4"/>
      <c r="E45" s="4"/>
      <c r="F45" s="4"/>
      <c r="G45" s="4"/>
      <c r="H45" s="4"/>
      <c r="I45" s="4"/>
      <c r="J45" s="4"/>
      <c r="K45" s="4"/>
      <c r="L45" s="4"/>
      <c r="M45" s="4"/>
      <c r="N45" s="4"/>
      <c r="O45" s="4"/>
      <c r="P45" s="4"/>
      <c r="Q45" s="4"/>
      <c r="R45" s="4"/>
      <c r="S45" s="4"/>
      <c r="T45" s="4"/>
      <c r="U45" s="4"/>
      <c r="V45" s="4"/>
      <c r="W45" s="4"/>
      <c r="X45" s="4"/>
      <c r="Y45" s="4"/>
      <c r="Z45" s="4"/>
    </row>
    <row r="46" customFormat="false" ht="22.5" hidden="false" customHeight="true" outlineLevel="0" collapsed="false">
      <c r="A46" s="128" t="s">
        <v>1004</v>
      </c>
      <c r="B46" s="128" t="s">
        <v>1005</v>
      </c>
      <c r="C46" s="4"/>
      <c r="D46" s="4"/>
      <c r="E46" s="4"/>
      <c r="F46" s="4"/>
      <c r="G46" s="4"/>
      <c r="H46" s="4"/>
      <c r="I46" s="4"/>
      <c r="J46" s="4"/>
      <c r="K46" s="4"/>
      <c r="L46" s="4"/>
      <c r="M46" s="4"/>
      <c r="N46" s="4"/>
      <c r="O46" s="4"/>
      <c r="P46" s="4"/>
      <c r="Q46" s="4"/>
      <c r="R46" s="4"/>
      <c r="S46" s="4"/>
      <c r="T46" s="4"/>
      <c r="U46" s="4"/>
      <c r="V46" s="4"/>
      <c r="W46" s="4"/>
      <c r="X46" s="4"/>
      <c r="Y46" s="4"/>
      <c r="Z46" s="4"/>
    </row>
    <row r="47" customFormat="false" ht="22.5" hidden="false" customHeight="true" outlineLevel="0" collapsed="false">
      <c r="A47" s="21"/>
      <c r="B47" s="21"/>
      <c r="C47" s="4"/>
      <c r="D47" s="4"/>
      <c r="E47" s="4"/>
      <c r="F47" s="4"/>
      <c r="G47" s="4"/>
      <c r="H47" s="4"/>
      <c r="I47" s="4"/>
      <c r="J47" s="4"/>
      <c r="K47" s="4"/>
      <c r="L47" s="4"/>
      <c r="M47" s="4"/>
      <c r="N47" s="4"/>
      <c r="O47" s="4"/>
      <c r="P47" s="4"/>
      <c r="Q47" s="4"/>
      <c r="R47" s="4"/>
      <c r="S47" s="4"/>
      <c r="T47" s="4"/>
      <c r="U47" s="4"/>
      <c r="V47" s="4"/>
      <c r="W47" s="4"/>
      <c r="X47" s="4"/>
      <c r="Y47" s="4"/>
      <c r="Z47" s="4"/>
    </row>
    <row r="48" customFormat="false" ht="22.5" hidden="false" customHeight="true" outlineLevel="0" collapsed="false">
      <c r="A48" s="125" t="s">
        <v>1006</v>
      </c>
      <c r="B48" s="125"/>
      <c r="C48" s="4"/>
      <c r="D48" s="4"/>
      <c r="E48" s="4"/>
      <c r="F48" s="4"/>
      <c r="G48" s="4"/>
      <c r="H48" s="4"/>
      <c r="I48" s="4"/>
      <c r="J48" s="4"/>
      <c r="K48" s="4"/>
      <c r="L48" s="4"/>
      <c r="M48" s="4"/>
      <c r="N48" s="4"/>
      <c r="O48" s="4"/>
      <c r="P48" s="4"/>
      <c r="Q48" s="4"/>
      <c r="R48" s="4"/>
      <c r="S48" s="4"/>
      <c r="T48" s="4"/>
      <c r="U48" s="4"/>
      <c r="V48" s="4"/>
      <c r="W48" s="4"/>
      <c r="X48" s="4"/>
      <c r="Y48" s="4"/>
      <c r="Z48" s="4"/>
    </row>
    <row r="49" customFormat="false" ht="22.5" hidden="false" customHeight="true" outlineLevel="0" collapsed="false">
      <c r="A49" s="126" t="s">
        <v>944</v>
      </c>
      <c r="B49" s="126" t="s">
        <v>945</v>
      </c>
      <c r="C49" s="4"/>
      <c r="D49" s="4"/>
      <c r="E49" s="4"/>
      <c r="F49" s="4"/>
      <c r="G49" s="4"/>
      <c r="H49" s="4"/>
      <c r="I49" s="4"/>
      <c r="J49" s="4"/>
      <c r="K49" s="4"/>
      <c r="L49" s="4"/>
      <c r="M49" s="4"/>
      <c r="N49" s="4"/>
      <c r="O49" s="4"/>
      <c r="P49" s="4"/>
      <c r="Q49" s="4"/>
      <c r="R49" s="4"/>
      <c r="S49" s="4"/>
      <c r="T49" s="4"/>
      <c r="U49" s="4"/>
      <c r="V49" s="4"/>
      <c r="W49" s="4"/>
      <c r="X49" s="4"/>
      <c r="Y49" s="4"/>
      <c r="Z49" s="4"/>
    </row>
    <row r="50" customFormat="false" ht="22.5" hidden="false" customHeight="true" outlineLevel="0" collapsed="false">
      <c r="A50" s="21" t="s">
        <v>1007</v>
      </c>
      <c r="B50" s="21" t="s">
        <v>1008</v>
      </c>
      <c r="C50" s="4"/>
      <c r="D50" s="4"/>
      <c r="E50" s="4"/>
      <c r="F50" s="4"/>
      <c r="G50" s="4"/>
      <c r="H50" s="4"/>
      <c r="I50" s="4"/>
      <c r="J50" s="4"/>
      <c r="K50" s="4"/>
      <c r="L50" s="4"/>
      <c r="M50" s="4"/>
      <c r="N50" s="4"/>
      <c r="O50" s="4"/>
      <c r="P50" s="4"/>
      <c r="Q50" s="4"/>
      <c r="R50" s="4"/>
      <c r="S50" s="4"/>
      <c r="T50" s="4"/>
      <c r="U50" s="4"/>
      <c r="V50" s="4"/>
      <c r="W50" s="4"/>
      <c r="X50" s="4"/>
      <c r="Y50" s="4"/>
      <c r="Z50" s="4"/>
    </row>
    <row r="51" customFormat="false" ht="22.5" hidden="false" customHeight="true" outlineLevel="0" collapsed="false">
      <c r="A51" s="21" t="s">
        <v>1009</v>
      </c>
      <c r="B51" s="21" t="s">
        <v>1010</v>
      </c>
      <c r="C51" s="4"/>
      <c r="D51" s="4"/>
      <c r="E51" s="4"/>
      <c r="F51" s="4"/>
      <c r="G51" s="4"/>
      <c r="H51" s="4"/>
      <c r="I51" s="4"/>
      <c r="J51" s="4"/>
      <c r="K51" s="4"/>
      <c r="L51" s="4"/>
      <c r="M51" s="4"/>
      <c r="N51" s="4"/>
      <c r="O51" s="4"/>
      <c r="P51" s="4"/>
      <c r="Q51" s="4"/>
      <c r="R51" s="4"/>
      <c r="S51" s="4"/>
      <c r="T51" s="4"/>
      <c r="U51" s="4"/>
      <c r="V51" s="4"/>
      <c r="W51" s="4"/>
      <c r="X51" s="4"/>
      <c r="Y51" s="4"/>
      <c r="Z51" s="4"/>
    </row>
    <row r="52" customFormat="false" ht="22.5" hidden="false" customHeight="true" outlineLevel="0" collapsed="false">
      <c r="A52" s="21" t="s">
        <v>1011</v>
      </c>
      <c r="B52" s="21" t="s">
        <v>1012</v>
      </c>
      <c r="C52" s="4"/>
      <c r="D52" s="4"/>
      <c r="E52" s="4"/>
      <c r="F52" s="4"/>
      <c r="G52" s="4"/>
      <c r="H52" s="4"/>
      <c r="I52" s="4"/>
      <c r="J52" s="4"/>
      <c r="K52" s="4"/>
      <c r="L52" s="4"/>
      <c r="M52" s="4"/>
      <c r="N52" s="4"/>
      <c r="O52" s="4"/>
      <c r="P52" s="4"/>
      <c r="Q52" s="4"/>
      <c r="R52" s="4"/>
      <c r="S52" s="4"/>
      <c r="T52" s="4"/>
      <c r="U52" s="4"/>
      <c r="V52" s="4"/>
      <c r="W52" s="4"/>
      <c r="X52" s="4"/>
      <c r="Y52" s="4"/>
      <c r="Z52" s="4"/>
    </row>
    <row r="53" customFormat="false" ht="22.5" hidden="false" customHeight="true" outlineLevel="0" collapsed="false">
      <c r="A53" s="126"/>
      <c r="B53" s="126"/>
      <c r="C53" s="4"/>
      <c r="D53" s="4"/>
      <c r="E53" s="4"/>
      <c r="F53" s="4"/>
      <c r="G53" s="4"/>
      <c r="H53" s="4"/>
      <c r="I53" s="4"/>
      <c r="J53" s="4"/>
      <c r="K53" s="4"/>
      <c r="L53" s="4"/>
      <c r="M53" s="4"/>
      <c r="N53" s="4"/>
      <c r="O53" s="4"/>
      <c r="P53" s="4"/>
      <c r="Q53" s="4"/>
      <c r="R53" s="4"/>
      <c r="S53" s="4"/>
      <c r="T53" s="4"/>
      <c r="U53" s="4"/>
      <c r="V53" s="4"/>
      <c r="W53" s="4"/>
      <c r="X53" s="4"/>
      <c r="Y53" s="4"/>
      <c r="Z53" s="4"/>
    </row>
    <row r="54" customFormat="false" ht="22.5" hidden="false" customHeight="true" outlineLevel="0" collapsed="false">
      <c r="A54" s="125" t="s">
        <v>1013</v>
      </c>
      <c r="B54" s="125"/>
      <c r="C54" s="4"/>
      <c r="D54" s="4"/>
      <c r="E54" s="4"/>
      <c r="F54" s="4"/>
      <c r="G54" s="4"/>
      <c r="H54" s="4"/>
      <c r="I54" s="4"/>
      <c r="J54" s="4"/>
      <c r="K54" s="4"/>
      <c r="L54" s="4"/>
      <c r="M54" s="4"/>
      <c r="N54" s="4"/>
      <c r="O54" s="4"/>
      <c r="P54" s="4"/>
      <c r="Q54" s="4"/>
      <c r="R54" s="4"/>
      <c r="S54" s="4"/>
      <c r="T54" s="4"/>
      <c r="U54" s="4"/>
      <c r="V54" s="4"/>
      <c r="W54" s="4"/>
      <c r="X54" s="4"/>
      <c r="Y54" s="4"/>
      <c r="Z54" s="4"/>
    </row>
    <row r="55" customFormat="false" ht="22.5" hidden="false" customHeight="true" outlineLevel="0" collapsed="false">
      <c r="A55" s="126" t="s">
        <v>944</v>
      </c>
      <c r="B55" s="126" t="s">
        <v>945</v>
      </c>
      <c r="C55" s="4"/>
      <c r="D55" s="4"/>
      <c r="E55" s="4"/>
      <c r="F55" s="4"/>
      <c r="G55" s="4"/>
      <c r="H55" s="4"/>
      <c r="I55" s="4"/>
      <c r="J55" s="4"/>
      <c r="K55" s="4"/>
      <c r="L55" s="4"/>
      <c r="M55" s="4"/>
      <c r="N55" s="4"/>
      <c r="O55" s="4"/>
      <c r="P55" s="4"/>
      <c r="Q55" s="4"/>
      <c r="R55" s="4"/>
      <c r="S55" s="4"/>
      <c r="T55" s="4"/>
      <c r="U55" s="4"/>
      <c r="V55" s="4"/>
      <c r="W55" s="4"/>
      <c r="X55" s="4"/>
      <c r="Y55" s="4"/>
      <c r="Z55" s="4"/>
    </row>
    <row r="56" customFormat="false" ht="22.5" hidden="false" customHeight="true" outlineLevel="0" collapsed="false">
      <c r="A56" s="21" t="s">
        <v>1014</v>
      </c>
      <c r="B56" s="21" t="s">
        <v>1015</v>
      </c>
      <c r="C56" s="4"/>
      <c r="D56" s="4"/>
      <c r="E56" s="4"/>
      <c r="F56" s="4"/>
      <c r="G56" s="4"/>
      <c r="H56" s="4"/>
      <c r="I56" s="4"/>
      <c r="J56" s="4"/>
      <c r="K56" s="4"/>
      <c r="L56" s="4"/>
      <c r="M56" s="4"/>
      <c r="N56" s="4"/>
      <c r="O56" s="4"/>
      <c r="P56" s="4"/>
      <c r="Q56" s="4"/>
      <c r="R56" s="4"/>
      <c r="S56" s="4"/>
      <c r="T56" s="4"/>
      <c r="U56" s="4"/>
      <c r="V56" s="4"/>
      <c r="W56" s="4"/>
      <c r="X56" s="4"/>
      <c r="Y56" s="4"/>
      <c r="Z56" s="4"/>
    </row>
    <row r="57" customFormat="false" ht="22.5" hidden="false" customHeight="true" outlineLevel="0" collapsed="false">
      <c r="A57" s="21" t="s">
        <v>1016</v>
      </c>
      <c r="B57" s="21" t="s">
        <v>1017</v>
      </c>
      <c r="C57" s="4"/>
      <c r="D57" s="4"/>
      <c r="E57" s="4"/>
      <c r="F57" s="4"/>
      <c r="G57" s="4"/>
      <c r="H57" s="4"/>
      <c r="I57" s="4"/>
      <c r="J57" s="4"/>
      <c r="K57" s="4"/>
      <c r="L57" s="4"/>
      <c r="M57" s="4"/>
      <c r="N57" s="4"/>
      <c r="O57" s="4"/>
      <c r="P57" s="4"/>
      <c r="Q57" s="4"/>
      <c r="R57" s="4"/>
      <c r="S57" s="4"/>
      <c r="T57" s="4"/>
      <c r="U57" s="4"/>
      <c r="V57" s="4"/>
      <c r="W57" s="4"/>
      <c r="X57" s="4"/>
      <c r="Y57" s="4"/>
      <c r="Z57" s="4"/>
    </row>
    <row r="58" customFormat="false" ht="22.5" hidden="false" customHeight="true" outlineLevel="0" collapsed="false">
      <c r="A58" s="21" t="s">
        <v>1018</v>
      </c>
      <c r="B58" s="21" t="s">
        <v>1019</v>
      </c>
      <c r="C58" s="4"/>
      <c r="D58" s="4"/>
      <c r="E58" s="4"/>
      <c r="F58" s="4"/>
      <c r="G58" s="4"/>
      <c r="H58" s="4"/>
      <c r="I58" s="4"/>
      <c r="J58" s="4"/>
      <c r="K58" s="4"/>
      <c r="L58" s="4"/>
      <c r="M58" s="4"/>
      <c r="N58" s="4"/>
      <c r="O58" s="4"/>
      <c r="P58" s="4"/>
      <c r="Q58" s="4"/>
      <c r="R58" s="4"/>
      <c r="S58" s="4"/>
      <c r="T58" s="4"/>
      <c r="U58" s="4"/>
      <c r="V58" s="4"/>
      <c r="W58" s="4"/>
      <c r="X58" s="4"/>
      <c r="Y58" s="4"/>
      <c r="Z58" s="4"/>
    </row>
    <row r="59" customFormat="false" ht="22.5" hidden="false" customHeight="true" outlineLevel="0" collapsed="false">
      <c r="A59" s="21" t="s">
        <v>1020</v>
      </c>
      <c r="B59" s="21" t="s">
        <v>1021</v>
      </c>
      <c r="C59" s="4"/>
      <c r="D59" s="4"/>
      <c r="E59" s="4"/>
      <c r="F59" s="4"/>
      <c r="G59" s="4"/>
      <c r="H59" s="4"/>
      <c r="I59" s="4"/>
      <c r="J59" s="4"/>
      <c r="K59" s="4"/>
      <c r="L59" s="4"/>
      <c r="M59" s="4"/>
      <c r="N59" s="4"/>
      <c r="O59" s="4"/>
      <c r="P59" s="4"/>
      <c r="Q59" s="4"/>
      <c r="R59" s="4"/>
      <c r="S59" s="4"/>
      <c r="T59" s="4"/>
      <c r="U59" s="4"/>
      <c r="V59" s="4"/>
      <c r="W59" s="4"/>
      <c r="X59" s="4"/>
      <c r="Y59" s="4"/>
      <c r="Z59" s="4"/>
    </row>
    <row r="60" customFormat="false" ht="22.5" hidden="false" customHeight="true" outlineLevel="0" collapsed="false">
      <c r="A60" s="21" t="s">
        <v>1022</v>
      </c>
      <c r="B60" s="21" t="s">
        <v>1023</v>
      </c>
      <c r="C60" s="4"/>
      <c r="D60" s="4"/>
      <c r="E60" s="4"/>
      <c r="F60" s="4"/>
      <c r="G60" s="4"/>
      <c r="H60" s="4"/>
      <c r="I60" s="4"/>
      <c r="J60" s="4"/>
      <c r="K60" s="4"/>
      <c r="L60" s="4"/>
      <c r="M60" s="4"/>
      <c r="N60" s="4"/>
      <c r="O60" s="4"/>
      <c r="P60" s="4"/>
      <c r="Q60" s="4"/>
      <c r="R60" s="4"/>
      <c r="S60" s="4"/>
      <c r="T60" s="4"/>
      <c r="U60" s="4"/>
      <c r="V60" s="4"/>
      <c r="W60" s="4"/>
      <c r="X60" s="4"/>
      <c r="Y60" s="4"/>
      <c r="Z60" s="4"/>
    </row>
    <row r="61" customFormat="false" ht="22.5" hidden="false" customHeight="true" outlineLevel="0" collapsed="false">
      <c r="A61" s="21"/>
      <c r="B61" s="21"/>
      <c r="C61" s="4"/>
      <c r="D61" s="4"/>
      <c r="E61" s="4"/>
      <c r="F61" s="4"/>
      <c r="G61" s="4"/>
      <c r="H61" s="4"/>
      <c r="I61" s="4"/>
      <c r="J61" s="4"/>
      <c r="K61" s="4"/>
      <c r="L61" s="4"/>
      <c r="M61" s="4"/>
      <c r="N61" s="4"/>
      <c r="O61" s="4"/>
      <c r="P61" s="4"/>
      <c r="Q61" s="4"/>
      <c r="R61" s="4"/>
      <c r="S61" s="4"/>
      <c r="T61" s="4"/>
      <c r="U61" s="4"/>
      <c r="V61" s="4"/>
      <c r="W61" s="4"/>
      <c r="X61" s="4"/>
      <c r="Y61" s="4"/>
      <c r="Z61" s="4"/>
    </row>
    <row r="62" customFormat="false" ht="22.5" hidden="false" customHeight="true" outlineLevel="0" collapsed="false">
      <c r="A62" s="125" t="s">
        <v>1024</v>
      </c>
      <c r="B62" s="125"/>
      <c r="C62" s="4"/>
      <c r="D62" s="4"/>
      <c r="E62" s="4"/>
      <c r="F62" s="4"/>
      <c r="G62" s="4"/>
      <c r="H62" s="4"/>
      <c r="I62" s="4"/>
      <c r="J62" s="4"/>
      <c r="K62" s="4"/>
      <c r="L62" s="4"/>
      <c r="M62" s="4"/>
      <c r="N62" s="4"/>
      <c r="O62" s="4"/>
      <c r="P62" s="4"/>
      <c r="Q62" s="4"/>
      <c r="R62" s="4"/>
      <c r="S62" s="4"/>
      <c r="T62" s="4"/>
      <c r="U62" s="4"/>
      <c r="V62" s="4"/>
      <c r="W62" s="4"/>
      <c r="X62" s="4"/>
      <c r="Y62" s="4"/>
      <c r="Z62" s="4"/>
    </row>
    <row r="63" customFormat="false" ht="22.5" hidden="false" customHeight="true" outlineLevel="0" collapsed="false">
      <c r="A63" s="126" t="s">
        <v>944</v>
      </c>
      <c r="B63" s="126" t="s">
        <v>945</v>
      </c>
      <c r="C63" s="4"/>
      <c r="D63" s="4"/>
      <c r="E63" s="4"/>
      <c r="F63" s="4"/>
      <c r="G63" s="4"/>
      <c r="H63" s="4"/>
      <c r="I63" s="4"/>
      <c r="J63" s="4"/>
      <c r="K63" s="4"/>
      <c r="L63" s="4"/>
      <c r="M63" s="4"/>
      <c r="N63" s="4"/>
      <c r="O63" s="4"/>
      <c r="P63" s="4"/>
      <c r="Q63" s="4"/>
      <c r="R63" s="4"/>
      <c r="S63" s="4"/>
      <c r="T63" s="4"/>
      <c r="U63" s="4"/>
      <c r="V63" s="4"/>
      <c r="W63" s="4"/>
      <c r="X63" s="4"/>
      <c r="Y63" s="4"/>
      <c r="Z63" s="4"/>
    </row>
    <row r="64" customFormat="false" ht="22.5" hidden="false" customHeight="true" outlineLevel="0" collapsed="false">
      <c r="A64" s="21" t="s">
        <v>1025</v>
      </c>
      <c r="B64" s="21" t="s">
        <v>1026</v>
      </c>
      <c r="C64" s="4"/>
      <c r="D64" s="4"/>
      <c r="E64" s="4"/>
      <c r="F64" s="4"/>
      <c r="G64" s="4"/>
      <c r="H64" s="4"/>
      <c r="I64" s="4"/>
      <c r="J64" s="4"/>
      <c r="K64" s="4"/>
      <c r="L64" s="4"/>
      <c r="M64" s="4"/>
      <c r="N64" s="4"/>
      <c r="O64" s="4"/>
      <c r="P64" s="4"/>
      <c r="Q64" s="4"/>
      <c r="R64" s="4"/>
      <c r="S64" s="4"/>
      <c r="T64" s="4"/>
      <c r="U64" s="4"/>
      <c r="V64" s="4"/>
      <c r="W64" s="4"/>
      <c r="X64" s="4"/>
      <c r="Y64" s="4"/>
      <c r="Z64" s="4"/>
    </row>
    <row r="65" customFormat="false" ht="22.5" hidden="false" customHeight="true" outlineLevel="0" collapsed="false">
      <c r="A65" s="21" t="s">
        <v>1027</v>
      </c>
      <c r="B65" s="21" t="s">
        <v>1028</v>
      </c>
      <c r="C65" s="4"/>
      <c r="D65" s="4"/>
      <c r="E65" s="4"/>
      <c r="F65" s="4"/>
      <c r="G65" s="4"/>
      <c r="H65" s="4"/>
      <c r="I65" s="4"/>
      <c r="J65" s="4"/>
      <c r="K65" s="4"/>
      <c r="L65" s="4"/>
      <c r="M65" s="4"/>
      <c r="N65" s="4"/>
      <c r="O65" s="4"/>
      <c r="P65" s="4"/>
      <c r="Q65" s="4"/>
      <c r="R65" s="4"/>
      <c r="S65" s="4"/>
      <c r="T65" s="4"/>
      <c r="U65" s="4"/>
      <c r="V65" s="4"/>
      <c r="W65" s="4"/>
      <c r="X65" s="4"/>
      <c r="Y65" s="4"/>
      <c r="Z65" s="4"/>
    </row>
    <row r="66" customFormat="false" ht="22.5" hidden="false" customHeight="true" outlineLevel="0" collapsed="false">
      <c r="A66" s="21" t="s">
        <v>1029</v>
      </c>
      <c r="B66" s="21" t="s">
        <v>1030</v>
      </c>
      <c r="C66" s="4"/>
      <c r="D66" s="4"/>
      <c r="E66" s="4"/>
      <c r="F66" s="4"/>
      <c r="G66" s="4"/>
      <c r="H66" s="4"/>
      <c r="I66" s="4"/>
      <c r="J66" s="4"/>
      <c r="K66" s="4"/>
      <c r="L66" s="4"/>
      <c r="M66" s="4"/>
      <c r="N66" s="4"/>
      <c r="O66" s="4"/>
      <c r="P66" s="4"/>
      <c r="Q66" s="4"/>
      <c r="R66" s="4"/>
      <c r="S66" s="4"/>
      <c r="T66" s="4"/>
      <c r="U66" s="4"/>
      <c r="V66" s="4"/>
      <c r="W66" s="4"/>
      <c r="X66" s="4"/>
      <c r="Y66" s="4"/>
      <c r="Z66" s="4"/>
    </row>
    <row r="67" customFormat="false" ht="22.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22.5" hidden="false" customHeight="true" outlineLevel="0" collapsed="false">
      <c r="A68" s="125" t="s">
        <v>1031</v>
      </c>
      <c r="B68" s="125"/>
      <c r="C68" s="4"/>
      <c r="D68" s="4"/>
      <c r="E68" s="4"/>
      <c r="F68" s="4"/>
      <c r="G68" s="4"/>
      <c r="H68" s="4"/>
      <c r="I68" s="4"/>
      <c r="J68" s="4"/>
      <c r="K68" s="4"/>
      <c r="L68" s="4"/>
      <c r="M68" s="4"/>
      <c r="N68" s="4"/>
      <c r="O68" s="4"/>
      <c r="P68" s="4"/>
      <c r="Q68" s="4"/>
      <c r="R68" s="4"/>
      <c r="S68" s="4"/>
      <c r="T68" s="4"/>
      <c r="U68" s="4"/>
      <c r="V68" s="4"/>
      <c r="W68" s="4"/>
      <c r="X68" s="4"/>
      <c r="Y68" s="4"/>
      <c r="Z68" s="4"/>
    </row>
    <row r="69" customFormat="false" ht="22.5" hidden="false" customHeight="true" outlineLevel="0" collapsed="false">
      <c r="A69" s="126" t="s">
        <v>944</v>
      </c>
      <c r="B69" s="126" t="s">
        <v>945</v>
      </c>
      <c r="C69" s="4"/>
      <c r="D69" s="4"/>
      <c r="E69" s="4"/>
      <c r="F69" s="4"/>
      <c r="G69" s="4"/>
      <c r="H69" s="4"/>
      <c r="I69" s="4"/>
      <c r="J69" s="4"/>
      <c r="K69" s="4"/>
      <c r="L69" s="4"/>
      <c r="M69" s="4"/>
      <c r="N69" s="4"/>
      <c r="O69" s="4"/>
      <c r="P69" s="4"/>
      <c r="Q69" s="4"/>
      <c r="R69" s="4"/>
      <c r="S69" s="4"/>
      <c r="T69" s="4"/>
      <c r="U69" s="4"/>
      <c r="V69" s="4"/>
      <c r="W69" s="4"/>
      <c r="X69" s="4"/>
      <c r="Y69" s="4"/>
      <c r="Z69" s="4"/>
    </row>
    <row r="70" customFormat="false" ht="22.5" hidden="false" customHeight="true" outlineLevel="0" collapsed="false">
      <c r="A70" s="21" t="s">
        <v>1032</v>
      </c>
      <c r="B70" s="21" t="s">
        <v>1033</v>
      </c>
      <c r="C70" s="4"/>
      <c r="D70" s="4"/>
      <c r="E70" s="4"/>
      <c r="F70" s="4"/>
      <c r="G70" s="4"/>
      <c r="H70" s="4"/>
      <c r="I70" s="4"/>
      <c r="J70" s="4"/>
      <c r="K70" s="4"/>
      <c r="L70" s="4"/>
      <c r="M70" s="4"/>
      <c r="N70" s="4"/>
      <c r="O70" s="4"/>
      <c r="P70" s="4"/>
      <c r="Q70" s="4"/>
      <c r="R70" s="4"/>
      <c r="S70" s="4"/>
      <c r="T70" s="4"/>
      <c r="U70" s="4"/>
      <c r="V70" s="4"/>
      <c r="W70" s="4"/>
      <c r="X70" s="4"/>
      <c r="Y70" s="4"/>
      <c r="Z70" s="4"/>
    </row>
    <row r="71" customFormat="false" ht="22.5" hidden="false" customHeight="true" outlineLevel="0" collapsed="false">
      <c r="A71" s="21" t="s">
        <v>1034</v>
      </c>
      <c r="B71" s="21" t="s">
        <v>1035</v>
      </c>
      <c r="C71" s="4"/>
      <c r="D71" s="4"/>
      <c r="E71" s="4"/>
      <c r="F71" s="4"/>
      <c r="G71" s="4"/>
      <c r="H71" s="4"/>
      <c r="I71" s="4"/>
      <c r="J71" s="4"/>
      <c r="K71" s="4"/>
      <c r="L71" s="4"/>
      <c r="M71" s="4"/>
      <c r="N71" s="4"/>
      <c r="O71" s="4"/>
      <c r="P71" s="4"/>
      <c r="Q71" s="4"/>
      <c r="R71" s="4"/>
      <c r="S71" s="4"/>
      <c r="T71" s="4"/>
      <c r="U71" s="4"/>
      <c r="V71" s="4"/>
      <c r="W71" s="4"/>
      <c r="X71" s="4"/>
      <c r="Y71" s="4"/>
      <c r="Z71" s="4"/>
    </row>
    <row r="72" customFormat="false" ht="22.5" hidden="false" customHeight="true" outlineLevel="0" collapsed="false">
      <c r="A72" s="21" t="s">
        <v>986</v>
      </c>
      <c r="B72" s="21" t="s">
        <v>1036</v>
      </c>
      <c r="C72" s="4"/>
      <c r="D72" s="4"/>
      <c r="E72" s="4"/>
      <c r="F72" s="4"/>
      <c r="G72" s="4"/>
      <c r="H72" s="4"/>
      <c r="I72" s="4"/>
      <c r="J72" s="4"/>
      <c r="K72" s="4"/>
      <c r="L72" s="4"/>
      <c r="M72" s="4"/>
      <c r="N72" s="4"/>
      <c r="O72" s="4"/>
      <c r="P72" s="4"/>
      <c r="Q72" s="4"/>
      <c r="R72" s="4"/>
      <c r="S72" s="4"/>
      <c r="T72" s="4"/>
      <c r="U72" s="4"/>
      <c r="V72" s="4"/>
      <c r="W72" s="4"/>
      <c r="X72" s="4"/>
      <c r="Y72" s="4"/>
      <c r="Z72" s="4"/>
    </row>
    <row r="73" customFormat="false" ht="22.5" hidden="false" customHeight="true" outlineLevel="0" collapsed="false">
      <c r="A73" s="21" t="s">
        <v>1037</v>
      </c>
      <c r="B73" s="21" t="s">
        <v>1038</v>
      </c>
      <c r="C73" s="4"/>
      <c r="D73" s="4"/>
      <c r="E73" s="4"/>
      <c r="F73" s="4"/>
      <c r="G73" s="4"/>
      <c r="H73" s="4"/>
      <c r="I73" s="4"/>
      <c r="J73" s="4"/>
      <c r="K73" s="4"/>
      <c r="L73" s="4"/>
      <c r="M73" s="4"/>
      <c r="N73" s="4"/>
      <c r="O73" s="4"/>
      <c r="P73" s="4"/>
      <c r="Q73" s="4"/>
      <c r="R73" s="4"/>
      <c r="S73" s="4"/>
      <c r="T73" s="4"/>
      <c r="U73" s="4"/>
      <c r="V73" s="4"/>
      <c r="W73" s="4"/>
      <c r="X73" s="4"/>
      <c r="Y73" s="4"/>
      <c r="Z73" s="4"/>
    </row>
    <row r="74" customFormat="false" ht="22.5" hidden="false" customHeight="true" outlineLevel="0" collapsed="false">
      <c r="A74" s="127"/>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22.5" hidden="false" customHeight="true" outlineLevel="0" collapsed="false">
      <c r="A75" s="125" t="s">
        <v>1039</v>
      </c>
      <c r="B75" s="125"/>
      <c r="C75" s="4"/>
      <c r="D75" s="4"/>
      <c r="E75" s="4"/>
      <c r="F75" s="4"/>
      <c r="G75" s="4"/>
      <c r="H75" s="4"/>
      <c r="I75" s="4"/>
      <c r="J75" s="4"/>
      <c r="K75" s="4"/>
      <c r="L75" s="4"/>
      <c r="M75" s="4"/>
      <c r="N75" s="4"/>
      <c r="O75" s="4"/>
      <c r="P75" s="4"/>
      <c r="Q75" s="4"/>
      <c r="R75" s="4"/>
      <c r="S75" s="4"/>
      <c r="T75" s="4"/>
      <c r="U75" s="4"/>
      <c r="V75" s="4"/>
      <c r="W75" s="4"/>
      <c r="X75" s="4"/>
      <c r="Y75" s="4"/>
      <c r="Z75" s="4"/>
    </row>
    <row r="76" customFormat="false" ht="22.5" hidden="false" customHeight="true" outlineLevel="0" collapsed="false">
      <c r="A76" s="126" t="s">
        <v>944</v>
      </c>
      <c r="B76" s="126" t="s">
        <v>945</v>
      </c>
      <c r="C76" s="4"/>
      <c r="D76" s="4"/>
      <c r="E76" s="4"/>
      <c r="F76" s="4"/>
      <c r="G76" s="4"/>
      <c r="H76" s="4"/>
      <c r="I76" s="4"/>
      <c r="J76" s="4"/>
      <c r="K76" s="4"/>
      <c r="L76" s="4"/>
      <c r="M76" s="4"/>
      <c r="N76" s="4"/>
      <c r="O76" s="4"/>
      <c r="P76" s="4"/>
      <c r="Q76" s="4"/>
      <c r="R76" s="4"/>
      <c r="S76" s="4"/>
      <c r="T76" s="4"/>
      <c r="U76" s="4"/>
      <c r="V76" s="4"/>
      <c r="W76" s="4"/>
      <c r="X76" s="4"/>
      <c r="Y76" s="4"/>
      <c r="Z76" s="4"/>
    </row>
    <row r="77" customFormat="false" ht="22.5" hidden="false" customHeight="true" outlineLevel="0" collapsed="false">
      <c r="A77" s="21" t="s">
        <v>1025</v>
      </c>
      <c r="B77" s="21" t="s">
        <v>1040</v>
      </c>
      <c r="C77" s="4"/>
      <c r="D77" s="4"/>
      <c r="E77" s="4"/>
      <c r="F77" s="4"/>
      <c r="G77" s="4"/>
      <c r="H77" s="4"/>
      <c r="I77" s="4"/>
      <c r="J77" s="4"/>
      <c r="K77" s="4"/>
      <c r="L77" s="4"/>
      <c r="M77" s="4"/>
      <c r="N77" s="4"/>
      <c r="O77" s="4"/>
      <c r="P77" s="4"/>
      <c r="Q77" s="4"/>
      <c r="R77" s="4"/>
      <c r="S77" s="4"/>
      <c r="T77" s="4"/>
      <c r="U77" s="4"/>
      <c r="V77" s="4"/>
      <c r="W77" s="4"/>
      <c r="X77" s="4"/>
      <c r="Y77" s="4"/>
      <c r="Z77" s="4"/>
    </row>
    <row r="78" customFormat="false" ht="22.5" hidden="false" customHeight="true" outlineLevel="0" collapsed="false">
      <c r="A78" s="21" t="s">
        <v>1027</v>
      </c>
      <c r="B78" s="21" t="s">
        <v>1041</v>
      </c>
      <c r="C78" s="4"/>
      <c r="D78" s="4"/>
      <c r="E78" s="4"/>
      <c r="F78" s="4"/>
      <c r="G78" s="4"/>
      <c r="H78" s="4"/>
      <c r="I78" s="4"/>
      <c r="J78" s="4"/>
      <c r="K78" s="4"/>
      <c r="L78" s="4"/>
      <c r="M78" s="4"/>
      <c r="N78" s="4"/>
      <c r="O78" s="4"/>
      <c r="P78" s="4"/>
      <c r="Q78" s="4"/>
      <c r="R78" s="4"/>
      <c r="S78" s="4"/>
      <c r="T78" s="4"/>
      <c r="U78" s="4"/>
      <c r="V78" s="4"/>
      <c r="W78" s="4"/>
      <c r="X78" s="4"/>
      <c r="Y78" s="4"/>
      <c r="Z78" s="4"/>
    </row>
    <row r="79" customFormat="false" ht="22.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22.5" hidden="false" customHeight="true" outlineLevel="0" collapsed="false">
      <c r="A80" s="125" t="s">
        <v>1042</v>
      </c>
      <c r="B80" s="125"/>
      <c r="C80" s="4"/>
      <c r="D80" s="4"/>
      <c r="E80" s="4"/>
      <c r="F80" s="4"/>
      <c r="G80" s="4"/>
      <c r="H80" s="4"/>
      <c r="I80" s="4"/>
      <c r="J80" s="4"/>
      <c r="K80" s="4"/>
      <c r="L80" s="4"/>
      <c r="M80" s="4"/>
      <c r="N80" s="4"/>
      <c r="O80" s="4"/>
      <c r="P80" s="4"/>
      <c r="Q80" s="4"/>
      <c r="R80" s="4"/>
      <c r="S80" s="4"/>
      <c r="T80" s="4"/>
      <c r="U80" s="4"/>
      <c r="V80" s="4"/>
      <c r="W80" s="4"/>
      <c r="X80" s="4"/>
      <c r="Y80" s="4"/>
      <c r="Z80" s="4"/>
    </row>
    <row r="81" customFormat="false" ht="22.5" hidden="false" customHeight="true" outlineLevel="0" collapsed="false">
      <c r="A81" s="126" t="s">
        <v>944</v>
      </c>
      <c r="B81" s="126" t="s">
        <v>945</v>
      </c>
      <c r="C81" s="4"/>
      <c r="D81" s="4"/>
      <c r="E81" s="4"/>
      <c r="F81" s="4"/>
      <c r="G81" s="4"/>
      <c r="H81" s="4"/>
      <c r="I81" s="4"/>
      <c r="J81" s="4"/>
      <c r="K81" s="4"/>
      <c r="L81" s="4"/>
      <c r="M81" s="4"/>
      <c r="N81" s="4"/>
      <c r="O81" s="4"/>
      <c r="P81" s="4"/>
      <c r="Q81" s="4"/>
      <c r="R81" s="4"/>
      <c r="S81" s="4"/>
      <c r="T81" s="4"/>
      <c r="U81" s="4"/>
      <c r="V81" s="4"/>
      <c r="W81" s="4"/>
      <c r="X81" s="4"/>
      <c r="Y81" s="4"/>
      <c r="Z81" s="4"/>
    </row>
    <row r="82" customFormat="false" ht="22.5" hidden="false" customHeight="true" outlineLevel="0" collapsed="false">
      <c r="A82" s="21" t="s">
        <v>1043</v>
      </c>
      <c r="B82" s="21" t="s">
        <v>1044</v>
      </c>
      <c r="C82" s="4"/>
      <c r="D82" s="4"/>
      <c r="E82" s="4"/>
      <c r="F82" s="4"/>
      <c r="G82" s="4"/>
      <c r="H82" s="4"/>
      <c r="I82" s="4"/>
      <c r="J82" s="4"/>
      <c r="K82" s="4"/>
      <c r="L82" s="4"/>
      <c r="M82" s="4"/>
      <c r="N82" s="4"/>
      <c r="O82" s="4"/>
      <c r="P82" s="4"/>
      <c r="Q82" s="4"/>
      <c r="R82" s="4"/>
      <c r="S82" s="4"/>
      <c r="T82" s="4"/>
      <c r="U82" s="4"/>
      <c r="V82" s="4"/>
      <c r="W82" s="4"/>
      <c r="X82" s="4"/>
      <c r="Y82" s="4"/>
      <c r="Z82" s="4"/>
    </row>
    <row r="83" customFormat="false" ht="22.5" hidden="false" customHeight="true" outlineLevel="0" collapsed="false">
      <c r="A83" s="21" t="s">
        <v>1045</v>
      </c>
      <c r="B83" s="21" t="s">
        <v>1046</v>
      </c>
      <c r="C83" s="4"/>
      <c r="D83" s="4"/>
      <c r="E83" s="4"/>
      <c r="F83" s="4"/>
      <c r="G83" s="4"/>
      <c r="H83" s="4"/>
      <c r="I83" s="4"/>
      <c r="J83" s="4"/>
      <c r="K83" s="4"/>
      <c r="L83" s="4"/>
      <c r="M83" s="4"/>
      <c r="N83" s="4"/>
      <c r="O83" s="4"/>
      <c r="P83" s="4"/>
      <c r="Q83" s="4"/>
      <c r="R83" s="4"/>
      <c r="S83" s="4"/>
      <c r="T83" s="4"/>
      <c r="U83" s="4"/>
      <c r="V83" s="4"/>
      <c r="W83" s="4"/>
      <c r="X83" s="4"/>
      <c r="Y83" s="4"/>
      <c r="Z83" s="4"/>
    </row>
    <row r="84" customFormat="false" ht="22.5" hidden="false" customHeight="true" outlineLevel="0" collapsed="false">
      <c r="A84" s="21" t="s">
        <v>1047</v>
      </c>
      <c r="B84" s="21" t="s">
        <v>1048</v>
      </c>
      <c r="C84" s="4"/>
      <c r="D84" s="4"/>
      <c r="E84" s="4"/>
      <c r="F84" s="4"/>
      <c r="G84" s="4"/>
      <c r="H84" s="4"/>
      <c r="I84" s="4"/>
      <c r="J84" s="4"/>
      <c r="K84" s="4"/>
      <c r="L84" s="4"/>
      <c r="M84" s="4"/>
      <c r="N84" s="4"/>
      <c r="O84" s="4"/>
      <c r="P84" s="4"/>
      <c r="Q84" s="4"/>
      <c r="R84" s="4"/>
      <c r="S84" s="4"/>
      <c r="T84" s="4"/>
      <c r="U84" s="4"/>
      <c r="V84" s="4"/>
      <c r="W84" s="4"/>
      <c r="X84" s="4"/>
      <c r="Y84" s="4"/>
      <c r="Z84" s="4"/>
    </row>
    <row r="85" customFormat="false" ht="22.5" hidden="false" customHeight="true" outlineLevel="0" collapsed="false">
      <c r="A85" s="21"/>
      <c r="B85" s="21"/>
      <c r="C85" s="4"/>
      <c r="D85" s="4"/>
      <c r="E85" s="4"/>
      <c r="F85" s="4"/>
      <c r="G85" s="4"/>
      <c r="H85" s="4"/>
      <c r="I85" s="4"/>
      <c r="J85" s="4"/>
      <c r="K85" s="4"/>
      <c r="L85" s="4"/>
      <c r="M85" s="4"/>
      <c r="N85" s="4"/>
      <c r="O85" s="4"/>
      <c r="P85" s="4"/>
      <c r="Q85" s="4"/>
      <c r="R85" s="4"/>
      <c r="S85" s="4"/>
      <c r="T85" s="4"/>
      <c r="U85" s="4"/>
      <c r="V85" s="4"/>
      <c r="W85" s="4"/>
      <c r="X85" s="4"/>
      <c r="Y85" s="4"/>
      <c r="Z85" s="4"/>
    </row>
    <row r="86" customFormat="false" ht="22.5" hidden="false" customHeight="true" outlineLevel="0" collapsed="false">
      <c r="A86" s="125" t="s">
        <v>1049</v>
      </c>
      <c r="B86" s="125"/>
      <c r="C86" s="4"/>
      <c r="D86" s="4"/>
      <c r="E86" s="4"/>
      <c r="F86" s="4"/>
      <c r="G86" s="4"/>
      <c r="H86" s="4"/>
      <c r="I86" s="4"/>
      <c r="J86" s="4"/>
      <c r="K86" s="4"/>
      <c r="L86" s="4"/>
      <c r="M86" s="4"/>
      <c r="N86" s="4"/>
      <c r="O86" s="4"/>
      <c r="P86" s="4"/>
      <c r="Q86" s="4"/>
      <c r="R86" s="4"/>
      <c r="S86" s="4"/>
      <c r="T86" s="4"/>
      <c r="U86" s="4"/>
      <c r="V86" s="4"/>
      <c r="W86" s="4"/>
      <c r="X86" s="4"/>
      <c r="Y86" s="4"/>
      <c r="Z86" s="4"/>
    </row>
    <row r="87" customFormat="false" ht="22.5" hidden="false" customHeight="true" outlineLevel="0" collapsed="false">
      <c r="A87" s="126" t="s">
        <v>944</v>
      </c>
      <c r="B87" s="126" t="s">
        <v>945</v>
      </c>
      <c r="C87" s="4"/>
      <c r="D87" s="4"/>
      <c r="E87" s="4"/>
      <c r="F87" s="4"/>
      <c r="G87" s="4"/>
      <c r="H87" s="4"/>
      <c r="I87" s="4"/>
      <c r="J87" s="4"/>
      <c r="K87" s="4"/>
      <c r="L87" s="4"/>
      <c r="M87" s="4"/>
      <c r="N87" s="4"/>
      <c r="O87" s="4"/>
      <c r="P87" s="4"/>
      <c r="Q87" s="4"/>
      <c r="R87" s="4"/>
      <c r="S87" s="4"/>
      <c r="T87" s="4"/>
      <c r="U87" s="4"/>
      <c r="V87" s="4"/>
      <c r="W87" s="4"/>
      <c r="X87" s="4"/>
      <c r="Y87" s="4"/>
      <c r="Z87" s="4"/>
    </row>
    <row r="88" customFormat="false" ht="22.5" hidden="false" customHeight="true" outlineLevel="0" collapsed="false">
      <c r="A88" s="21" t="s">
        <v>1032</v>
      </c>
      <c r="B88" s="21" t="s">
        <v>1050</v>
      </c>
      <c r="C88" s="4"/>
      <c r="D88" s="4"/>
      <c r="E88" s="4"/>
      <c r="F88" s="4"/>
      <c r="G88" s="4"/>
      <c r="H88" s="4"/>
      <c r="I88" s="4"/>
      <c r="J88" s="4"/>
      <c r="K88" s="4"/>
      <c r="L88" s="4"/>
      <c r="M88" s="4"/>
      <c r="N88" s="4"/>
      <c r="O88" s="4"/>
      <c r="P88" s="4"/>
      <c r="Q88" s="4"/>
      <c r="R88" s="4"/>
      <c r="S88" s="4"/>
      <c r="T88" s="4"/>
      <c r="U88" s="4"/>
      <c r="V88" s="4"/>
      <c r="W88" s="4"/>
      <c r="X88" s="4"/>
      <c r="Y88" s="4"/>
      <c r="Z88" s="4"/>
    </row>
    <row r="89" customFormat="false" ht="22.5" hidden="false" customHeight="true" outlineLevel="0" collapsed="false">
      <c r="A89" s="21" t="s">
        <v>1051</v>
      </c>
      <c r="B89" s="21" t="s">
        <v>1052</v>
      </c>
      <c r="C89" s="4"/>
      <c r="D89" s="4"/>
      <c r="E89" s="4"/>
      <c r="F89" s="4"/>
      <c r="G89" s="4"/>
      <c r="H89" s="4"/>
      <c r="I89" s="4"/>
      <c r="J89" s="4"/>
      <c r="K89" s="4"/>
      <c r="L89" s="4"/>
      <c r="M89" s="4"/>
      <c r="N89" s="4"/>
      <c r="O89" s="4"/>
      <c r="P89" s="4"/>
      <c r="Q89" s="4"/>
      <c r="R89" s="4"/>
      <c r="S89" s="4"/>
      <c r="T89" s="4"/>
      <c r="U89" s="4"/>
      <c r="V89" s="4"/>
      <c r="W89" s="4"/>
      <c r="X89" s="4"/>
      <c r="Y89" s="4"/>
      <c r="Z89" s="4"/>
    </row>
    <row r="90" customFormat="false" ht="22.5" hidden="false" customHeight="true" outlineLevel="0" collapsed="false">
      <c r="A90" s="21"/>
      <c r="B90" s="21"/>
      <c r="C90" s="4"/>
      <c r="D90" s="4"/>
      <c r="E90" s="4"/>
      <c r="F90" s="4"/>
      <c r="G90" s="4"/>
      <c r="H90" s="4"/>
      <c r="I90" s="4"/>
      <c r="J90" s="4"/>
      <c r="K90" s="4"/>
      <c r="L90" s="4"/>
      <c r="M90" s="4"/>
      <c r="N90" s="4"/>
      <c r="O90" s="4"/>
      <c r="P90" s="4"/>
      <c r="Q90" s="4"/>
      <c r="R90" s="4"/>
      <c r="S90" s="4"/>
      <c r="T90" s="4"/>
      <c r="U90" s="4"/>
      <c r="V90" s="4"/>
      <c r="W90" s="4"/>
      <c r="X90" s="4"/>
      <c r="Y90" s="4"/>
      <c r="Z90" s="4"/>
    </row>
    <row r="91" customFormat="false" ht="22.5" hidden="false" customHeight="true" outlineLevel="0" collapsed="false">
      <c r="A91" s="125" t="s">
        <v>1053</v>
      </c>
      <c r="B91" s="125"/>
      <c r="C91" s="4"/>
      <c r="D91" s="4"/>
      <c r="E91" s="4"/>
      <c r="F91" s="4"/>
      <c r="G91" s="4"/>
      <c r="H91" s="4"/>
      <c r="I91" s="4"/>
      <c r="J91" s="4"/>
      <c r="K91" s="4"/>
      <c r="L91" s="4"/>
      <c r="M91" s="4"/>
      <c r="N91" s="4"/>
      <c r="O91" s="4"/>
      <c r="P91" s="4"/>
      <c r="Q91" s="4"/>
      <c r="R91" s="4"/>
      <c r="S91" s="4"/>
      <c r="T91" s="4"/>
      <c r="U91" s="4"/>
      <c r="V91" s="4"/>
      <c r="W91" s="4"/>
      <c r="X91" s="4"/>
      <c r="Y91" s="4"/>
      <c r="Z91" s="4"/>
    </row>
    <row r="92" customFormat="false" ht="22.5" hidden="false" customHeight="true" outlineLevel="0" collapsed="false">
      <c r="A92" s="126" t="s">
        <v>944</v>
      </c>
      <c r="B92" s="126" t="s">
        <v>945</v>
      </c>
      <c r="C92" s="4"/>
      <c r="D92" s="4"/>
      <c r="E92" s="4"/>
      <c r="F92" s="4"/>
      <c r="G92" s="4"/>
      <c r="H92" s="4"/>
      <c r="I92" s="4"/>
      <c r="J92" s="4"/>
      <c r="K92" s="4"/>
      <c r="L92" s="4"/>
      <c r="M92" s="4"/>
      <c r="N92" s="4"/>
      <c r="O92" s="4"/>
      <c r="P92" s="4"/>
      <c r="Q92" s="4"/>
      <c r="R92" s="4"/>
      <c r="S92" s="4"/>
      <c r="T92" s="4"/>
      <c r="U92" s="4"/>
      <c r="V92" s="4"/>
      <c r="W92" s="4"/>
      <c r="X92" s="4"/>
      <c r="Y92" s="4"/>
      <c r="Z92" s="4"/>
    </row>
    <row r="93" customFormat="false" ht="22.5" hidden="false" customHeight="true" outlineLevel="0" collapsed="false">
      <c r="A93" s="21" t="s">
        <v>1054</v>
      </c>
      <c r="B93" s="21" t="s">
        <v>1055</v>
      </c>
      <c r="C93" s="4"/>
      <c r="D93" s="4"/>
      <c r="E93" s="4"/>
      <c r="F93" s="4"/>
      <c r="G93" s="4"/>
      <c r="H93" s="4"/>
      <c r="I93" s="4"/>
      <c r="J93" s="4"/>
      <c r="K93" s="4"/>
      <c r="L93" s="4"/>
      <c r="M93" s="4"/>
      <c r="N93" s="4"/>
      <c r="O93" s="4"/>
      <c r="P93" s="4"/>
      <c r="Q93" s="4"/>
      <c r="R93" s="4"/>
      <c r="S93" s="4"/>
      <c r="T93" s="4"/>
      <c r="U93" s="4"/>
      <c r="V93" s="4"/>
      <c r="W93" s="4"/>
      <c r="X93" s="4"/>
      <c r="Y93" s="4"/>
      <c r="Z93" s="4"/>
    </row>
    <row r="94" customFormat="false" ht="22.5" hidden="false" customHeight="true" outlineLevel="0" collapsed="false">
      <c r="A94" s="21" t="s">
        <v>1056</v>
      </c>
      <c r="B94" s="21" t="s">
        <v>1057</v>
      </c>
      <c r="C94" s="4"/>
      <c r="D94" s="4"/>
      <c r="E94" s="4"/>
      <c r="F94" s="4"/>
      <c r="G94" s="4"/>
      <c r="H94" s="4"/>
      <c r="I94" s="4"/>
      <c r="J94" s="4"/>
      <c r="K94" s="4"/>
      <c r="L94" s="4"/>
      <c r="M94" s="4"/>
      <c r="N94" s="4"/>
      <c r="O94" s="4"/>
      <c r="P94" s="4"/>
      <c r="Q94" s="4"/>
      <c r="R94" s="4"/>
      <c r="S94" s="4"/>
      <c r="T94" s="4"/>
      <c r="U94" s="4"/>
      <c r="V94" s="4"/>
      <c r="W94" s="4"/>
      <c r="X94" s="4"/>
      <c r="Y94" s="4"/>
      <c r="Z94" s="4"/>
    </row>
    <row r="95" customFormat="false" ht="22.5" hidden="false" customHeight="true" outlineLevel="0" collapsed="false">
      <c r="A95" s="21" t="s">
        <v>982</v>
      </c>
      <c r="B95" s="21" t="s">
        <v>1058</v>
      </c>
      <c r="C95" s="4"/>
      <c r="D95" s="4"/>
      <c r="E95" s="4"/>
      <c r="F95" s="4"/>
      <c r="G95" s="4"/>
      <c r="H95" s="4"/>
      <c r="I95" s="4"/>
      <c r="J95" s="4"/>
      <c r="K95" s="4"/>
      <c r="L95" s="4"/>
      <c r="M95" s="4"/>
      <c r="N95" s="4"/>
      <c r="O95" s="4"/>
      <c r="P95" s="4"/>
      <c r="Q95" s="4"/>
      <c r="R95" s="4"/>
      <c r="S95" s="4"/>
      <c r="T95" s="4"/>
      <c r="U95" s="4"/>
      <c r="V95" s="4"/>
      <c r="W95" s="4"/>
      <c r="X95" s="4"/>
      <c r="Y95" s="4"/>
      <c r="Z95" s="4"/>
    </row>
    <row r="96" customFormat="false" ht="22.5" hidden="false" customHeight="true" outlineLevel="0" collapsed="false">
      <c r="A96" s="127"/>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22.5" hidden="false" customHeight="true" outlineLevel="0" collapsed="false">
      <c r="A97" s="125" t="s">
        <v>1059</v>
      </c>
      <c r="B97" s="125"/>
      <c r="C97" s="4"/>
      <c r="D97" s="4"/>
      <c r="E97" s="4"/>
      <c r="F97" s="4"/>
      <c r="G97" s="4"/>
      <c r="H97" s="4"/>
      <c r="I97" s="4"/>
      <c r="J97" s="4"/>
      <c r="K97" s="4"/>
      <c r="L97" s="4"/>
      <c r="M97" s="4"/>
      <c r="N97" s="4"/>
      <c r="O97" s="4"/>
      <c r="P97" s="4"/>
      <c r="Q97" s="4"/>
      <c r="R97" s="4"/>
      <c r="S97" s="4"/>
      <c r="T97" s="4"/>
      <c r="U97" s="4"/>
      <c r="V97" s="4"/>
      <c r="W97" s="4"/>
      <c r="X97" s="4"/>
      <c r="Y97" s="4"/>
      <c r="Z97" s="4"/>
    </row>
    <row r="98" customFormat="false" ht="22.5" hidden="false" customHeight="true" outlineLevel="0" collapsed="false">
      <c r="A98" s="126" t="s">
        <v>944</v>
      </c>
      <c r="B98" s="126" t="s">
        <v>945</v>
      </c>
      <c r="C98" s="4"/>
      <c r="D98" s="4"/>
      <c r="E98" s="4"/>
      <c r="F98" s="4"/>
      <c r="G98" s="4"/>
      <c r="H98" s="4"/>
      <c r="I98" s="4"/>
      <c r="J98" s="4"/>
      <c r="K98" s="4"/>
      <c r="L98" s="4"/>
      <c r="M98" s="4"/>
      <c r="N98" s="4"/>
      <c r="O98" s="4"/>
      <c r="P98" s="4"/>
      <c r="Q98" s="4"/>
      <c r="R98" s="4"/>
      <c r="S98" s="4"/>
      <c r="T98" s="4"/>
      <c r="U98" s="4"/>
      <c r="V98" s="4"/>
      <c r="W98" s="4"/>
      <c r="X98" s="4"/>
      <c r="Y98" s="4"/>
      <c r="Z98" s="4"/>
    </row>
    <row r="99" customFormat="false" ht="22.5" hidden="false" customHeight="true" outlineLevel="0" collapsed="false">
      <c r="A99" s="21" t="s">
        <v>1060</v>
      </c>
      <c r="B99" s="21" t="s">
        <v>1061</v>
      </c>
      <c r="C99" s="4"/>
      <c r="D99" s="4"/>
      <c r="E99" s="4"/>
      <c r="F99" s="4"/>
      <c r="G99" s="4"/>
      <c r="H99" s="4"/>
      <c r="I99" s="4"/>
      <c r="J99" s="4"/>
      <c r="K99" s="4"/>
      <c r="L99" s="4"/>
      <c r="M99" s="4"/>
      <c r="N99" s="4"/>
      <c r="O99" s="4"/>
      <c r="P99" s="4"/>
      <c r="Q99" s="4"/>
      <c r="R99" s="4"/>
      <c r="S99" s="4"/>
      <c r="T99" s="4"/>
      <c r="U99" s="4"/>
      <c r="V99" s="4"/>
      <c r="W99" s="4"/>
      <c r="X99" s="4"/>
      <c r="Y99" s="4"/>
      <c r="Z99" s="4"/>
    </row>
    <row r="100" customFormat="false" ht="22.5" hidden="false" customHeight="true" outlineLevel="0" collapsed="false">
      <c r="A100" s="21" t="s">
        <v>1056</v>
      </c>
      <c r="B100" s="21" t="s">
        <v>1057</v>
      </c>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22.5" hidden="false" customHeight="true" outlineLevel="0" collapsed="false">
      <c r="A101" s="21" t="s">
        <v>982</v>
      </c>
      <c r="B101" s="21" t="s">
        <v>1062</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22.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22.5" hidden="false" customHeight="true" outlineLevel="0" collapsed="false">
      <c r="A103" s="125" t="s">
        <v>1063</v>
      </c>
      <c r="B103" s="125"/>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22.5" hidden="false" customHeight="true" outlineLevel="0" collapsed="false">
      <c r="A104" s="126" t="s">
        <v>944</v>
      </c>
      <c r="B104" s="126" t="s">
        <v>945</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22.5" hidden="false" customHeight="true" outlineLevel="0" collapsed="false">
      <c r="A105" s="21" t="s">
        <v>1064</v>
      </c>
      <c r="B105" s="21" t="s">
        <v>1065</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22.5" hidden="false" customHeight="true" outlineLevel="0" collapsed="false">
      <c r="A106" s="21" t="s">
        <v>1066</v>
      </c>
      <c r="B106" s="21" t="s">
        <v>1067</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22.5" hidden="false" customHeight="true" outlineLevel="0" collapsed="false">
      <c r="A107" s="21" t="s">
        <v>1068</v>
      </c>
      <c r="B107" s="21" t="s">
        <v>1069</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22.5" hidden="false" customHeight="true" outlineLevel="0" collapsed="false">
      <c r="A108" s="21" t="s">
        <v>1070</v>
      </c>
      <c r="B108" s="21" t="s">
        <v>1071</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22.5" hidden="false" customHeight="true" outlineLevel="0" collapsed="false">
      <c r="A109" s="21"/>
      <c r="B109" s="21"/>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22.5" hidden="false" customHeight="true" outlineLevel="0" collapsed="false">
      <c r="A110" s="125" t="s">
        <v>1072</v>
      </c>
      <c r="B110" s="125"/>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22.5" hidden="false" customHeight="true" outlineLevel="0" collapsed="false">
      <c r="A111" s="126" t="s">
        <v>944</v>
      </c>
      <c r="B111" s="126" t="s">
        <v>945</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22.5" hidden="false" customHeight="true" outlineLevel="0" collapsed="false">
      <c r="A112" s="21" t="s">
        <v>1032</v>
      </c>
      <c r="B112" s="21" t="s">
        <v>1073</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22.5" hidden="false" customHeight="true" outlineLevel="0" collapsed="false">
      <c r="A113" s="21" t="s">
        <v>1074</v>
      </c>
      <c r="B113" s="21" t="s">
        <v>364</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22.5" hidden="false" customHeight="true" outlineLevel="0" collapsed="false">
      <c r="A114" s="21" t="s">
        <v>1037</v>
      </c>
      <c r="B114" s="21" t="s">
        <v>1075</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22.5" hidden="false" customHeight="true" outlineLevel="0" collapsed="false">
      <c r="A115" s="21"/>
      <c r="B115" s="21"/>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22.5" hidden="false" customHeight="true" outlineLevel="0" collapsed="false">
      <c r="A116" s="125" t="s">
        <v>1076</v>
      </c>
      <c r="B116" s="125"/>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22.5" hidden="false" customHeight="true" outlineLevel="0" collapsed="false">
      <c r="A117" s="126" t="s">
        <v>944</v>
      </c>
      <c r="B117" s="126" t="s">
        <v>945</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22.5" hidden="false" customHeight="true" outlineLevel="0" collapsed="false">
      <c r="A118" s="21" t="s">
        <v>1077</v>
      </c>
      <c r="B118" s="21" t="s">
        <v>1078</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22.5" hidden="false" customHeight="true" outlineLevel="0" collapsed="false">
      <c r="A119" s="21" t="s">
        <v>1079</v>
      </c>
      <c r="B119" s="21" t="s">
        <v>1080</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22.5" hidden="false" customHeight="true" outlineLevel="0" collapsed="false">
      <c r="A120" s="21" t="s">
        <v>1081</v>
      </c>
      <c r="B120" s="21" t="s">
        <v>1082</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22.5" hidden="false" customHeight="true" outlineLevel="0" collapsed="false">
      <c r="A121" s="21" t="s">
        <v>1083</v>
      </c>
      <c r="B121" s="21" t="s">
        <v>1084</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22.5" hidden="false" customHeight="true" outlineLevel="0" collapsed="false">
      <c r="A122" s="21" t="s">
        <v>1085</v>
      </c>
      <c r="B122" s="21" t="s">
        <v>1086</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22.5" hidden="false" customHeight="true" outlineLevel="0" collapsed="false">
      <c r="A123" s="21" t="s">
        <v>966</v>
      </c>
      <c r="B123" s="21" t="s">
        <v>967</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22.5" hidden="false" customHeight="true" outlineLevel="0" collapsed="false">
      <c r="A124" s="21"/>
      <c r="B124" s="21"/>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22.5" hidden="false" customHeight="true" outlineLevel="0" collapsed="false">
      <c r="A125" s="125" t="s">
        <v>1087</v>
      </c>
      <c r="B125" s="125"/>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22.5" hidden="false" customHeight="true" outlineLevel="0" collapsed="false">
      <c r="A126" s="126" t="s">
        <v>944</v>
      </c>
      <c r="B126" s="126" t="s">
        <v>945</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22.5" hidden="false" customHeight="true" outlineLevel="0" collapsed="false">
      <c r="A127" s="21" t="s">
        <v>1088</v>
      </c>
      <c r="B127" s="21" t="s">
        <v>1089</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22.5" hidden="false" customHeight="true" outlineLevel="0" collapsed="false">
      <c r="A128" s="21" t="s">
        <v>1090</v>
      </c>
      <c r="B128" s="21" t="s">
        <v>1091</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22.5" hidden="false" customHeight="true" outlineLevel="0" collapsed="false">
      <c r="A129" s="21" t="s">
        <v>1092</v>
      </c>
      <c r="B129" s="21" t="s">
        <v>1093</v>
      </c>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22.5" hidden="false" customHeight="true" outlineLevel="0" collapsed="false">
      <c r="A130" s="21" t="s">
        <v>1094</v>
      </c>
      <c r="B130" s="21" t="s">
        <v>1095</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22.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22.5" hidden="false" customHeight="true" outlineLevel="0" collapsed="false">
      <c r="A132" s="125" t="s">
        <v>1096</v>
      </c>
      <c r="B132" s="125"/>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22.5" hidden="false" customHeight="true" outlineLevel="0" collapsed="false">
      <c r="A133" s="126" t="s">
        <v>944</v>
      </c>
      <c r="B133" s="126" t="s">
        <v>945</v>
      </c>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22.5" hidden="false" customHeight="true" outlineLevel="0" collapsed="false">
      <c r="A134" s="21" t="s">
        <v>1097</v>
      </c>
      <c r="B134" s="21" t="s">
        <v>1098</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22.5" hidden="false" customHeight="true" outlineLevel="0" collapsed="false">
      <c r="A135" s="21" t="s">
        <v>1099</v>
      </c>
      <c r="B135" s="21" t="s">
        <v>1100</v>
      </c>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22.5" hidden="false" customHeight="true" outlineLevel="0" collapsed="false">
      <c r="A136" s="21" t="s">
        <v>960</v>
      </c>
      <c r="B136" s="21" t="s">
        <v>961</v>
      </c>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22.5" hidden="false" customHeight="true" outlineLevel="0" collapsed="false">
      <c r="A137" s="21" t="s">
        <v>1101</v>
      </c>
      <c r="B137" s="21" t="s">
        <v>1102</v>
      </c>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22.5" hidden="false" customHeight="true" outlineLevel="0" collapsed="false">
      <c r="A138" s="21" t="s">
        <v>1103</v>
      </c>
      <c r="B138" s="21" t="s">
        <v>1104</v>
      </c>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22.5" hidden="false" customHeight="true" outlineLevel="0" collapsed="false">
      <c r="A139" s="21" t="s">
        <v>1105</v>
      </c>
      <c r="B139" s="21" t="s">
        <v>1106</v>
      </c>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22.5" hidden="false" customHeight="true" outlineLevel="0" collapsed="false">
      <c r="A140" s="21" t="s">
        <v>966</v>
      </c>
      <c r="B140" s="21" t="s">
        <v>967</v>
      </c>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22.5" hidden="false" customHeight="true" outlineLevel="0" collapsed="false">
      <c r="A141" s="21"/>
      <c r="B141" s="21"/>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22.5" hidden="false" customHeight="true" outlineLevel="0" collapsed="false">
      <c r="A142" s="125" t="s">
        <v>1107</v>
      </c>
      <c r="B142" s="125"/>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22.5" hidden="false" customHeight="true" outlineLevel="0" collapsed="false">
      <c r="A143" s="126" t="s">
        <v>944</v>
      </c>
      <c r="B143" s="126" t="s">
        <v>945</v>
      </c>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22.5" hidden="false" customHeight="true" outlineLevel="0" collapsed="false">
      <c r="A144" s="21" t="s">
        <v>1108</v>
      </c>
      <c r="B144" s="21" t="s">
        <v>1109</v>
      </c>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22.5" hidden="false" customHeight="true" outlineLevel="0" collapsed="false">
      <c r="A145" s="21" t="s">
        <v>1110</v>
      </c>
      <c r="B145" s="21" t="s">
        <v>1111</v>
      </c>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22.5" hidden="false" customHeight="true" outlineLevel="0" collapsed="false">
      <c r="A146" s="21" t="s">
        <v>1074</v>
      </c>
      <c r="B146" s="21" t="s">
        <v>1112</v>
      </c>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22.5" hidden="false" customHeight="true" outlineLevel="0" collapsed="false">
      <c r="A147" s="21" t="s">
        <v>1113</v>
      </c>
      <c r="B147" s="21" t="s">
        <v>1114</v>
      </c>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22.5" hidden="false" customHeight="true" outlineLevel="0" collapsed="false">
      <c r="A148" s="21"/>
      <c r="B148" s="21"/>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22.5" hidden="false" customHeight="true" outlineLevel="0" collapsed="false">
      <c r="A149" s="125" t="s">
        <v>1115</v>
      </c>
      <c r="B149" s="125"/>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22.5" hidden="false" customHeight="true" outlineLevel="0" collapsed="false">
      <c r="A150" s="126" t="s">
        <v>944</v>
      </c>
      <c r="B150" s="126" t="s">
        <v>945</v>
      </c>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22.5" hidden="false" customHeight="true" outlineLevel="0" collapsed="false">
      <c r="A151" s="21" t="s">
        <v>1032</v>
      </c>
      <c r="B151" s="21" t="s">
        <v>1116</v>
      </c>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22.5" hidden="false" customHeight="true" outlineLevel="0" collapsed="false">
      <c r="A152" s="21" t="s">
        <v>1074</v>
      </c>
      <c r="B152" s="21" t="s">
        <v>1117</v>
      </c>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22.5" hidden="false" customHeight="true" outlineLevel="0" collapsed="false">
      <c r="A153" s="21" t="s">
        <v>986</v>
      </c>
      <c r="B153" s="21" t="s">
        <v>987</v>
      </c>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22.5" hidden="false" customHeight="true" outlineLevel="0" collapsed="false">
      <c r="A154" s="21"/>
      <c r="B154" s="21"/>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22.5" hidden="false" customHeight="true" outlineLevel="0" collapsed="false">
      <c r="A155" s="125" t="s">
        <v>1118</v>
      </c>
      <c r="B155" s="125"/>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22.5" hidden="false" customHeight="true" outlineLevel="0" collapsed="false">
      <c r="A156" s="126" t="s">
        <v>944</v>
      </c>
      <c r="B156" s="126" t="s">
        <v>945</v>
      </c>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22.5" hidden="false" customHeight="true" outlineLevel="0" collapsed="false">
      <c r="A157" s="21" t="s">
        <v>1119</v>
      </c>
      <c r="B157" s="21" t="s">
        <v>1120</v>
      </c>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22.5" hidden="false" customHeight="true" outlineLevel="0" collapsed="false">
      <c r="A158" s="21" t="s">
        <v>1121</v>
      </c>
      <c r="B158" s="21" t="s">
        <v>292</v>
      </c>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22.5" hidden="false" customHeight="true" outlineLevel="0" collapsed="false">
      <c r="A159" s="21" t="s">
        <v>1122</v>
      </c>
      <c r="B159" s="21" t="s">
        <v>1123</v>
      </c>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22.5" hidden="false" customHeight="true" outlineLevel="0" collapsed="false">
      <c r="A160" s="21"/>
      <c r="B160" s="21"/>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22.5" hidden="false" customHeight="true" outlineLevel="0" collapsed="false">
      <c r="A161" s="125" t="s">
        <v>1124</v>
      </c>
      <c r="B161" s="125"/>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22.5" hidden="false" customHeight="true" outlineLevel="0" collapsed="false">
      <c r="A162" s="126" t="s">
        <v>944</v>
      </c>
      <c r="B162" s="126" t="s">
        <v>945</v>
      </c>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22.5" hidden="false" customHeight="true" outlineLevel="0" collapsed="false">
      <c r="A163" s="21" t="s">
        <v>1125</v>
      </c>
      <c r="B163" s="21" t="s">
        <v>1126</v>
      </c>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22.5" hidden="false" customHeight="true" outlineLevel="0" collapsed="false">
      <c r="A164" s="21" t="s">
        <v>1122</v>
      </c>
      <c r="B164" s="21" t="s">
        <v>1127</v>
      </c>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22.5" hidden="false" customHeight="true" outlineLevel="0" collapsed="false">
      <c r="A165" s="21" t="s">
        <v>1070</v>
      </c>
      <c r="B165" s="21" t="s">
        <v>1128</v>
      </c>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22.5" hidden="false" customHeight="true" outlineLevel="0" collapsed="false">
      <c r="A166" s="21" t="s">
        <v>1129</v>
      </c>
      <c r="B166" s="21" t="s">
        <v>1130</v>
      </c>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22.5" hidden="false" customHeight="true" outlineLevel="0" collapsed="false">
      <c r="A167" s="21"/>
      <c r="B167" s="21"/>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22.5" hidden="false" customHeight="true" outlineLevel="0" collapsed="false">
      <c r="A168" s="125" t="s">
        <v>1131</v>
      </c>
      <c r="B168" s="125"/>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22.5" hidden="false" customHeight="true" outlineLevel="0" collapsed="false">
      <c r="A169" s="126" t="s">
        <v>944</v>
      </c>
      <c r="B169" s="126" t="s">
        <v>945</v>
      </c>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22.5" hidden="false" customHeight="true" outlineLevel="0" collapsed="false">
      <c r="A170" s="21" t="s">
        <v>1043</v>
      </c>
      <c r="B170" s="21" t="s">
        <v>1044</v>
      </c>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22.5" hidden="false" customHeight="true" outlineLevel="0" collapsed="false">
      <c r="A171" s="21" t="s">
        <v>1045</v>
      </c>
      <c r="B171" s="21" t="s">
        <v>1132</v>
      </c>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22.5" hidden="false" customHeight="true" outlineLevel="0" collapsed="false">
      <c r="A172" s="21" t="s">
        <v>1047</v>
      </c>
      <c r="B172" s="21" t="s">
        <v>1133</v>
      </c>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22.5" hidden="false" customHeight="true" outlineLevel="0" collapsed="false">
      <c r="A173" s="21"/>
      <c r="B173" s="21"/>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22.5" hidden="false" customHeight="true" outlineLevel="0" collapsed="false">
      <c r="A174" s="125" t="s">
        <v>1134</v>
      </c>
      <c r="B174" s="125"/>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22.5" hidden="false" customHeight="true" outlineLevel="0" collapsed="false">
      <c r="A175" s="126" t="s">
        <v>944</v>
      </c>
      <c r="B175" s="126" t="s">
        <v>945</v>
      </c>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22.5" hidden="false" customHeight="true" outlineLevel="0" collapsed="false">
      <c r="A176" s="21" t="s">
        <v>1135</v>
      </c>
      <c r="B176" s="21" t="s">
        <v>1136</v>
      </c>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22.5" hidden="false" customHeight="true" outlineLevel="0" collapsed="false">
      <c r="A177" s="21" t="s">
        <v>1137</v>
      </c>
      <c r="B177" s="21" t="s">
        <v>1138</v>
      </c>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22.5" hidden="false" customHeight="true" outlineLevel="0" collapsed="false">
      <c r="A178" s="12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22.5" hidden="false" customHeight="true" outlineLevel="0" collapsed="false">
      <c r="A179" s="125" t="s">
        <v>1139</v>
      </c>
      <c r="B179" s="125"/>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22.5" hidden="false" customHeight="true" outlineLevel="0" collapsed="false">
      <c r="A180" s="126" t="s">
        <v>944</v>
      </c>
      <c r="B180" s="126" t="s">
        <v>945</v>
      </c>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22.5" hidden="false" customHeight="true" outlineLevel="0" collapsed="false">
      <c r="A181" s="21" t="s">
        <v>1140</v>
      </c>
      <c r="B181" s="21" t="s">
        <v>1141</v>
      </c>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22.5" hidden="false" customHeight="true" outlineLevel="0" collapsed="false">
      <c r="A182" s="21" t="s">
        <v>1142</v>
      </c>
      <c r="B182" s="21" t="s">
        <v>1143</v>
      </c>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22.5" hidden="false" customHeight="true" outlineLevel="0" collapsed="false">
      <c r="A183" s="21" t="s">
        <v>1144</v>
      </c>
      <c r="B183" s="21" t="s">
        <v>1145</v>
      </c>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22.5" hidden="false" customHeight="true" outlineLevel="0" collapsed="false">
      <c r="A184" s="12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22.5" hidden="false" customHeight="true" outlineLevel="0" collapsed="false">
      <c r="A185" s="125" t="s">
        <v>1146</v>
      </c>
      <c r="B185" s="125"/>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22.5" hidden="false" customHeight="true" outlineLevel="0" collapsed="false">
      <c r="A186" s="126" t="s">
        <v>944</v>
      </c>
      <c r="B186" s="126" t="s">
        <v>945</v>
      </c>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22.5" hidden="false" customHeight="true" outlineLevel="0" collapsed="false">
      <c r="A187" s="21" t="s">
        <v>1147</v>
      </c>
      <c r="B187" s="21" t="s">
        <v>1148</v>
      </c>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22.5" hidden="false" customHeight="true" outlineLevel="0" collapsed="false">
      <c r="A188" s="21" t="s">
        <v>1149</v>
      </c>
      <c r="B188" s="21" t="s">
        <v>1150</v>
      </c>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22.5" hidden="false" customHeight="true" outlineLevel="0" collapsed="false">
      <c r="A189" s="21" t="s">
        <v>1151</v>
      </c>
      <c r="B189" s="21" t="s">
        <v>1152</v>
      </c>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22.5" hidden="false" customHeight="true" outlineLevel="0" collapsed="false">
      <c r="A190" s="21" t="s">
        <v>966</v>
      </c>
      <c r="B190" s="21" t="s">
        <v>967</v>
      </c>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22.5" hidden="false" customHeight="true" outlineLevel="0" collapsed="false">
      <c r="A191" s="126"/>
      <c r="B191" s="126"/>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22.5" hidden="false" customHeight="true" outlineLevel="0" collapsed="false">
      <c r="A192" s="125" t="s">
        <v>1153</v>
      </c>
      <c r="B192" s="125"/>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22.5" hidden="false" customHeight="true" outlineLevel="0" collapsed="false">
      <c r="A193" s="126" t="s">
        <v>944</v>
      </c>
      <c r="B193" s="126" t="s">
        <v>945</v>
      </c>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22.5" hidden="false" customHeight="true" outlineLevel="0" collapsed="false">
      <c r="A194" s="21" t="s">
        <v>1140</v>
      </c>
      <c r="B194" s="21" t="s">
        <v>1154</v>
      </c>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22.5" hidden="false" customHeight="true" outlineLevel="0" collapsed="false">
      <c r="A195" s="21" t="s">
        <v>1142</v>
      </c>
      <c r="B195" s="21" t="s">
        <v>1143</v>
      </c>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22.5" hidden="false" customHeight="true" outlineLevel="0" collapsed="false">
      <c r="A196" s="21" t="s">
        <v>1144</v>
      </c>
      <c r="B196" s="21" t="s">
        <v>1155</v>
      </c>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22.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22.5" hidden="false" customHeight="true" outlineLevel="0" collapsed="false">
      <c r="A198" s="125" t="s">
        <v>1156</v>
      </c>
      <c r="B198" s="125"/>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22.5" hidden="false" customHeight="true" outlineLevel="0" collapsed="false">
      <c r="A199" s="126" t="s">
        <v>944</v>
      </c>
      <c r="B199" s="126" t="s">
        <v>945</v>
      </c>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22.5" hidden="false" customHeight="true" outlineLevel="0" collapsed="false">
      <c r="A200" s="21" t="s">
        <v>1157</v>
      </c>
      <c r="B200" s="21" t="s">
        <v>1158</v>
      </c>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22.5" hidden="false" customHeight="true" outlineLevel="0" collapsed="false">
      <c r="A201" s="21" t="s">
        <v>1159</v>
      </c>
      <c r="B201" s="21" t="s">
        <v>1160</v>
      </c>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22.5" hidden="false" customHeight="true" outlineLevel="0" collapsed="false">
      <c r="A202" s="21" t="s">
        <v>1161</v>
      </c>
      <c r="B202" s="21" t="s">
        <v>1162</v>
      </c>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22.5" hidden="false" customHeight="true" outlineLevel="0" collapsed="false">
      <c r="A203" s="21" t="s">
        <v>1163</v>
      </c>
      <c r="B203" s="21" t="s">
        <v>1164</v>
      </c>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22.5" hidden="false" customHeight="true" outlineLevel="0" collapsed="false">
      <c r="A204" s="21" t="s">
        <v>966</v>
      </c>
      <c r="B204" s="21" t="s">
        <v>967</v>
      </c>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22.5" hidden="false" customHeight="true" outlineLevel="0" collapsed="false">
      <c r="A205" s="21"/>
      <c r="B205" s="21"/>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22.5" hidden="false" customHeight="true" outlineLevel="0" collapsed="false">
      <c r="A206" s="125" t="s">
        <v>1165</v>
      </c>
      <c r="B206" s="125"/>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22.5" hidden="false" customHeight="true" outlineLevel="0" collapsed="false">
      <c r="A207" s="126" t="s">
        <v>944</v>
      </c>
      <c r="B207" s="126" t="s">
        <v>945</v>
      </c>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22.5" hidden="false" customHeight="true" outlineLevel="0" collapsed="false">
      <c r="A208" s="21" t="s">
        <v>1166</v>
      </c>
      <c r="B208" s="21" t="s">
        <v>1167</v>
      </c>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22.5" hidden="false" customHeight="true" outlineLevel="0" collapsed="false">
      <c r="A209" s="21" t="s">
        <v>1168</v>
      </c>
      <c r="B209" s="21" t="s">
        <v>1169</v>
      </c>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22.5" hidden="false" customHeight="true" outlineLevel="0" collapsed="false">
      <c r="A210" s="21" t="s">
        <v>1170</v>
      </c>
      <c r="B210" s="21" t="s">
        <v>1171</v>
      </c>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22.5" hidden="false" customHeight="true" outlineLevel="0" collapsed="false">
      <c r="A211" s="21"/>
      <c r="B211" s="21"/>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22.5" hidden="false" customHeight="true" outlineLevel="0" collapsed="false">
      <c r="A212" s="125" t="s">
        <v>1172</v>
      </c>
      <c r="B212" s="125"/>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22.5" hidden="false" customHeight="true" outlineLevel="0" collapsed="false">
      <c r="A213" s="126" t="s">
        <v>944</v>
      </c>
      <c r="B213" s="126" t="s">
        <v>945</v>
      </c>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22.5" hidden="false" customHeight="true" outlineLevel="0" collapsed="false">
      <c r="A214" s="21" t="s">
        <v>1173</v>
      </c>
      <c r="B214" s="21" t="s">
        <v>1174</v>
      </c>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22.5" hidden="false" customHeight="true" outlineLevel="0" collapsed="false">
      <c r="A215" s="21" t="s">
        <v>1121</v>
      </c>
      <c r="B215" s="21" t="s">
        <v>1175</v>
      </c>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22.5" hidden="false" customHeight="true" outlineLevel="0" collapsed="false">
      <c r="A216" s="21" t="s">
        <v>1122</v>
      </c>
      <c r="B216" s="21" t="s">
        <v>1176</v>
      </c>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22.5" hidden="false" customHeight="true" outlineLevel="0" collapsed="false">
      <c r="A217" s="21" t="s">
        <v>1037</v>
      </c>
      <c r="B217" s="21" t="s">
        <v>1075</v>
      </c>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22.5" hidden="false" customHeight="true" outlineLevel="0" collapsed="false">
      <c r="A218" s="21"/>
      <c r="B218" s="21"/>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22.5" hidden="false" customHeight="true" outlineLevel="0" collapsed="false">
      <c r="A219" s="125" t="s">
        <v>1177</v>
      </c>
      <c r="B219" s="125"/>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22.5" hidden="false" customHeight="true" outlineLevel="0" collapsed="false">
      <c r="A220" s="126" t="s">
        <v>944</v>
      </c>
      <c r="B220" s="126" t="s">
        <v>945</v>
      </c>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22.5" hidden="false" customHeight="true" outlineLevel="0" collapsed="false">
      <c r="A221" s="130" t="s">
        <v>1178</v>
      </c>
      <c r="B221" s="130" t="s">
        <v>1179</v>
      </c>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22.5" hidden="false" customHeight="true" outlineLevel="0" collapsed="false">
      <c r="A222" s="130" t="s">
        <v>1180</v>
      </c>
      <c r="B222" s="130" t="s">
        <v>1181</v>
      </c>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22.5" hidden="false" customHeight="true" outlineLevel="0" collapsed="false">
      <c r="A223" s="130" t="s">
        <v>1182</v>
      </c>
      <c r="B223" s="130" t="s">
        <v>1183</v>
      </c>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22.5" hidden="false" customHeight="true" outlineLevel="0" collapsed="false">
      <c r="A224" s="126"/>
      <c r="B224" s="126"/>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22.5" hidden="false" customHeight="true" outlineLevel="0" collapsed="false">
      <c r="A225" s="125" t="s">
        <v>1184</v>
      </c>
      <c r="B225" s="125"/>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22.5" hidden="false" customHeight="true" outlineLevel="0" collapsed="false">
      <c r="A226" s="126" t="s">
        <v>944</v>
      </c>
      <c r="B226" s="126" t="s">
        <v>945</v>
      </c>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22.5" hidden="false" customHeight="true" outlineLevel="0" collapsed="false">
      <c r="A227" s="21" t="s">
        <v>1108</v>
      </c>
      <c r="B227" s="21" t="s">
        <v>1185</v>
      </c>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22.5" hidden="false" customHeight="true" outlineLevel="0" collapsed="false">
      <c r="A228" s="21" t="s">
        <v>1110</v>
      </c>
      <c r="B228" s="21" t="s">
        <v>1186</v>
      </c>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22.5" hidden="false" customHeight="true" outlineLevel="0" collapsed="false">
      <c r="A229" s="21" t="s">
        <v>1187</v>
      </c>
      <c r="B229" s="21" t="s">
        <v>1188</v>
      </c>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22.5" hidden="false" customHeight="true" outlineLevel="0" collapsed="false">
      <c r="A230" s="21" t="s">
        <v>1189</v>
      </c>
      <c r="B230" s="21" t="s">
        <v>1190</v>
      </c>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22.5" hidden="false" customHeight="true" outlineLevel="0" collapsed="false">
      <c r="A231" s="21" t="s">
        <v>1191</v>
      </c>
      <c r="B231" s="21" t="s">
        <v>1192</v>
      </c>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22.5" hidden="false" customHeight="true" outlineLevel="0" collapsed="false">
      <c r="A232" s="21"/>
      <c r="B232" s="21"/>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22.5" hidden="false" customHeight="true" outlineLevel="0" collapsed="false">
      <c r="A233" s="125" t="s">
        <v>1193</v>
      </c>
      <c r="B233" s="125"/>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22.5" hidden="false" customHeight="true" outlineLevel="0" collapsed="false">
      <c r="A234" s="126" t="s">
        <v>944</v>
      </c>
      <c r="B234" s="126" t="s">
        <v>945</v>
      </c>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22.5" hidden="false" customHeight="true" outlineLevel="0" collapsed="false">
      <c r="A235" s="21" t="s">
        <v>1194</v>
      </c>
      <c r="B235" s="21" t="s">
        <v>1195</v>
      </c>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22.5" hidden="false" customHeight="true" outlineLevel="0" collapsed="false">
      <c r="A236" s="21" t="s">
        <v>1196</v>
      </c>
      <c r="B236" s="21" t="s">
        <v>1197</v>
      </c>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22.5" hidden="false" customHeight="true" outlineLevel="0" collapsed="false">
      <c r="A237" s="21" t="s">
        <v>1198</v>
      </c>
      <c r="B237" s="21" t="s">
        <v>1199</v>
      </c>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22.5" hidden="false" customHeight="true" outlineLevel="0" collapsed="false">
      <c r="A238" s="21" t="s">
        <v>1200</v>
      </c>
      <c r="B238" s="21" t="s">
        <v>1201</v>
      </c>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22.5" hidden="false" customHeight="true" outlineLevel="0" collapsed="false">
      <c r="A239" s="21" t="s">
        <v>1202</v>
      </c>
      <c r="B239" s="21" t="s">
        <v>1203</v>
      </c>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22.5" hidden="false" customHeight="true" outlineLevel="0" collapsed="false">
      <c r="A240" s="21" t="s">
        <v>1204</v>
      </c>
      <c r="B240" s="21" t="s">
        <v>1205</v>
      </c>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22.5" hidden="false" customHeight="true" outlineLevel="0" collapsed="false">
      <c r="A241" s="21" t="s">
        <v>1206</v>
      </c>
      <c r="B241" s="21" t="s">
        <v>1207</v>
      </c>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22.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22.5" hidden="false" customHeight="true" outlineLevel="0" collapsed="false">
      <c r="A243" s="125" t="s">
        <v>1208</v>
      </c>
      <c r="B243" s="125"/>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22.5" hidden="false" customHeight="true" outlineLevel="0" collapsed="false">
      <c r="A244" s="126" t="s">
        <v>944</v>
      </c>
      <c r="B244" s="126" t="s">
        <v>945</v>
      </c>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22.5" hidden="false" customHeight="true" outlineLevel="0" collapsed="false">
      <c r="A245" s="21" t="s">
        <v>1209</v>
      </c>
      <c r="B245" s="21" t="s">
        <v>1210</v>
      </c>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22.5" hidden="false" customHeight="true" outlineLevel="0" collapsed="false">
      <c r="A246" s="21" t="s">
        <v>1211</v>
      </c>
      <c r="B246" s="21" t="s">
        <v>1212</v>
      </c>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22.5" hidden="false" customHeight="true" outlineLevel="0" collapsed="false">
      <c r="A247" s="21" t="s">
        <v>1213</v>
      </c>
      <c r="B247" s="21" t="s">
        <v>1214</v>
      </c>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22.5" hidden="false" customHeight="true" outlineLevel="0" collapsed="false">
      <c r="A248" s="21" t="s">
        <v>1215</v>
      </c>
      <c r="B248" s="21" t="s">
        <v>1216</v>
      </c>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22.5" hidden="false" customHeight="true" outlineLevel="0" collapsed="false">
      <c r="A249" s="21"/>
      <c r="B249" s="21"/>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22.5" hidden="false" customHeight="true" outlineLevel="0" collapsed="false">
      <c r="A250" s="125" t="s">
        <v>1217</v>
      </c>
      <c r="B250" s="125"/>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22.5" hidden="false" customHeight="true" outlineLevel="0" collapsed="false">
      <c r="A251" s="126" t="s">
        <v>944</v>
      </c>
      <c r="B251" s="126" t="s">
        <v>945</v>
      </c>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22.5" hidden="false" customHeight="true" outlineLevel="0" collapsed="false">
      <c r="A252" s="21" t="s">
        <v>1218</v>
      </c>
      <c r="B252" s="21" t="s">
        <v>1219</v>
      </c>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22.5" hidden="false" customHeight="true" outlineLevel="0" collapsed="false">
      <c r="A253" s="21" t="s">
        <v>1220</v>
      </c>
      <c r="B253" s="21" t="s">
        <v>1221</v>
      </c>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22.5" hidden="false" customHeight="true" outlineLevel="0" collapsed="false">
      <c r="A254" s="21" t="s">
        <v>1222</v>
      </c>
      <c r="B254" s="21" t="s">
        <v>1223</v>
      </c>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22.5" hidden="false" customHeight="true" outlineLevel="0" collapsed="false">
      <c r="A255" s="21" t="s">
        <v>1224</v>
      </c>
      <c r="B255" s="21" t="s">
        <v>1225</v>
      </c>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22.5" hidden="false" customHeight="true" outlineLevel="0" collapsed="false">
      <c r="A256" s="21" t="s">
        <v>1226</v>
      </c>
      <c r="B256" s="21" t="s">
        <v>1227</v>
      </c>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22.5" hidden="false" customHeight="true" outlineLevel="0" collapsed="false">
      <c r="A257" s="12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22.5" hidden="false" customHeight="true" outlineLevel="0" collapsed="false">
      <c r="A258" s="125" t="s">
        <v>1228</v>
      </c>
      <c r="B258" s="125"/>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22.5" hidden="false" customHeight="true" outlineLevel="0" collapsed="false">
      <c r="A259" s="126" t="s">
        <v>944</v>
      </c>
      <c r="B259" s="126" t="s">
        <v>945</v>
      </c>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22.5" hidden="false" customHeight="true" outlineLevel="0" collapsed="false">
      <c r="A260" s="21" t="s">
        <v>1034</v>
      </c>
      <c r="B260" s="21" t="s">
        <v>356</v>
      </c>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22.5" hidden="false" customHeight="true" outlineLevel="0" collapsed="false">
      <c r="A261" s="21" t="s">
        <v>1074</v>
      </c>
      <c r="B261" s="21" t="s">
        <v>364</v>
      </c>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22.5" hidden="false" customHeight="true" outlineLevel="0" collapsed="false">
      <c r="A262" s="21" t="s">
        <v>1122</v>
      </c>
      <c r="B262" s="21" t="s">
        <v>1176</v>
      </c>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22.5" hidden="false" customHeight="true" outlineLevel="0" collapsed="false">
      <c r="A263" s="21" t="s">
        <v>1047</v>
      </c>
      <c r="B263" s="21" t="s">
        <v>1229</v>
      </c>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22.5" hidden="false" customHeight="true" outlineLevel="0" collapsed="false">
      <c r="A264" s="21" t="s">
        <v>1037</v>
      </c>
      <c r="B264" s="21" t="s">
        <v>1075</v>
      </c>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22.5" hidden="false" customHeight="true" outlineLevel="0" collapsed="false">
      <c r="A265" s="126"/>
      <c r="B265" s="126"/>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22.5" hidden="false" customHeight="true" outlineLevel="0" collapsed="false">
      <c r="A266" s="125" t="s">
        <v>1230</v>
      </c>
      <c r="B266" s="125"/>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22.5" hidden="false" customHeight="true" outlineLevel="0" collapsed="false">
      <c r="A267" s="126" t="s">
        <v>944</v>
      </c>
      <c r="B267" s="126" t="s">
        <v>945</v>
      </c>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22.5" hidden="false" customHeight="true" outlineLevel="0" collapsed="false">
      <c r="A268" s="21" t="s">
        <v>1231</v>
      </c>
      <c r="B268" s="21" t="s">
        <v>1232</v>
      </c>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22.5" hidden="false" customHeight="true" outlineLevel="0" collapsed="false">
      <c r="A269" s="21" t="s">
        <v>1233</v>
      </c>
      <c r="B269" s="21" t="s">
        <v>1234</v>
      </c>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22.5" hidden="false" customHeight="true" outlineLevel="0" collapsed="false">
      <c r="A270" s="21" t="s">
        <v>1235</v>
      </c>
      <c r="B270" s="21" t="s">
        <v>1236</v>
      </c>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22.5" hidden="false" customHeight="true" outlineLevel="0" collapsed="false">
      <c r="A271" s="21"/>
      <c r="B271" s="21"/>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22.5" hidden="false" customHeight="true" outlineLevel="0" collapsed="false">
      <c r="A272" s="125" t="s">
        <v>1237</v>
      </c>
      <c r="B272" s="125"/>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22.5" hidden="false" customHeight="true" outlineLevel="0" collapsed="false">
      <c r="A273" s="126" t="s">
        <v>944</v>
      </c>
      <c r="B273" s="126" t="s">
        <v>945</v>
      </c>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22.5" hidden="false" customHeight="true" outlineLevel="0" collapsed="false">
      <c r="A274" s="21" t="s">
        <v>1238</v>
      </c>
      <c r="B274" s="21" t="s">
        <v>1239</v>
      </c>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22.5" hidden="false" customHeight="true" outlineLevel="0" collapsed="false">
      <c r="A275" s="21" t="s">
        <v>1240</v>
      </c>
      <c r="B275" s="21" t="s">
        <v>1241</v>
      </c>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22.5" hidden="false" customHeight="true" outlineLevel="0" collapsed="false">
      <c r="A276" s="130" t="s">
        <v>1022</v>
      </c>
      <c r="B276" s="130" t="s">
        <v>1242</v>
      </c>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22.5" hidden="false" customHeight="true" outlineLevel="0" collapsed="false">
      <c r="A277" s="130" t="s">
        <v>966</v>
      </c>
      <c r="B277" s="130" t="s">
        <v>967</v>
      </c>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22.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22.5" hidden="false" customHeight="true" outlineLevel="0" collapsed="false">
      <c r="A279" s="125" t="s">
        <v>1243</v>
      </c>
      <c r="B279" s="125"/>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22.5" hidden="false" customHeight="true" outlineLevel="0" collapsed="false">
      <c r="A280" s="126" t="s">
        <v>944</v>
      </c>
      <c r="B280" s="126" t="s">
        <v>945</v>
      </c>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22.5" hidden="false" customHeight="true" outlineLevel="0" collapsed="false">
      <c r="A281" s="21" t="s">
        <v>1244</v>
      </c>
      <c r="B281" s="21" t="s">
        <v>1245</v>
      </c>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22.5" hidden="false" customHeight="true" outlineLevel="0" collapsed="false">
      <c r="A282" s="21" t="s">
        <v>1246</v>
      </c>
      <c r="B282" s="21" t="s">
        <v>1247</v>
      </c>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22.5" hidden="false" customHeight="true" outlineLevel="0" collapsed="false">
      <c r="A283" s="21" t="s">
        <v>1248</v>
      </c>
      <c r="B283" s="21" t="s">
        <v>1249</v>
      </c>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22.5" hidden="false" customHeight="true" outlineLevel="0" collapsed="false">
      <c r="A284" s="21" t="s">
        <v>1250</v>
      </c>
      <c r="B284" s="21" t="s">
        <v>1251</v>
      </c>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22.5" hidden="false" customHeight="true" outlineLevel="0" collapsed="false">
      <c r="A285" s="21" t="s">
        <v>1252</v>
      </c>
      <c r="B285" s="21" t="s">
        <v>1253</v>
      </c>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22.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22.5" hidden="false" customHeight="true" outlineLevel="0" collapsed="false">
      <c r="A287" s="125" t="s">
        <v>1254</v>
      </c>
      <c r="B287" s="125"/>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22.5" hidden="false" customHeight="true" outlineLevel="0" collapsed="false">
      <c r="A288" s="126" t="s">
        <v>944</v>
      </c>
      <c r="B288" s="126" t="s">
        <v>945</v>
      </c>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22.5" hidden="false" customHeight="true" outlineLevel="0" collapsed="false">
      <c r="A289" s="21" t="s">
        <v>1255</v>
      </c>
      <c r="B289" s="21" t="s">
        <v>1256</v>
      </c>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22.5" hidden="false" customHeight="true" outlineLevel="0" collapsed="false">
      <c r="A290" s="21" t="s">
        <v>1257</v>
      </c>
      <c r="B290" s="21" t="s">
        <v>1258</v>
      </c>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22.5" hidden="false" customHeight="true" outlineLevel="0" collapsed="false">
      <c r="A291" s="21" t="s">
        <v>1259</v>
      </c>
      <c r="B291" s="21" t="s">
        <v>1260</v>
      </c>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22.5" hidden="false" customHeight="true" outlineLevel="0" collapsed="false">
      <c r="A292" s="21" t="s">
        <v>1261</v>
      </c>
      <c r="B292" s="21" t="s">
        <v>1262</v>
      </c>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22.5" hidden="false" customHeight="true" outlineLevel="0" collapsed="false">
      <c r="A293" s="21" t="s">
        <v>966</v>
      </c>
      <c r="B293" s="21" t="s">
        <v>967</v>
      </c>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22.5" hidden="false" customHeight="true" outlineLevel="0" collapsed="false">
      <c r="A294" s="126"/>
      <c r="B294" s="126"/>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22.5" hidden="false" customHeight="true" outlineLevel="0" collapsed="false">
      <c r="A295" s="125" t="s">
        <v>1263</v>
      </c>
      <c r="B295" s="125"/>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22.5" hidden="false" customHeight="true" outlineLevel="0" collapsed="false">
      <c r="A296" s="126" t="s">
        <v>944</v>
      </c>
      <c r="B296" s="126" t="s">
        <v>945</v>
      </c>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22.5" hidden="false" customHeight="true" outlineLevel="0" collapsed="false">
      <c r="A297" s="21" t="s">
        <v>1264</v>
      </c>
      <c r="B297" s="21" t="s">
        <v>1265</v>
      </c>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22.5" hidden="false" customHeight="true" outlineLevel="0" collapsed="false">
      <c r="A298" s="21" t="s">
        <v>1266</v>
      </c>
      <c r="B298" s="21" t="s">
        <v>1267</v>
      </c>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22.5" hidden="false" customHeight="true" outlineLevel="0" collapsed="false">
      <c r="A299" s="21" t="s">
        <v>1268</v>
      </c>
      <c r="B299" s="21" t="s">
        <v>1269</v>
      </c>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22.5" hidden="false" customHeight="true" outlineLevel="0" collapsed="false">
      <c r="A300" s="12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22.5" hidden="false" customHeight="true" outlineLevel="0" collapsed="false">
      <c r="A301" s="125" t="s">
        <v>1270</v>
      </c>
      <c r="B301" s="125"/>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22.5" hidden="false" customHeight="true" outlineLevel="0" collapsed="false">
      <c r="A302" s="126" t="s">
        <v>944</v>
      </c>
      <c r="B302" s="126" t="s">
        <v>945</v>
      </c>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22.5" hidden="false" customHeight="true" outlineLevel="0" collapsed="false">
      <c r="A303" s="21" t="s">
        <v>1271</v>
      </c>
      <c r="B303" s="21" t="s">
        <v>1272</v>
      </c>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22.5" hidden="false" customHeight="true" outlineLevel="0" collapsed="false">
      <c r="A304" s="21" t="s">
        <v>1273</v>
      </c>
      <c r="B304" s="21" t="s">
        <v>1274</v>
      </c>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22.5" hidden="false" customHeight="true" outlineLevel="0" collapsed="false">
      <c r="A305" s="21" t="s">
        <v>1275</v>
      </c>
      <c r="B305" s="21" t="s">
        <v>1276</v>
      </c>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22.5" hidden="false" customHeight="true" outlineLevel="0" collapsed="false">
      <c r="A306" s="21" t="s">
        <v>1277</v>
      </c>
      <c r="B306" s="21" t="s">
        <v>1278</v>
      </c>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22.5" hidden="false" customHeight="true" outlineLevel="0" collapsed="false">
      <c r="A307" s="21" t="s">
        <v>1279</v>
      </c>
      <c r="B307" s="21" t="s">
        <v>1280</v>
      </c>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22.5" hidden="false" customHeight="true" outlineLevel="0" collapsed="false">
      <c r="A308" s="21"/>
      <c r="B308" s="21"/>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22.5" hidden="false" customHeight="true" outlineLevel="0" collapsed="false">
      <c r="A309" s="125" t="s">
        <v>1281</v>
      </c>
      <c r="B309" s="125"/>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22.5" hidden="false" customHeight="true" outlineLevel="0" collapsed="false">
      <c r="A310" s="126" t="s">
        <v>944</v>
      </c>
      <c r="B310" s="126" t="s">
        <v>945</v>
      </c>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22.5" hidden="false" customHeight="true" outlineLevel="0" collapsed="false">
      <c r="A311" s="21" t="s">
        <v>976</v>
      </c>
      <c r="B311" s="21" t="s">
        <v>1282</v>
      </c>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22.5" hidden="false" customHeight="true" outlineLevel="0" collapsed="false">
      <c r="A312" s="21" t="s">
        <v>1121</v>
      </c>
      <c r="B312" s="21" t="s">
        <v>1283</v>
      </c>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22.5" hidden="false" customHeight="true" outlineLevel="0" collapsed="false">
      <c r="A313" s="21" t="s">
        <v>1284</v>
      </c>
      <c r="B313" s="21" t="s">
        <v>1285</v>
      </c>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22.5" hidden="false" customHeight="true" outlineLevel="0" collapsed="false">
      <c r="A314" s="12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22.5" hidden="false" customHeight="true" outlineLevel="0" collapsed="false">
      <c r="A315" s="125" t="s">
        <v>1286</v>
      </c>
      <c r="B315" s="125"/>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22.5" hidden="false" customHeight="true" outlineLevel="0" collapsed="false">
      <c r="A316" s="126" t="s">
        <v>944</v>
      </c>
      <c r="B316" s="126" t="s">
        <v>945</v>
      </c>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22.5" hidden="false" customHeight="true" outlineLevel="0" collapsed="false">
      <c r="A317" s="21" t="s">
        <v>1257</v>
      </c>
      <c r="B317" s="21" t="s">
        <v>1287</v>
      </c>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22.5" hidden="false" customHeight="true" outlineLevel="0" collapsed="false">
      <c r="A318" s="21" t="s">
        <v>1261</v>
      </c>
      <c r="B318" s="21" t="s">
        <v>1262</v>
      </c>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22.5" hidden="false" customHeight="true" outlineLevel="0" collapsed="false">
      <c r="A319" s="21" t="s">
        <v>1259</v>
      </c>
      <c r="B319" s="21" t="s">
        <v>1288</v>
      </c>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22.5" hidden="false" customHeight="true" outlineLevel="0" collapsed="false">
      <c r="A320" s="21" t="s">
        <v>998</v>
      </c>
      <c r="B320" s="21" t="s">
        <v>999</v>
      </c>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22.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22.5" hidden="false" customHeight="true" outlineLevel="0" collapsed="false">
      <c r="A322" s="125" t="s">
        <v>1289</v>
      </c>
      <c r="B322" s="125"/>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22.5" hidden="false" customHeight="true" outlineLevel="0" collapsed="false">
      <c r="A323" s="126" t="s">
        <v>944</v>
      </c>
      <c r="B323" s="126" t="s">
        <v>945</v>
      </c>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22.5" hidden="false" customHeight="true" outlineLevel="0" collapsed="false">
      <c r="A324" s="21" t="s">
        <v>1290</v>
      </c>
      <c r="B324" s="21" t="s">
        <v>1291</v>
      </c>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22.5" hidden="false" customHeight="true" outlineLevel="0" collapsed="false">
      <c r="A325" s="21" t="s">
        <v>1279</v>
      </c>
      <c r="B325" s="21" t="s">
        <v>1280</v>
      </c>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22.5" hidden="false" customHeight="true" outlineLevel="0" collapsed="false">
      <c r="A326" s="21" t="s">
        <v>1275</v>
      </c>
      <c r="B326" s="21" t="s">
        <v>1276</v>
      </c>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22.5" hidden="false" customHeight="true" outlineLevel="0" collapsed="false">
      <c r="A327" s="21" t="s">
        <v>1292</v>
      </c>
      <c r="B327" s="21" t="s">
        <v>1293</v>
      </c>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22.5" hidden="false" customHeight="true" outlineLevel="0" collapsed="false">
      <c r="A328" s="21" t="s">
        <v>1222</v>
      </c>
      <c r="B328" s="21" t="s">
        <v>1294</v>
      </c>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22.5" hidden="false" customHeight="true" outlineLevel="0" collapsed="false">
      <c r="A329" s="21" t="s">
        <v>966</v>
      </c>
      <c r="B329" s="21" t="s">
        <v>967</v>
      </c>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22.5" hidden="false" customHeight="true" outlineLevel="0" collapsed="false">
      <c r="A330" s="12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22.5" hidden="false" customHeight="true" outlineLevel="0" collapsed="false">
      <c r="A331" s="125" t="s">
        <v>1295</v>
      </c>
      <c r="B331" s="125"/>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22.5" hidden="false" customHeight="true" outlineLevel="0" collapsed="false">
      <c r="A332" s="126" t="s">
        <v>944</v>
      </c>
      <c r="B332" s="126" t="s">
        <v>945</v>
      </c>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22.5" hidden="false" customHeight="true" outlineLevel="0" collapsed="false">
      <c r="A333" s="21" t="s">
        <v>1296</v>
      </c>
      <c r="B333" s="21" t="s">
        <v>1297</v>
      </c>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22.5" hidden="false" customHeight="true" outlineLevel="0" collapsed="false">
      <c r="A334" s="21" t="s">
        <v>1298</v>
      </c>
      <c r="B334" s="21" t="s">
        <v>1299</v>
      </c>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22.5" hidden="false" customHeight="true" outlineLevel="0" collapsed="false">
      <c r="A335" s="21" t="s">
        <v>1300</v>
      </c>
      <c r="B335" s="21" t="s">
        <v>1301</v>
      </c>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22.5" hidden="false" customHeight="true" outlineLevel="0" collapsed="false">
      <c r="A336" s="21"/>
      <c r="B336" s="21"/>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22.5" hidden="false" customHeight="true" outlineLevel="0" collapsed="false">
      <c r="A337" s="125" t="s">
        <v>1302</v>
      </c>
      <c r="B337" s="125"/>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22.5" hidden="false" customHeight="true" outlineLevel="0" collapsed="false">
      <c r="A338" s="126" t="s">
        <v>944</v>
      </c>
      <c r="B338" s="126" t="s">
        <v>945</v>
      </c>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22.5" hidden="false" customHeight="true" outlineLevel="0" collapsed="false">
      <c r="A339" s="21" t="s">
        <v>976</v>
      </c>
      <c r="B339" s="21" t="s">
        <v>1303</v>
      </c>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22.5" hidden="false" customHeight="true" outlineLevel="0" collapsed="false">
      <c r="A340" s="21" t="s">
        <v>1110</v>
      </c>
      <c r="B340" s="21" t="s">
        <v>1304</v>
      </c>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22.5" hidden="false" customHeight="true" outlineLevel="0" collapsed="false">
      <c r="A341" s="21" t="s">
        <v>1121</v>
      </c>
      <c r="B341" s="21" t="s">
        <v>1283</v>
      </c>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22.5" hidden="false" customHeight="true" outlineLevel="0" collapsed="false">
      <c r="A342" s="21" t="s">
        <v>1284</v>
      </c>
      <c r="B342" s="21" t="s">
        <v>1285</v>
      </c>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22.5" hidden="false" customHeight="true" outlineLevel="0" collapsed="false">
      <c r="A343" s="21" t="s">
        <v>1305</v>
      </c>
      <c r="B343" s="21" t="s">
        <v>1306</v>
      </c>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22.5" hidden="false" customHeight="true" outlineLevel="0" collapsed="false">
      <c r="A344" s="21"/>
      <c r="B344" s="21"/>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22.5" hidden="false" customHeight="true" outlineLevel="0" collapsed="false">
      <c r="A345" s="125" t="s">
        <v>1307</v>
      </c>
      <c r="B345" s="125"/>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22.5" hidden="false" customHeight="true" outlineLevel="0" collapsed="false">
      <c r="A346" s="126" t="s">
        <v>944</v>
      </c>
      <c r="B346" s="126" t="s">
        <v>945</v>
      </c>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22.5" hidden="false" customHeight="true" outlineLevel="0" collapsed="false">
      <c r="A347" s="21" t="s">
        <v>1308</v>
      </c>
      <c r="B347" s="21" t="s">
        <v>1309</v>
      </c>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22.5" hidden="false" customHeight="true" outlineLevel="0" collapsed="false">
      <c r="A348" s="21" t="s">
        <v>986</v>
      </c>
      <c r="B348" s="21" t="s">
        <v>1310</v>
      </c>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22.5" hidden="false" customHeight="true" outlineLevel="0" collapsed="false">
      <c r="A349" s="21" t="s">
        <v>1032</v>
      </c>
      <c r="B349" s="21" t="s">
        <v>1311</v>
      </c>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22.5" hidden="false" customHeight="true" outlineLevel="0" collapsed="false">
      <c r="A350" s="21"/>
      <c r="B350" s="21"/>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22.5" hidden="false" customHeight="true" outlineLevel="0" collapsed="false">
      <c r="A351" s="125" t="s">
        <v>1312</v>
      </c>
      <c r="B351" s="125"/>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22.5" hidden="false" customHeight="true" outlineLevel="0" collapsed="false">
      <c r="A352" s="126" t="s">
        <v>944</v>
      </c>
      <c r="B352" s="126" t="s">
        <v>945</v>
      </c>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22.5" hidden="false" customHeight="true" outlineLevel="0" collapsed="false">
      <c r="A353" s="21" t="s">
        <v>1313</v>
      </c>
      <c r="B353" s="21" t="s">
        <v>1314</v>
      </c>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22.5" hidden="false" customHeight="true" outlineLevel="0" collapsed="false">
      <c r="A354" s="21" t="s">
        <v>1315</v>
      </c>
      <c r="B354" s="21" t="s">
        <v>1316</v>
      </c>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22.5" hidden="false" customHeight="true" outlineLevel="0" collapsed="false">
      <c r="A355" s="21" t="s">
        <v>1317</v>
      </c>
      <c r="B355" s="21" t="s">
        <v>1318</v>
      </c>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22.5" hidden="false" customHeight="true" outlineLevel="0" collapsed="false">
      <c r="A356" s="21"/>
      <c r="B356" s="21"/>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22.5" hidden="false" customHeight="true" outlineLevel="0" collapsed="false">
      <c r="A357" s="125" t="s">
        <v>1319</v>
      </c>
      <c r="B357" s="125"/>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22.5" hidden="false" customHeight="true" outlineLevel="0" collapsed="false">
      <c r="A358" s="126" t="s">
        <v>944</v>
      </c>
      <c r="B358" s="126" t="s">
        <v>945</v>
      </c>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22.5" hidden="false" customHeight="true" outlineLevel="0" collapsed="false">
      <c r="A359" s="21" t="s">
        <v>1320</v>
      </c>
      <c r="B359" s="21" t="s">
        <v>1321</v>
      </c>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22.5" hidden="false" customHeight="true" outlineLevel="0" collapsed="false">
      <c r="A360" s="21" t="s">
        <v>978</v>
      </c>
      <c r="B360" s="21" t="s">
        <v>211</v>
      </c>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22.5" hidden="false" customHeight="true" outlineLevel="0" collapsed="false">
      <c r="A361" s="21" t="s">
        <v>1066</v>
      </c>
      <c r="B361" s="21" t="s">
        <v>1322</v>
      </c>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22.5" hidden="false" customHeight="true" outlineLevel="0" collapsed="false">
      <c r="A362" s="21" t="s">
        <v>1068</v>
      </c>
      <c r="B362" s="21" t="s">
        <v>1069</v>
      </c>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22.5" hidden="false" customHeight="true" outlineLevel="0" collapsed="false">
      <c r="A363" s="21" t="s">
        <v>986</v>
      </c>
      <c r="B363" s="21" t="s">
        <v>1323</v>
      </c>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22.5" hidden="false" customHeight="true" outlineLevel="0" collapsed="false">
      <c r="A364" s="12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22.5" hidden="false" customHeight="true" outlineLevel="0" collapsed="false">
      <c r="A365" s="125" t="s">
        <v>1324</v>
      </c>
      <c r="B365" s="125"/>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22.5" hidden="false" customHeight="true" outlineLevel="0" collapsed="false">
      <c r="A366" s="126" t="s">
        <v>944</v>
      </c>
      <c r="B366" s="126" t="s">
        <v>945</v>
      </c>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22.5" hidden="false" customHeight="true" outlineLevel="0" collapsed="false">
      <c r="A367" s="21" t="s">
        <v>1325</v>
      </c>
      <c r="B367" s="21" t="s">
        <v>1326</v>
      </c>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22.5" hidden="false" customHeight="true" outlineLevel="0" collapsed="false">
      <c r="A368" s="21" t="s">
        <v>1327</v>
      </c>
      <c r="B368" s="21" t="s">
        <v>1328</v>
      </c>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22.5" hidden="false" customHeight="true" outlineLevel="0" collapsed="false">
      <c r="A369" s="21" t="s">
        <v>1329</v>
      </c>
      <c r="B369" s="21" t="s">
        <v>1330</v>
      </c>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22.5" hidden="false" customHeight="true" outlineLevel="0" collapsed="false">
      <c r="A370" s="21" t="s">
        <v>1331</v>
      </c>
      <c r="B370" s="21" t="s">
        <v>1332</v>
      </c>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22.5" hidden="false" customHeight="true" outlineLevel="0" collapsed="false">
      <c r="A371" s="21" t="s">
        <v>1333</v>
      </c>
      <c r="B371" s="21" t="s">
        <v>1334</v>
      </c>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22.5" hidden="false" customHeight="true" outlineLevel="0" collapsed="false">
      <c r="A372" s="21" t="s">
        <v>1335</v>
      </c>
      <c r="B372" s="21" t="s">
        <v>1336</v>
      </c>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22.5" hidden="false" customHeight="true" outlineLevel="0" collapsed="false">
      <c r="A373" s="21" t="s">
        <v>1337</v>
      </c>
      <c r="B373" s="21" t="s">
        <v>1338</v>
      </c>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22.5" hidden="false" customHeight="true" outlineLevel="0" collapsed="false">
      <c r="A374" s="21" t="s">
        <v>1339</v>
      </c>
      <c r="B374" s="21" t="s">
        <v>1340</v>
      </c>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22.5" hidden="false" customHeight="true" outlineLevel="0" collapsed="false">
      <c r="A375" s="21" t="s">
        <v>1222</v>
      </c>
      <c r="B375" s="21" t="s">
        <v>1341</v>
      </c>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22.5" hidden="false" customHeight="true" outlineLevel="0" collapsed="false">
      <c r="A376" s="21" t="s">
        <v>1342</v>
      </c>
      <c r="B376" s="21" t="s">
        <v>1343</v>
      </c>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22.5" hidden="false" customHeight="true" outlineLevel="0" collapsed="false">
      <c r="A377" s="21" t="s">
        <v>1344</v>
      </c>
      <c r="B377" s="21" t="s">
        <v>1345</v>
      </c>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22.5" hidden="false" customHeight="true" outlineLevel="0" collapsed="false">
      <c r="A378" s="21" t="s">
        <v>1346</v>
      </c>
      <c r="B378" s="21" t="s">
        <v>1347</v>
      </c>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22.5" hidden="false" customHeight="true" outlineLevel="0" collapsed="false">
      <c r="A379" s="21" t="s">
        <v>1348</v>
      </c>
      <c r="B379" s="21" t="s">
        <v>1349</v>
      </c>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22.5" hidden="false" customHeight="true" outlineLevel="0" collapsed="false">
      <c r="A380" s="21" t="s">
        <v>1350</v>
      </c>
      <c r="B380" s="21" t="s">
        <v>1351</v>
      </c>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22.5" hidden="false" customHeight="true" outlineLevel="0" collapsed="false">
      <c r="A381" s="21" t="s">
        <v>1352</v>
      </c>
      <c r="B381" s="21" t="s">
        <v>1353</v>
      </c>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22.5" hidden="false" customHeight="true" outlineLevel="0" collapsed="false">
      <c r="A382" s="21" t="s">
        <v>1354</v>
      </c>
      <c r="B382" s="21" t="s">
        <v>1355</v>
      </c>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22.5" hidden="false" customHeight="true" outlineLevel="0" collapsed="false">
      <c r="A383" s="21" t="s">
        <v>1356</v>
      </c>
      <c r="B383" s="21" t="s">
        <v>1357</v>
      </c>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22.5" hidden="false" customHeight="true" outlineLevel="0" collapsed="false">
      <c r="A384" s="21" t="s">
        <v>1358</v>
      </c>
      <c r="B384" s="21" t="s">
        <v>1359</v>
      </c>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22.5" hidden="false" customHeight="true" outlineLevel="0" collapsed="false">
      <c r="A385" s="21" t="s">
        <v>1360</v>
      </c>
      <c r="B385" s="21" t="s">
        <v>1361</v>
      </c>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22.5" hidden="false" customHeight="true" outlineLevel="0" collapsed="false">
      <c r="A386" s="21" t="s">
        <v>1362</v>
      </c>
      <c r="B386" s="21" t="s">
        <v>1363</v>
      </c>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22.5" hidden="false" customHeight="true" outlineLevel="0" collapsed="false">
      <c r="A387" s="21" t="s">
        <v>1364</v>
      </c>
      <c r="B387" s="21" t="s">
        <v>1365</v>
      </c>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22.5" hidden="false" customHeight="true" outlineLevel="0" collapsed="false">
      <c r="A388" s="130" t="s">
        <v>1366</v>
      </c>
      <c r="B388" s="130" t="s">
        <v>1367</v>
      </c>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22.5" hidden="false" customHeight="true" outlineLevel="0" collapsed="false">
      <c r="A389" s="130"/>
      <c r="B389" s="130"/>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22.5" hidden="false" customHeight="true" outlineLevel="0" collapsed="false">
      <c r="A390" s="125" t="s">
        <v>1368</v>
      </c>
      <c r="B390" s="125"/>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22.5" hidden="false" customHeight="true" outlineLevel="0" collapsed="false">
      <c r="A391" s="126" t="s">
        <v>944</v>
      </c>
      <c r="B391" s="126" t="s">
        <v>945</v>
      </c>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22.5" hidden="false" customHeight="true" outlineLevel="0" collapsed="false">
      <c r="A392" s="21" t="s">
        <v>1125</v>
      </c>
      <c r="B392" s="21" t="s">
        <v>1369</v>
      </c>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22.5" hidden="false" customHeight="true" outlineLevel="0" collapsed="false">
      <c r="A393" s="21" t="s">
        <v>1370</v>
      </c>
      <c r="B393" s="21" t="s">
        <v>1371</v>
      </c>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22.5" hidden="false" customHeight="true" outlineLevel="0" collapsed="false">
      <c r="A394" s="21" t="s">
        <v>1372</v>
      </c>
      <c r="B394" s="21" t="s">
        <v>1373</v>
      </c>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22.5" hidden="false" customHeight="true" outlineLevel="0" collapsed="false">
      <c r="A395" s="130"/>
      <c r="B395" s="130"/>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22.5" hidden="false" customHeight="true" outlineLevel="0" collapsed="false">
      <c r="A396" s="125" t="s">
        <v>1374</v>
      </c>
      <c r="B396" s="125"/>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22.5" hidden="false" customHeight="true" outlineLevel="0" collapsed="false">
      <c r="A397" s="126" t="s">
        <v>944</v>
      </c>
      <c r="B397" s="126" t="s">
        <v>945</v>
      </c>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22.5" hidden="false" customHeight="true" outlineLevel="0" collapsed="false">
      <c r="A398" s="21" t="s">
        <v>1375</v>
      </c>
      <c r="B398" s="21" t="s">
        <v>1376</v>
      </c>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22.5" hidden="false" customHeight="true" outlineLevel="0" collapsed="false">
      <c r="A399" s="21" t="s">
        <v>1377</v>
      </c>
      <c r="B399" s="21" t="s">
        <v>1378</v>
      </c>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22.5" hidden="false" customHeight="true" outlineLevel="0" collapsed="false">
      <c r="A400" s="21" t="s">
        <v>1121</v>
      </c>
      <c r="B400" s="21" t="s">
        <v>1379</v>
      </c>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22.5" hidden="false" customHeight="true" outlineLevel="0" collapsed="false">
      <c r="A401" s="21" t="s">
        <v>1380</v>
      </c>
      <c r="B401" s="21" t="s">
        <v>1381</v>
      </c>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22.5" hidden="false" customHeight="true" outlineLevel="0" collapsed="false">
      <c r="A402" s="21" t="s">
        <v>1037</v>
      </c>
      <c r="B402" s="21" t="s">
        <v>1075</v>
      </c>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22.5" hidden="false" customHeight="true" outlineLevel="0" collapsed="false">
      <c r="A403" s="130"/>
      <c r="B403" s="130"/>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22.5" hidden="false" customHeight="true" outlineLevel="0" collapsed="false">
      <c r="A404" s="125" t="s">
        <v>1382</v>
      </c>
      <c r="B404" s="125"/>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22.5" hidden="false" customHeight="true" outlineLevel="0" collapsed="false">
      <c r="A405" s="126" t="s">
        <v>944</v>
      </c>
      <c r="B405" s="126" t="s">
        <v>945</v>
      </c>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22.5" hidden="false" customHeight="true" outlineLevel="0" collapsed="false">
      <c r="A406" s="128" t="s">
        <v>1383</v>
      </c>
      <c r="B406" s="128" t="s">
        <v>1384</v>
      </c>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22.5" hidden="false" customHeight="true" outlineLevel="0" collapsed="false">
      <c r="A407" s="128" t="s">
        <v>1385</v>
      </c>
      <c r="B407" s="128" t="s">
        <v>1386</v>
      </c>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22.5" hidden="false" customHeight="true" outlineLevel="0" collapsed="false">
      <c r="A408" s="128" t="s">
        <v>1387</v>
      </c>
      <c r="B408" s="128" t="s">
        <v>1388</v>
      </c>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22.5" hidden="false" customHeight="true" outlineLevel="0" collapsed="false">
      <c r="A409" s="128" t="s">
        <v>1389</v>
      </c>
      <c r="B409" s="128" t="s">
        <v>1390</v>
      </c>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22.5" hidden="false" customHeight="true" outlineLevel="0" collapsed="false">
      <c r="A410" s="128" t="s">
        <v>1391</v>
      </c>
      <c r="B410" s="128" t="s">
        <v>1392</v>
      </c>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22.5" hidden="false" customHeight="true" outlineLevel="0" collapsed="false">
      <c r="A411" s="128" t="s">
        <v>1393</v>
      </c>
      <c r="B411" s="128" t="s">
        <v>1394</v>
      </c>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22.5" hidden="false" customHeight="true" outlineLevel="0" collapsed="false">
      <c r="A412" s="128" t="s">
        <v>1395</v>
      </c>
      <c r="B412" s="128" t="s">
        <v>1396</v>
      </c>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22.5" hidden="false" customHeight="true" outlineLevel="0" collapsed="false">
      <c r="A413" s="128" t="s">
        <v>1397</v>
      </c>
      <c r="B413" s="128" t="s">
        <v>1398</v>
      </c>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22.5" hidden="false" customHeight="true" outlineLevel="0" collapsed="false">
      <c r="A414" s="128" t="s">
        <v>1399</v>
      </c>
      <c r="B414" s="128" t="s">
        <v>1400</v>
      </c>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22.5" hidden="false" customHeight="true" outlineLevel="0" collapsed="false">
      <c r="A415" s="128" t="s">
        <v>1401</v>
      </c>
      <c r="B415" s="128" t="s">
        <v>1402</v>
      </c>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22.5" hidden="false" customHeight="true" outlineLevel="0" collapsed="false">
      <c r="A416" s="128" t="s">
        <v>1403</v>
      </c>
      <c r="B416" s="128" t="s">
        <v>1404</v>
      </c>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22.5" hidden="false" customHeight="true" outlineLevel="0" collapsed="false">
      <c r="A417" s="128" t="s">
        <v>1405</v>
      </c>
      <c r="B417" s="128" t="s">
        <v>1406</v>
      </c>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22.5" hidden="false" customHeight="true" outlineLevel="0" collapsed="false">
      <c r="A418" s="128" t="s">
        <v>1407</v>
      </c>
      <c r="B418" s="128" t="s">
        <v>1408</v>
      </c>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22.5" hidden="false" customHeight="true" outlineLevel="0" collapsed="false">
      <c r="A419" s="128" t="s">
        <v>1409</v>
      </c>
      <c r="B419" s="128" t="s">
        <v>1410</v>
      </c>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22.5" hidden="false" customHeight="true" outlineLevel="0" collapsed="false">
      <c r="A420" s="126"/>
      <c r="B420" s="126"/>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22.5" hidden="false" customHeight="true" outlineLevel="0" collapsed="false">
      <c r="A421" s="125" t="s">
        <v>1411</v>
      </c>
      <c r="B421" s="125"/>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22.5" hidden="false" customHeight="true" outlineLevel="0" collapsed="false">
      <c r="A422" s="126" t="s">
        <v>944</v>
      </c>
      <c r="B422" s="126" t="s">
        <v>945</v>
      </c>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22.5" hidden="false" customHeight="true" outlineLevel="0" collapsed="false">
      <c r="A423" s="21" t="s">
        <v>1025</v>
      </c>
      <c r="B423" s="21" t="s">
        <v>1412</v>
      </c>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22.5" hidden="false" customHeight="true" outlineLevel="0" collapsed="false">
      <c r="A424" s="21" t="s">
        <v>1413</v>
      </c>
      <c r="B424" s="21" t="s">
        <v>1414</v>
      </c>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22.5" hidden="false" customHeight="true" outlineLevel="0" collapsed="false">
      <c r="A425" s="21" t="s">
        <v>1415</v>
      </c>
      <c r="B425" s="21" t="s">
        <v>1416</v>
      </c>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22.5" hidden="false" customHeight="true" outlineLevel="0" collapsed="false">
      <c r="A426" s="21" t="s">
        <v>1417</v>
      </c>
      <c r="B426" s="21" t="s">
        <v>1418</v>
      </c>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22.5" hidden="false" customHeight="true" outlineLevel="0" collapsed="false">
      <c r="A427" s="21" t="s">
        <v>1419</v>
      </c>
      <c r="B427" s="21" t="s">
        <v>1420</v>
      </c>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22.5" hidden="false" customHeight="true" outlineLevel="0" collapsed="false">
      <c r="A428" s="21" t="s">
        <v>1421</v>
      </c>
      <c r="B428" s="21" t="s">
        <v>1422</v>
      </c>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22.5" hidden="false" customHeight="true" outlineLevel="0" collapsed="false">
      <c r="A429" s="128"/>
      <c r="B429" s="128"/>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22.5" hidden="false" customHeight="true" outlineLevel="0" collapsed="false">
      <c r="A430" s="125" t="s">
        <v>1423</v>
      </c>
      <c r="B430" s="125"/>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22.5" hidden="false" customHeight="true" outlineLevel="0" collapsed="false">
      <c r="A431" s="126" t="s">
        <v>944</v>
      </c>
      <c r="B431" s="126" t="s">
        <v>945</v>
      </c>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22.5" hidden="false" customHeight="true" outlineLevel="0" collapsed="false">
      <c r="A432" s="130" t="s">
        <v>1424</v>
      </c>
      <c r="B432" s="130" t="s">
        <v>1425</v>
      </c>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22.5" hidden="false" customHeight="true" outlineLevel="0" collapsed="false">
      <c r="A433" s="130" t="s">
        <v>1034</v>
      </c>
      <c r="B433" s="130" t="s">
        <v>1426</v>
      </c>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22.5" hidden="false" customHeight="true" outlineLevel="0" collapsed="false">
      <c r="A434" s="130" t="s">
        <v>1427</v>
      </c>
      <c r="B434" s="130" t="s">
        <v>1428</v>
      </c>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22.5" hidden="false" customHeight="true" outlineLevel="0" collapsed="false">
      <c r="A435" s="130" t="s">
        <v>1429</v>
      </c>
      <c r="B435" s="130" t="s">
        <v>1430</v>
      </c>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9">
    <mergeCell ref="A1:B1"/>
    <mergeCell ref="A2:B2"/>
    <mergeCell ref="A4:B4"/>
    <mergeCell ref="A18:B18"/>
    <mergeCell ref="A24:B24"/>
    <mergeCell ref="A34:B34"/>
    <mergeCell ref="A43:B43"/>
    <mergeCell ref="A48:B48"/>
    <mergeCell ref="A54:B54"/>
    <mergeCell ref="A62:B62"/>
    <mergeCell ref="A68:B68"/>
    <mergeCell ref="A75:B75"/>
    <mergeCell ref="A80:B80"/>
    <mergeCell ref="A86:B86"/>
    <mergeCell ref="A91:B91"/>
    <mergeCell ref="A97:B97"/>
    <mergeCell ref="A103:B103"/>
    <mergeCell ref="A110:B110"/>
    <mergeCell ref="A116:B116"/>
    <mergeCell ref="A125:B125"/>
    <mergeCell ref="A132:B132"/>
    <mergeCell ref="A142:B142"/>
    <mergeCell ref="A149:B149"/>
    <mergeCell ref="A155:B155"/>
    <mergeCell ref="A161:B161"/>
    <mergeCell ref="A168:B168"/>
    <mergeCell ref="A174:B174"/>
    <mergeCell ref="A179:B179"/>
    <mergeCell ref="A185:B185"/>
    <mergeCell ref="A192:B192"/>
    <mergeCell ref="A198:B198"/>
    <mergeCell ref="A206:B206"/>
    <mergeCell ref="A212:B212"/>
    <mergeCell ref="A219:B219"/>
    <mergeCell ref="A225:B225"/>
    <mergeCell ref="A233:B233"/>
    <mergeCell ref="A243:B243"/>
    <mergeCell ref="A250:B250"/>
    <mergeCell ref="A258:B258"/>
    <mergeCell ref="A266:B266"/>
    <mergeCell ref="A272:B272"/>
    <mergeCell ref="A279:B279"/>
    <mergeCell ref="A287:B287"/>
    <mergeCell ref="A295:B295"/>
    <mergeCell ref="A301:B301"/>
    <mergeCell ref="A309:B309"/>
    <mergeCell ref="A315:B315"/>
    <mergeCell ref="A322:B322"/>
    <mergeCell ref="A331:B331"/>
    <mergeCell ref="A337:B337"/>
    <mergeCell ref="A345:B345"/>
    <mergeCell ref="A351:B351"/>
    <mergeCell ref="A357:B357"/>
    <mergeCell ref="A365:B365"/>
    <mergeCell ref="A390:B390"/>
    <mergeCell ref="A396:B396"/>
    <mergeCell ref="A404:B404"/>
    <mergeCell ref="A421:B421"/>
    <mergeCell ref="A430:B4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322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zeroHeight="false" outlineLevelRow="0" outlineLevelCol="0"/>
  <cols>
    <col collapsed="false" customWidth="true" hidden="false" outlineLevel="0" max="1" min="1" style="1" width="39.43"/>
    <col collapsed="false" customWidth="true" hidden="false" outlineLevel="0" max="2" min="2" style="1" width="16.29"/>
    <col collapsed="false" customWidth="true" hidden="false" outlineLevel="0" max="3" min="3" style="1" width="9"/>
    <col collapsed="false" customWidth="true" hidden="false" outlineLevel="0" max="4" min="4" style="1" width="40"/>
    <col collapsed="false" customWidth="true" hidden="false" outlineLevel="0" max="5" min="5" style="1" width="34"/>
    <col collapsed="false" customWidth="true" hidden="false" outlineLevel="0" max="6" min="6" style="1" width="25.71"/>
    <col collapsed="false" customWidth="true" hidden="false" outlineLevel="0" max="8" min="7" style="1" width="40"/>
    <col collapsed="false" customWidth="true" hidden="false" outlineLevel="0" max="26" min="9" style="1" width="8.71"/>
  </cols>
  <sheetData>
    <row r="1" customFormat="false" ht="36" hidden="false" customHeight="true" outlineLevel="0" collapsed="false">
      <c r="A1" s="131" t="s">
        <v>1431</v>
      </c>
      <c r="B1" s="131"/>
      <c r="C1" s="131"/>
      <c r="D1" s="131"/>
      <c r="E1" s="131"/>
      <c r="F1" s="131"/>
      <c r="G1" s="131"/>
      <c r="H1" s="131"/>
      <c r="I1" s="4"/>
      <c r="J1" s="4"/>
      <c r="K1" s="4"/>
      <c r="L1" s="4"/>
      <c r="M1" s="4"/>
      <c r="N1" s="4"/>
      <c r="O1" s="4"/>
      <c r="P1" s="4"/>
      <c r="Q1" s="4"/>
      <c r="R1" s="4"/>
      <c r="S1" s="4"/>
      <c r="T1" s="4"/>
      <c r="U1" s="4"/>
      <c r="V1" s="4"/>
      <c r="W1" s="4"/>
      <c r="X1" s="4"/>
      <c r="Y1" s="4"/>
      <c r="Z1" s="4"/>
    </row>
    <row r="2" customFormat="false" ht="31.5" hidden="false" customHeight="true" outlineLevel="0" collapsed="false">
      <c r="A2" s="124" t="s">
        <v>1432</v>
      </c>
      <c r="B2" s="124"/>
      <c r="C2" s="124"/>
      <c r="D2" s="124"/>
      <c r="E2" s="124"/>
      <c r="F2" s="124"/>
      <c r="G2" s="124"/>
      <c r="H2" s="124"/>
      <c r="I2" s="4"/>
      <c r="J2" s="4"/>
      <c r="K2" s="4"/>
      <c r="L2" s="4"/>
      <c r="M2" s="4"/>
      <c r="N2" s="4"/>
      <c r="O2" s="4"/>
      <c r="P2" s="4"/>
      <c r="Q2" s="4"/>
      <c r="R2" s="4"/>
      <c r="S2" s="4"/>
      <c r="T2" s="4"/>
      <c r="U2" s="4"/>
      <c r="V2" s="4"/>
      <c r="W2" s="4"/>
      <c r="X2" s="4"/>
      <c r="Y2" s="4"/>
      <c r="Z2" s="4"/>
    </row>
    <row r="3" customFormat="false" ht="15" hidden="false" customHeight="true" outlineLevel="0" collapsed="false">
      <c r="A3" s="4"/>
      <c r="B3" s="4"/>
      <c r="C3" s="4"/>
      <c r="D3" s="4"/>
      <c r="E3" s="4"/>
      <c r="F3" s="4"/>
      <c r="G3" s="4"/>
      <c r="H3" s="4"/>
      <c r="I3" s="4"/>
      <c r="J3" s="4"/>
      <c r="K3" s="4"/>
      <c r="L3" s="4"/>
      <c r="M3" s="4"/>
      <c r="N3" s="4"/>
      <c r="O3" s="4"/>
      <c r="P3" s="4"/>
      <c r="Q3" s="4"/>
      <c r="R3" s="4"/>
      <c r="S3" s="4"/>
      <c r="T3" s="4"/>
      <c r="U3" s="4"/>
      <c r="V3" s="4"/>
      <c r="W3" s="4"/>
      <c r="X3" s="4"/>
      <c r="Y3" s="4"/>
      <c r="Z3" s="4"/>
    </row>
    <row r="4" customFormat="false" ht="27.75" hidden="false" customHeight="true" outlineLevel="0" collapsed="false">
      <c r="A4" s="132" t="s">
        <v>1433</v>
      </c>
      <c r="B4" s="132"/>
      <c r="C4" s="132"/>
      <c r="D4" s="132"/>
      <c r="E4" s="132"/>
      <c r="F4" s="132"/>
      <c r="G4" s="132"/>
      <c r="H4" s="132"/>
      <c r="I4" s="4"/>
      <c r="J4" s="4"/>
      <c r="K4" s="4"/>
      <c r="L4" s="4"/>
      <c r="M4" s="4"/>
      <c r="N4" s="4"/>
      <c r="O4" s="4"/>
      <c r="P4" s="4"/>
      <c r="Q4" s="4"/>
      <c r="R4" s="4"/>
      <c r="S4" s="4"/>
      <c r="T4" s="4"/>
      <c r="U4" s="4"/>
      <c r="V4" s="4"/>
      <c r="W4" s="4"/>
      <c r="X4" s="4"/>
      <c r="Y4" s="4"/>
      <c r="Z4" s="4"/>
    </row>
    <row r="5" customFormat="false" ht="24" hidden="false" customHeight="true" outlineLevel="0" collapsed="false">
      <c r="A5" s="20" t="s">
        <v>1434</v>
      </c>
      <c r="B5" s="20" t="s">
        <v>1435</v>
      </c>
      <c r="C5" s="20" t="s">
        <v>1436</v>
      </c>
      <c r="D5" s="133" t="s">
        <v>1437</v>
      </c>
      <c r="E5" s="133" t="s">
        <v>1438</v>
      </c>
      <c r="F5" s="133" t="s">
        <v>1439</v>
      </c>
      <c r="G5" s="133" t="s">
        <v>1440</v>
      </c>
      <c r="H5" s="133" t="s">
        <v>1441</v>
      </c>
      <c r="I5" s="4"/>
      <c r="J5" s="4"/>
      <c r="K5" s="4"/>
      <c r="L5" s="4"/>
      <c r="M5" s="4"/>
      <c r="N5" s="4"/>
      <c r="O5" s="4"/>
      <c r="P5" s="4"/>
      <c r="Q5" s="4"/>
      <c r="R5" s="4"/>
      <c r="S5" s="4"/>
      <c r="T5" s="4"/>
      <c r="U5" s="4"/>
      <c r="V5" s="4"/>
      <c r="W5" s="4"/>
      <c r="X5" s="4"/>
      <c r="Y5" s="4"/>
      <c r="Z5" s="4"/>
    </row>
    <row r="6" customFormat="false" ht="38.25" hidden="false" customHeight="true" outlineLevel="0" collapsed="false">
      <c r="A6" s="134" t="s">
        <v>1442</v>
      </c>
      <c r="B6" s="134"/>
      <c r="C6" s="134"/>
      <c r="D6" s="134"/>
      <c r="E6" s="134"/>
      <c r="F6" s="135"/>
      <c r="G6" s="135"/>
      <c r="H6" s="135"/>
      <c r="I6" s="4"/>
      <c r="J6" s="4"/>
      <c r="K6" s="4"/>
      <c r="L6" s="4"/>
      <c r="M6" s="4"/>
      <c r="N6" s="4"/>
      <c r="O6" s="4"/>
      <c r="P6" s="4"/>
      <c r="Q6" s="4"/>
      <c r="R6" s="4"/>
      <c r="S6" s="4"/>
      <c r="T6" s="4"/>
      <c r="U6" s="4"/>
      <c r="V6" s="4"/>
      <c r="W6" s="4"/>
      <c r="X6" s="4"/>
      <c r="Y6" s="4"/>
      <c r="Z6" s="4"/>
    </row>
    <row r="7" customFormat="false" ht="49.5" hidden="false" customHeight="true" outlineLevel="0" collapsed="false">
      <c r="A7" s="136" t="s">
        <v>1443</v>
      </c>
      <c r="B7" s="137" t="n">
        <v>15</v>
      </c>
      <c r="C7" s="138" t="s">
        <v>1444</v>
      </c>
      <c r="D7" s="33" t="s">
        <v>1445</v>
      </c>
      <c r="E7" s="33" t="s">
        <v>1446</v>
      </c>
      <c r="F7" s="33" t="s">
        <v>1447</v>
      </c>
      <c r="G7" s="33" t="s">
        <v>1448</v>
      </c>
      <c r="H7" s="33" t="s">
        <v>1449</v>
      </c>
      <c r="I7" s="4"/>
      <c r="J7" s="4"/>
      <c r="K7" s="4"/>
      <c r="L7" s="4"/>
      <c r="M7" s="4"/>
      <c r="N7" s="4"/>
      <c r="O7" s="4"/>
      <c r="P7" s="4"/>
      <c r="Q7" s="4"/>
      <c r="R7" s="4"/>
      <c r="S7" s="4"/>
      <c r="T7" s="4"/>
      <c r="U7" s="4"/>
      <c r="V7" s="4"/>
      <c r="W7" s="4"/>
      <c r="X7" s="4"/>
      <c r="Y7" s="4"/>
      <c r="Z7" s="4"/>
    </row>
    <row r="8" customFormat="false" ht="49.5" hidden="false" customHeight="true" outlineLevel="0" collapsed="false">
      <c r="A8" s="136" t="s">
        <v>1450</v>
      </c>
      <c r="B8" s="137" t="n">
        <v>4</v>
      </c>
      <c r="C8" s="139" t="s">
        <v>1451</v>
      </c>
      <c r="D8" s="140" t="s">
        <v>1452</v>
      </c>
      <c r="E8" s="140" t="s">
        <v>1453</v>
      </c>
      <c r="F8" s="140" t="s">
        <v>1454</v>
      </c>
      <c r="G8" s="140" t="str">
        <f aca="false">"Lead đã giao cho NV nhưng quá "&amp;$B$49&amp;"h chưa gọi thì DL02 đề xuất giao NV khác."</f>
        <v>Lead đã giao cho NV nhưng quá 1000000h chưa gọi thì DL02 đề xuất giao NV khác.</v>
      </c>
      <c r="H8" s="140" t="s">
        <v>1455</v>
      </c>
      <c r="I8" s="4"/>
      <c r="J8" s="4"/>
      <c r="K8" s="4"/>
      <c r="L8" s="4"/>
      <c r="M8" s="4"/>
      <c r="N8" s="4"/>
      <c r="O8" s="4"/>
      <c r="P8" s="4"/>
      <c r="Q8" s="4"/>
      <c r="R8" s="4"/>
      <c r="S8" s="4"/>
      <c r="T8" s="4"/>
      <c r="U8" s="4"/>
      <c r="V8" s="4"/>
      <c r="W8" s="4"/>
      <c r="X8" s="4"/>
      <c r="Y8" s="4"/>
      <c r="Z8" s="4"/>
    </row>
    <row r="9" customFormat="false" ht="49.5" hidden="false" customHeight="true" outlineLevel="0" collapsed="false">
      <c r="A9" s="136" t="s">
        <v>1456</v>
      </c>
      <c r="B9" s="137" t="n">
        <v>24</v>
      </c>
      <c r="C9" s="138" t="s">
        <v>1451</v>
      </c>
      <c r="D9" s="33" t="s">
        <v>1457</v>
      </c>
      <c r="E9" s="33" t="s">
        <v>1458</v>
      </c>
      <c r="F9" s="33" t="s">
        <v>1459</v>
      </c>
      <c r="G9" s="33" t="str">
        <f aca="false">"Khách làm test sáng nay, quá "&amp;$B$8&amp;"h chưa có điểm thì DL03 nhắc chấm."</f>
        <v>Khách làm test sáng nay, quá 4h chưa có điểm thì DL03 nhắc chấm.</v>
      </c>
      <c r="H9" s="33" t="s">
        <v>1460</v>
      </c>
      <c r="I9" s="4"/>
      <c r="J9" s="4"/>
      <c r="K9" s="4"/>
      <c r="L9" s="4"/>
      <c r="M9" s="4"/>
      <c r="N9" s="4"/>
      <c r="O9" s="4"/>
      <c r="P9" s="4"/>
      <c r="Q9" s="4"/>
      <c r="R9" s="4"/>
      <c r="S9" s="4"/>
      <c r="T9" s="4"/>
      <c r="U9" s="4"/>
      <c r="V9" s="4"/>
      <c r="W9" s="4"/>
      <c r="X9" s="4"/>
      <c r="Y9" s="4"/>
      <c r="Z9" s="4"/>
    </row>
    <row r="10" customFormat="false" ht="49.5" hidden="false" customHeight="true" outlineLevel="0" collapsed="false">
      <c r="A10" s="136" t="s">
        <v>1461</v>
      </c>
      <c r="B10" s="137" t="n">
        <v>24</v>
      </c>
      <c r="C10" s="138" t="s">
        <v>1451</v>
      </c>
      <c r="D10" s="33" t="s">
        <v>1462</v>
      </c>
      <c r="E10" s="33" t="s">
        <v>1463</v>
      </c>
      <c r="F10" s="33" t="s">
        <v>1459</v>
      </c>
      <c r="G10" s="33" t="str">
        <f aca="false">"Có điểm test lúc 10:00, quá "&amp;$B$9&amp;"h chưa tư vấn thì hệ thống nhắc tư vấn ngay."</f>
        <v>Có điểm test lúc 10:00, quá 24h chưa tư vấn thì hệ thống nhắc tư vấn ngay.</v>
      </c>
      <c r="H10" s="33" t="s">
        <v>1464</v>
      </c>
      <c r="I10" s="4"/>
      <c r="J10" s="4"/>
      <c r="K10" s="4"/>
      <c r="L10" s="4"/>
      <c r="M10" s="4"/>
      <c r="N10" s="4"/>
      <c r="O10" s="4"/>
      <c r="P10" s="4"/>
      <c r="Q10" s="4"/>
      <c r="R10" s="4"/>
      <c r="S10" s="4"/>
      <c r="T10" s="4"/>
      <c r="U10" s="4"/>
      <c r="V10" s="4"/>
      <c r="W10" s="4"/>
      <c r="X10" s="4"/>
      <c r="Y10" s="4"/>
      <c r="Z10" s="4"/>
    </row>
    <row r="11" customFormat="false" ht="49.5" hidden="false" customHeight="true" outlineLevel="0" collapsed="false">
      <c r="A11" s="136" t="s">
        <v>1465</v>
      </c>
      <c r="B11" s="137" t="n">
        <v>3</v>
      </c>
      <c r="C11" s="138" t="s">
        <v>1466</v>
      </c>
      <c r="D11" s="33" t="s">
        <v>1467</v>
      </c>
      <c r="E11" s="33" t="s">
        <v>1468</v>
      </c>
      <c r="F11" s="33" t="s">
        <v>1469</v>
      </c>
      <c r="G11" s="33" t="str">
        <f aca="false">"Lead ""đang cân nhắc"", quá "&amp;$B$12&amp;" ngày chưa gọi lại thì DL02 nhắc liên hệ."</f>
        <v>Lead "đang cân nhắc", quá 1 ngày chưa gọi lại thì DL02 nhắc liên hệ.</v>
      </c>
      <c r="H11" s="33" t="s">
        <v>1470</v>
      </c>
      <c r="I11" s="4"/>
      <c r="J11" s="4"/>
      <c r="K11" s="4"/>
      <c r="L11" s="4"/>
      <c r="M11" s="4"/>
      <c r="N11" s="4"/>
      <c r="O11" s="4"/>
      <c r="P11" s="4"/>
      <c r="Q11" s="4"/>
      <c r="R11" s="4"/>
      <c r="S11" s="4"/>
      <c r="T11" s="4"/>
      <c r="U11" s="4"/>
      <c r="V11" s="4"/>
      <c r="W11" s="4"/>
      <c r="X11" s="4"/>
      <c r="Y11" s="4"/>
      <c r="Z11" s="4"/>
    </row>
    <row r="12" customFormat="false" ht="49.5" hidden="false" customHeight="true" outlineLevel="0" collapsed="false">
      <c r="A12" s="136" t="s">
        <v>1471</v>
      </c>
      <c r="B12" s="137" t="n">
        <v>1</v>
      </c>
      <c r="C12" s="141" t="s">
        <v>1466</v>
      </c>
      <c r="D12" s="140" t="s">
        <v>1472</v>
      </c>
      <c r="E12" s="140" t="s">
        <v>1473</v>
      </c>
      <c r="F12" s="140" t="s">
        <v>1474</v>
      </c>
      <c r="G12" s="140" t="str">
        <f aca="false">"Yêu cầu cần duyệt quá "&amp;$B$59&amp;" ngày chưa xử lý thì coi là trễ (tính vào KPI duyệt)."</f>
        <v>Yêu cầu cần duyệt quá  ngày chưa xử lý thì coi là trễ (tính vào KPI duyệt).</v>
      </c>
      <c r="H12" s="140" t="s">
        <v>1475</v>
      </c>
      <c r="I12" s="4"/>
      <c r="J12" s="4"/>
      <c r="K12" s="4"/>
      <c r="L12" s="4"/>
      <c r="M12" s="4"/>
      <c r="N12" s="4"/>
      <c r="O12" s="4"/>
      <c r="P12" s="4"/>
      <c r="Q12" s="4"/>
      <c r="R12" s="4"/>
      <c r="S12" s="4"/>
      <c r="T12" s="4"/>
      <c r="U12" s="4"/>
      <c r="V12" s="4"/>
      <c r="W12" s="4"/>
      <c r="X12" s="4"/>
      <c r="Y12" s="4"/>
      <c r="Z12" s="4"/>
    </row>
    <row r="13" customFormat="false" ht="49.5" hidden="false" customHeight="true" outlineLevel="0" collapsed="false">
      <c r="A13" s="136" t="s">
        <v>1476</v>
      </c>
      <c r="B13" s="137" t="n">
        <v>24</v>
      </c>
      <c r="C13" s="138" t="s">
        <v>1451</v>
      </c>
      <c r="D13" s="33" t="s">
        <v>1477</v>
      </c>
      <c r="E13" s="33" t="s">
        <v>1478</v>
      </c>
      <c r="F13" s="33" t="s">
        <v>1459</v>
      </c>
      <c r="G13" s="33" t="str">
        <f aca="false">"Đăng ký để ""chờ"" quá "&amp;$B$13&amp;"h thì DL06 nhắc xác nhận/hủy."</f>
        <v>Đăng ký để "chờ" quá 24h thì DL06 nhắc xác nhận/hủy.</v>
      </c>
      <c r="H13" s="33" t="s">
        <v>1479</v>
      </c>
      <c r="I13" s="4"/>
      <c r="J13" s="4"/>
      <c r="K13" s="4"/>
      <c r="L13" s="4"/>
      <c r="M13" s="4"/>
      <c r="N13" s="4"/>
      <c r="O13" s="4"/>
      <c r="P13" s="4"/>
      <c r="Q13" s="4"/>
      <c r="R13" s="4"/>
      <c r="S13" s="4"/>
      <c r="T13" s="4"/>
      <c r="U13" s="4"/>
      <c r="V13" s="4"/>
      <c r="W13" s="4"/>
      <c r="X13" s="4"/>
      <c r="Y13" s="4"/>
      <c r="Z13" s="4"/>
    </row>
    <row r="14" customFormat="false" ht="49.5" hidden="false" customHeight="true" outlineLevel="0" collapsed="false">
      <c r="A14" s="136" t="s">
        <v>1480</v>
      </c>
      <c r="B14" s="137" t="n">
        <v>72</v>
      </c>
      <c r="C14" s="138" t="s">
        <v>1451</v>
      </c>
      <c r="D14" s="33" t="s">
        <v>1481</v>
      </c>
      <c r="E14" s="33" t="s">
        <v>1482</v>
      </c>
      <c r="F14" s="33" t="s">
        <v>1483</v>
      </c>
      <c r="G14" s="33" t="str">
        <f aca="false">"Đăng ký ""chờ"" quá "&amp;$B$14&amp;"h thì DL06 báo ""cân nhắc HỦY đăng ký""."</f>
        <v>Đăng ký "chờ" quá 72h thì DL06 báo "cân nhắc HỦY đăng ký".</v>
      </c>
      <c r="H14" s="33" t="s">
        <v>1484</v>
      </c>
      <c r="I14" s="4"/>
      <c r="J14" s="4"/>
      <c r="K14" s="4"/>
      <c r="L14" s="4"/>
      <c r="M14" s="4"/>
      <c r="N14" s="4"/>
      <c r="O14" s="4"/>
      <c r="P14" s="4"/>
      <c r="Q14" s="4"/>
      <c r="R14" s="4"/>
      <c r="S14" s="4"/>
      <c r="T14" s="4"/>
      <c r="U14" s="4"/>
      <c r="V14" s="4"/>
      <c r="W14" s="4"/>
      <c r="X14" s="4"/>
      <c r="Y14" s="4"/>
      <c r="Z14" s="4"/>
    </row>
    <row r="15" customFormat="false" ht="49.5" hidden="false" customHeight="true" outlineLevel="0" collapsed="false">
      <c r="A15" s="136" t="s">
        <v>1485</v>
      </c>
      <c r="B15" s="137" t="n">
        <v>14</v>
      </c>
      <c r="C15" s="138" t="s">
        <v>1466</v>
      </c>
      <c r="D15" s="33" t="s">
        <v>1486</v>
      </c>
      <c r="E15" s="33" t="s">
        <v>1487</v>
      </c>
      <c r="F15" s="33" t="s">
        <v>1488</v>
      </c>
      <c r="G15" s="33" t="str">
        <f aca="false">"Còn nợ học phí, quá "&amp;$B$15&amp;" ngày kể từ hạn thì DL06 báo số tiền còn thiếu."</f>
        <v>Còn nợ học phí, quá 14 ngày kể từ hạn thì DL06 báo số tiền còn thiếu.</v>
      </c>
      <c r="H15" s="33" t="s">
        <v>1489</v>
      </c>
      <c r="I15" s="4"/>
      <c r="J15" s="4"/>
      <c r="K15" s="4"/>
      <c r="L15" s="4"/>
      <c r="M15" s="4"/>
      <c r="N15" s="4"/>
      <c r="O15" s="4"/>
      <c r="P15" s="4"/>
      <c r="Q15" s="4"/>
      <c r="R15" s="4"/>
      <c r="S15" s="4"/>
      <c r="T15" s="4"/>
      <c r="U15" s="4"/>
      <c r="V15" s="4"/>
      <c r="W15" s="4"/>
      <c r="X15" s="4"/>
      <c r="Y15" s="4"/>
      <c r="Z15" s="4"/>
    </row>
    <row r="16" customFormat="false" ht="49.5" hidden="false" customHeight="true" outlineLevel="0" collapsed="false">
      <c r="A16" s="136" t="s">
        <v>1490</v>
      </c>
      <c r="B16" s="137" t="n">
        <v>24</v>
      </c>
      <c r="C16" s="139" t="s">
        <v>1451</v>
      </c>
      <c r="D16" s="140" t="s">
        <v>1491</v>
      </c>
      <c r="E16" s="140" t="s">
        <v>1492</v>
      </c>
      <c r="F16" s="140" t="s">
        <v>1459</v>
      </c>
      <c r="G16" s="140" t="str">
        <f aca="false">"Đã xếp lớp nhưng quá "&amp;$B$50&amp;"h chưa gửi thông tin Zalo thì DL08 nhắc gửi."</f>
        <v>Đã xếp lớp nhưng quá 5000000h chưa gửi thông tin Zalo thì DL08 nhắc gửi.</v>
      </c>
      <c r="H16" s="140" t="s">
        <v>1493</v>
      </c>
      <c r="I16" s="4"/>
      <c r="J16" s="4"/>
      <c r="K16" s="4"/>
      <c r="L16" s="4"/>
      <c r="M16" s="4"/>
      <c r="N16" s="4"/>
      <c r="O16" s="4"/>
      <c r="P16" s="4"/>
      <c r="Q16" s="4"/>
      <c r="R16" s="4"/>
      <c r="S16" s="4"/>
      <c r="T16" s="4"/>
      <c r="U16" s="4"/>
      <c r="V16" s="4"/>
      <c r="W16" s="4"/>
      <c r="X16" s="4"/>
      <c r="Y16" s="4"/>
      <c r="Z16" s="4"/>
    </row>
    <row r="17" customFormat="false" ht="49.5" hidden="false" customHeight="true" outlineLevel="0" collapsed="false">
      <c r="A17" s="136" t="s">
        <v>1494</v>
      </c>
      <c r="B17" s="137" t="n">
        <v>48</v>
      </c>
      <c r="C17" s="138" t="s">
        <v>1451</v>
      </c>
      <c r="D17" s="33" t="s">
        <v>1495</v>
      </c>
      <c r="E17" s="33" t="s">
        <v>1496</v>
      </c>
      <c r="F17" s="33" t="s">
        <v>1497</v>
      </c>
      <c r="G17" s="33" t="s">
        <v>1498</v>
      </c>
      <c r="H17" s="33" t="s">
        <v>1499</v>
      </c>
      <c r="I17" s="4"/>
      <c r="J17" s="4"/>
      <c r="K17" s="4"/>
      <c r="L17" s="4"/>
      <c r="M17" s="4"/>
      <c r="N17" s="4"/>
      <c r="O17" s="4"/>
      <c r="P17" s="4"/>
      <c r="Q17" s="4"/>
      <c r="R17" s="4"/>
      <c r="S17" s="4"/>
      <c r="T17" s="4"/>
      <c r="U17" s="4"/>
      <c r="V17" s="4"/>
      <c r="W17" s="4"/>
      <c r="X17" s="4"/>
      <c r="Y17" s="4"/>
      <c r="Z17" s="4"/>
    </row>
    <row r="18" customFormat="false" ht="49.5" hidden="false" customHeight="true" outlineLevel="0" collapsed="false">
      <c r="A18" s="136" t="s">
        <v>1500</v>
      </c>
      <c r="B18" s="137" t="n">
        <v>72</v>
      </c>
      <c r="C18" s="138" t="s">
        <v>1451</v>
      </c>
      <c r="D18" s="33" t="s">
        <v>1501</v>
      </c>
      <c r="E18" s="33" t="s">
        <v>1502</v>
      </c>
      <c r="F18" s="33" t="s">
        <v>1483</v>
      </c>
      <c r="G18" s="33" t="str">
        <f aca="false">"Đã xếp lớp nhưng quá "&amp;$B$11&amp;"h chưa hoàn tất nhập học thì hệ thống nhắc."</f>
        <v>Đã xếp lớp nhưng quá 3h chưa hoàn tất nhập học thì hệ thống nhắc.</v>
      </c>
      <c r="H18" s="33" t="s">
        <v>1503</v>
      </c>
      <c r="I18" s="4"/>
      <c r="J18" s="4"/>
      <c r="K18" s="4"/>
      <c r="L18" s="4"/>
      <c r="M18" s="4"/>
      <c r="N18" s="4"/>
      <c r="O18" s="4"/>
      <c r="P18" s="4"/>
      <c r="Q18" s="4"/>
      <c r="R18" s="4"/>
      <c r="S18" s="4"/>
      <c r="T18" s="4"/>
      <c r="U18" s="4"/>
      <c r="V18" s="4"/>
      <c r="W18" s="4"/>
      <c r="X18" s="4"/>
      <c r="Y18" s="4"/>
      <c r="Z18" s="4"/>
    </row>
    <row r="19" customFormat="false" ht="49.5" hidden="false" customHeight="true" outlineLevel="0" collapsed="false">
      <c r="A19" s="136" t="s">
        <v>1504</v>
      </c>
      <c r="B19" s="137" t="n">
        <v>30</v>
      </c>
      <c r="C19" s="139" t="s">
        <v>1444</v>
      </c>
      <c r="D19" s="140" t="s">
        <v>1505</v>
      </c>
      <c r="E19" s="140" t="s">
        <v>1506</v>
      </c>
      <c r="F19" s="140" t="s">
        <v>1507</v>
      </c>
      <c r="G19" s="140" t="str">
        <f aca="false">"Quá "&amp;$B$51&amp;" phút sau giờ vào lớp mà buổi vẫn ""chưa bắt đầu"" thì DL11 nhắc kiểm tra GV."</f>
        <v>Quá 2 phút sau giờ vào lớp mà buổi vẫn "chưa bắt đầu" thì DL11 nhắc kiểm tra GV.</v>
      </c>
      <c r="H19" s="140" t="s">
        <v>1508</v>
      </c>
      <c r="I19" s="4"/>
      <c r="J19" s="4"/>
      <c r="K19" s="4"/>
      <c r="L19" s="4"/>
      <c r="M19" s="4"/>
      <c r="N19" s="4"/>
      <c r="O19" s="4"/>
      <c r="P19" s="4"/>
      <c r="Q19" s="4"/>
      <c r="R19" s="4"/>
      <c r="S19" s="4"/>
      <c r="T19" s="4"/>
      <c r="U19" s="4"/>
      <c r="V19" s="4"/>
      <c r="W19" s="4"/>
      <c r="X19" s="4"/>
      <c r="Y19" s="4"/>
      <c r="Z19" s="4"/>
    </row>
    <row r="20" customFormat="false" ht="49.5" hidden="false" customHeight="true" outlineLevel="0" collapsed="false">
      <c r="A20" s="136" t="s">
        <v>1509</v>
      </c>
      <c r="B20" s="137" t="n">
        <v>48</v>
      </c>
      <c r="C20" s="141" t="s">
        <v>1451</v>
      </c>
      <c r="D20" s="140" t="s">
        <v>1510</v>
      </c>
      <c r="E20" s="140" t="s">
        <v>1511</v>
      </c>
      <c r="F20" s="140" t="s">
        <v>1497</v>
      </c>
      <c r="G20" s="140" t="str">
        <f aca="false">"Buổi xong quá "&amp;$B$60&amp;"h chưa ghi nhận xét thì DL11 nhắc ghi ngay."</f>
        <v>Buổi xong quá 4h chưa ghi nhận xét thì DL11 nhắc ghi ngay.</v>
      </c>
      <c r="H20" s="140" t="s">
        <v>1512</v>
      </c>
      <c r="I20" s="4"/>
      <c r="J20" s="4"/>
      <c r="K20" s="4"/>
      <c r="L20" s="4"/>
      <c r="M20" s="4"/>
      <c r="N20" s="4"/>
      <c r="O20" s="4"/>
      <c r="P20" s="4"/>
      <c r="Q20" s="4"/>
      <c r="R20" s="4"/>
      <c r="S20" s="4"/>
      <c r="T20" s="4"/>
      <c r="U20" s="4"/>
      <c r="V20" s="4"/>
      <c r="W20" s="4"/>
      <c r="X20" s="4"/>
      <c r="Y20" s="4"/>
      <c r="Z20" s="4"/>
    </row>
    <row r="21" customFormat="false" ht="49.5" hidden="false" customHeight="true" outlineLevel="0" collapsed="false">
      <c r="A21" s="136" t="s">
        <v>1513</v>
      </c>
      <c r="B21" s="137" t="n">
        <v>24</v>
      </c>
      <c r="C21" s="139" t="s">
        <v>1451</v>
      </c>
      <c r="D21" s="140" t="s">
        <v>1514</v>
      </c>
      <c r="E21" s="140" t="s">
        <v>1515</v>
      </c>
      <c r="F21" s="140" t="s">
        <v>1459</v>
      </c>
      <c r="G21" s="140" t="str">
        <f aca="false">"HV vắng không phép, quá "&amp;$B$52&amp;"h chưa gọi thì DL12 báo ""GỌI HV/phụ huynh NGAY""."</f>
        <v>HV vắng không phép, quá 14h chưa gọi thì DL12 báo "GỌI HV/phụ huynh NGAY".</v>
      </c>
      <c r="H21" s="140" t="s">
        <v>1516</v>
      </c>
      <c r="I21" s="4"/>
      <c r="J21" s="4"/>
      <c r="K21" s="4"/>
      <c r="L21" s="4"/>
      <c r="M21" s="4"/>
      <c r="N21" s="4"/>
      <c r="O21" s="4"/>
      <c r="P21" s="4"/>
      <c r="Q21" s="4"/>
      <c r="R21" s="4"/>
      <c r="S21" s="4"/>
      <c r="T21" s="4"/>
      <c r="U21" s="4"/>
      <c r="V21" s="4"/>
      <c r="W21" s="4"/>
      <c r="X21" s="4"/>
      <c r="Y21" s="4"/>
      <c r="Z21" s="4"/>
    </row>
    <row r="22" customFormat="false" ht="49.5" hidden="false" customHeight="true" outlineLevel="0" collapsed="false">
      <c r="A22" s="136" t="s">
        <v>1517</v>
      </c>
      <c r="B22" s="137" t="n">
        <v>48</v>
      </c>
      <c r="C22" s="139" t="s">
        <v>1451</v>
      </c>
      <c r="D22" s="140" t="s">
        <v>1518</v>
      </c>
      <c r="E22" s="140" t="s">
        <v>1519</v>
      </c>
      <c r="F22" s="140" t="s">
        <v>1497</v>
      </c>
      <c r="G22" s="140" t="str">
        <f aca="false">"HV nộp bài, quá "&amp;$B$53&amp;"h chưa chấm thì DL13 báo ""Quá SLA chấm bài - CHẤM NGAY""."</f>
        <v>HV nộp bài, quá 30h chưa chấm thì DL13 báo "Quá SLA chấm bài - CHẤM NGAY".</v>
      </c>
      <c r="H22" s="140" t="s">
        <v>1520</v>
      </c>
      <c r="I22" s="4"/>
      <c r="J22" s="4"/>
      <c r="K22" s="4"/>
      <c r="L22" s="4"/>
      <c r="M22" s="4"/>
      <c r="N22" s="4"/>
      <c r="O22" s="4"/>
      <c r="P22" s="4"/>
      <c r="Q22" s="4"/>
      <c r="R22" s="4"/>
      <c r="S22" s="4"/>
      <c r="T22" s="4"/>
      <c r="U22" s="4"/>
      <c r="V22" s="4"/>
      <c r="W22" s="4"/>
      <c r="X22" s="4"/>
      <c r="Y22" s="4"/>
      <c r="Z22" s="4"/>
    </row>
    <row r="23" customFormat="false" ht="49.5" hidden="false" customHeight="true" outlineLevel="0" collapsed="false">
      <c r="A23" s="136" t="s">
        <v>1521</v>
      </c>
      <c r="B23" s="137" t="n">
        <v>24</v>
      </c>
      <c r="C23" s="139" t="s">
        <v>1451</v>
      </c>
      <c r="D23" s="140" t="s">
        <v>1522</v>
      </c>
      <c r="E23" s="140" t="s">
        <v>1523</v>
      </c>
      <c r="F23" s="140" t="s">
        <v>1459</v>
      </c>
      <c r="G23" s="140" t="str">
        <f aca="false">"Buổi WOW xong quá "&amp;$B$54&amp;"h chưa trừ quota thì DL14 nhắc kiểm tra quota."</f>
        <v>Buổi WOW xong quá 90h chưa trừ quota thì DL14 nhắc kiểm tra quota.</v>
      </c>
      <c r="H23" s="140" t="s">
        <v>1524</v>
      </c>
      <c r="I23" s="4"/>
      <c r="J23" s="4"/>
      <c r="K23" s="4"/>
      <c r="L23" s="4"/>
      <c r="M23" s="4"/>
      <c r="N23" s="4"/>
      <c r="O23" s="4"/>
      <c r="P23" s="4"/>
      <c r="Q23" s="4"/>
      <c r="R23" s="4"/>
      <c r="S23" s="4"/>
      <c r="T23" s="4"/>
      <c r="U23" s="4"/>
      <c r="V23" s="4"/>
      <c r="W23" s="4"/>
      <c r="X23" s="4"/>
      <c r="Y23" s="4"/>
      <c r="Z23" s="4"/>
    </row>
    <row r="24" customFormat="false" ht="49.5" hidden="false" customHeight="true" outlineLevel="0" collapsed="false">
      <c r="A24" s="136" t="s">
        <v>1525</v>
      </c>
      <c r="B24" s="137" t="n">
        <v>24</v>
      </c>
      <c r="C24" s="139" t="s">
        <v>1451</v>
      </c>
      <c r="D24" s="140" t="s">
        <v>1526</v>
      </c>
      <c r="E24" s="140" t="s">
        <v>1527</v>
      </c>
      <c r="F24" s="140" t="s">
        <v>1459</v>
      </c>
      <c r="G24" s="140" t="str">
        <f aca="false">"Buổi WOW xong quá "&amp;$B$55&amp;"h chưa ghi kết quả thì DL14 báo viết content_note ngay."</f>
        <v>Buổi WOW xong quá h chưa ghi kết quả thì DL14 báo viết content_note ngay.</v>
      </c>
      <c r="H24" s="140" t="s">
        <v>1528</v>
      </c>
      <c r="I24" s="4"/>
      <c r="J24" s="4"/>
      <c r="K24" s="4"/>
      <c r="L24" s="4"/>
      <c r="M24" s="4"/>
      <c r="N24" s="4"/>
      <c r="O24" s="4"/>
      <c r="P24" s="4"/>
      <c r="Q24" s="4"/>
      <c r="R24" s="4"/>
      <c r="S24" s="4"/>
      <c r="T24" s="4"/>
      <c r="U24" s="4"/>
      <c r="V24" s="4"/>
      <c r="W24" s="4"/>
      <c r="X24" s="4"/>
      <c r="Y24" s="4"/>
      <c r="Z24" s="4"/>
    </row>
    <row r="25" customFormat="false" ht="49.5" hidden="false" customHeight="true" outlineLevel="0" collapsed="false">
      <c r="A25" s="136" t="s">
        <v>1529</v>
      </c>
      <c r="B25" s="137" t="n">
        <v>48</v>
      </c>
      <c r="C25" s="139" t="s">
        <v>1451</v>
      </c>
      <c r="D25" s="140" t="s">
        <v>1530</v>
      </c>
      <c r="E25" s="140" t="s">
        <v>1531</v>
      </c>
      <c r="F25" s="140" t="s">
        <v>1497</v>
      </c>
      <c r="G25" s="140" t="str">
        <f aca="false">"HV nộp khảo sát, quá "&amp;$B$56&amp;"h chưa xử lý thì DL15 nhắc phân công đọc và báo cáo."</f>
        <v>HV nộp khảo sát, quá 7h chưa xử lý thì DL15 nhắc phân công đọc và báo cáo.</v>
      </c>
      <c r="H25" s="140" t="s">
        <v>1532</v>
      </c>
      <c r="I25" s="4"/>
      <c r="J25" s="4"/>
      <c r="K25" s="4"/>
      <c r="L25" s="4"/>
      <c r="M25" s="4"/>
      <c r="N25" s="4"/>
      <c r="O25" s="4"/>
      <c r="P25" s="4"/>
      <c r="Q25" s="4"/>
      <c r="R25" s="4"/>
      <c r="S25" s="4"/>
      <c r="T25" s="4"/>
      <c r="U25" s="4"/>
      <c r="V25" s="4"/>
      <c r="W25" s="4"/>
      <c r="X25" s="4"/>
      <c r="Y25" s="4"/>
      <c r="Z25" s="4"/>
    </row>
    <row r="26" customFormat="false" ht="49.5" hidden="false" customHeight="true" outlineLevel="0" collapsed="false">
      <c r="A26" s="136" t="s">
        <v>1533</v>
      </c>
      <c r="B26" s="137" t="n">
        <v>24</v>
      </c>
      <c r="C26" s="138" t="s">
        <v>1451</v>
      </c>
      <c r="D26" s="33" t="s">
        <v>1534</v>
      </c>
      <c r="E26" s="33" t="s">
        <v>1535</v>
      </c>
      <c r="F26" s="33" t="s">
        <v>1459</v>
      </c>
      <c r="G26" s="33" t="str">
        <f aca="false">"Phản hồi mới quá "&amp;$B$21&amp;"h chưa phân loại thì DL16 nhắc phân loại."</f>
        <v>Phản hồi mới quá 24h chưa phân loại thì DL16 nhắc phân loại.</v>
      </c>
      <c r="H26" s="33" t="s">
        <v>1536</v>
      </c>
      <c r="I26" s="4"/>
      <c r="J26" s="4"/>
      <c r="K26" s="4"/>
      <c r="L26" s="4"/>
      <c r="M26" s="4"/>
      <c r="N26" s="4"/>
      <c r="O26" s="4"/>
      <c r="P26" s="4"/>
      <c r="Q26" s="4"/>
      <c r="R26" s="4"/>
      <c r="S26" s="4"/>
      <c r="T26" s="4"/>
      <c r="U26" s="4"/>
      <c r="V26" s="4"/>
      <c r="W26" s="4"/>
      <c r="X26" s="4"/>
      <c r="Y26" s="4"/>
      <c r="Z26" s="4"/>
    </row>
    <row r="27" customFormat="false" ht="49.5" hidden="false" customHeight="true" outlineLevel="0" collapsed="false">
      <c r="A27" s="136" t="s">
        <v>1537</v>
      </c>
      <c r="B27" s="137" t="n">
        <v>2</v>
      </c>
      <c r="C27" s="138" t="s">
        <v>1451</v>
      </c>
      <c r="D27" s="33" t="s">
        <v>1538</v>
      </c>
      <c r="E27" s="33" t="s">
        <v>1539</v>
      </c>
      <c r="F27" s="33" t="s">
        <v>1540</v>
      </c>
      <c r="G27" s="33" t="str">
        <f aca="false">"Khiếu nại mới quá "&amp;$B$17&amp;"h chưa phân công thì DL17 báo ""Quá SLA phân công - GẤP""."</f>
        <v>Khiếu nại mới quá 48h chưa phân công thì DL17 báo "Quá SLA phân công - GẤP".</v>
      </c>
      <c r="H27" s="33" t="s">
        <v>1541</v>
      </c>
      <c r="I27" s="4"/>
      <c r="J27" s="4"/>
      <c r="K27" s="4"/>
      <c r="L27" s="4"/>
      <c r="M27" s="4"/>
      <c r="N27" s="4"/>
      <c r="O27" s="4"/>
      <c r="P27" s="4"/>
      <c r="Q27" s="4"/>
      <c r="R27" s="4"/>
      <c r="S27" s="4"/>
      <c r="T27" s="4"/>
      <c r="U27" s="4"/>
      <c r="V27" s="4"/>
      <c r="W27" s="4"/>
      <c r="X27" s="4"/>
      <c r="Y27" s="4"/>
      <c r="Z27" s="4"/>
    </row>
    <row r="28" customFormat="false" ht="49.5" hidden="false" customHeight="true" outlineLevel="0" collapsed="false">
      <c r="A28" s="136" t="s">
        <v>1542</v>
      </c>
      <c r="B28" s="137" t="n">
        <v>4</v>
      </c>
      <c r="C28" s="138" t="s">
        <v>1451</v>
      </c>
      <c r="D28" s="33" t="s">
        <v>1543</v>
      </c>
      <c r="E28" s="33" t="s">
        <v>1544</v>
      </c>
      <c r="F28" s="33" t="s">
        <v>1454</v>
      </c>
      <c r="G28" s="33" t="str">
        <f aca="false">"Khiếu nại mức cao quá "&amp;$B$18&amp;"h chưa xử lý thì DL17 nhắc xử lý."</f>
        <v>Khiếu nại mức cao quá 72h chưa xử lý thì DL17 nhắc xử lý.</v>
      </c>
      <c r="H28" s="33" t="s">
        <v>1545</v>
      </c>
      <c r="I28" s="4"/>
      <c r="J28" s="4"/>
      <c r="K28" s="4"/>
      <c r="L28" s="4"/>
      <c r="M28" s="4"/>
      <c r="N28" s="4"/>
      <c r="O28" s="4"/>
      <c r="P28" s="4"/>
      <c r="Q28" s="4"/>
      <c r="R28" s="4"/>
      <c r="S28" s="4"/>
      <c r="T28" s="4"/>
      <c r="U28" s="4"/>
      <c r="V28" s="4"/>
      <c r="W28" s="4"/>
      <c r="X28" s="4"/>
      <c r="Y28" s="4"/>
      <c r="Z28" s="4"/>
    </row>
    <row r="29" customFormat="false" ht="49.5" hidden="false" customHeight="true" outlineLevel="0" collapsed="false">
      <c r="A29" s="136" t="s">
        <v>1546</v>
      </c>
      <c r="B29" s="137" t="n">
        <v>48</v>
      </c>
      <c r="C29" s="138" t="s">
        <v>1451</v>
      </c>
      <c r="D29" s="33" t="s">
        <v>1547</v>
      </c>
      <c r="E29" s="33" t="s">
        <v>1548</v>
      </c>
      <c r="F29" s="33" t="s">
        <v>1497</v>
      </c>
      <c r="G29" s="33" t="str">
        <f aca="false">"Khiếu nại mức trung bình quá "&amp;$B$19&amp;"h chưa xử lý thì DL17 nhắc."</f>
        <v>Khiếu nại mức trung bình quá 30h chưa xử lý thì DL17 nhắc.</v>
      </c>
      <c r="H29" s="33" t="s">
        <v>1549</v>
      </c>
      <c r="I29" s="4"/>
      <c r="J29" s="4"/>
      <c r="K29" s="4"/>
      <c r="L29" s="4"/>
      <c r="M29" s="4"/>
      <c r="N29" s="4"/>
      <c r="O29" s="4"/>
      <c r="P29" s="4"/>
      <c r="Q29" s="4"/>
      <c r="R29" s="4"/>
      <c r="S29" s="4"/>
      <c r="T29" s="4"/>
      <c r="U29" s="4"/>
      <c r="V29" s="4"/>
      <c r="W29" s="4"/>
      <c r="X29" s="4"/>
      <c r="Y29" s="4"/>
      <c r="Z29" s="4"/>
    </row>
    <row r="30" customFormat="false" ht="49.5" hidden="false" customHeight="true" outlineLevel="0" collapsed="false">
      <c r="A30" s="136" t="s">
        <v>1550</v>
      </c>
      <c r="B30" s="137" t="n">
        <v>168</v>
      </c>
      <c r="C30" s="138" t="s">
        <v>1451</v>
      </c>
      <c r="D30" s="33" t="s">
        <v>1551</v>
      </c>
      <c r="E30" s="33" t="s">
        <v>1552</v>
      </c>
      <c r="F30" s="33" t="s">
        <v>1553</v>
      </c>
      <c r="G30" s="33" t="s">
        <v>1554</v>
      </c>
      <c r="H30" s="33" t="s">
        <v>1555</v>
      </c>
      <c r="I30" s="4"/>
      <c r="J30" s="4"/>
      <c r="K30" s="4"/>
      <c r="L30" s="4"/>
      <c r="M30" s="4"/>
      <c r="N30" s="4"/>
      <c r="O30" s="4"/>
      <c r="P30" s="4"/>
      <c r="Q30" s="4"/>
      <c r="R30" s="4"/>
      <c r="S30" s="4"/>
      <c r="T30" s="4"/>
      <c r="U30" s="4"/>
      <c r="V30" s="4"/>
      <c r="W30" s="4"/>
      <c r="X30" s="4"/>
      <c r="Y30" s="4"/>
      <c r="Z30" s="4"/>
    </row>
    <row r="31" customFormat="false" ht="49.5" hidden="false" customHeight="true" outlineLevel="0" collapsed="false">
      <c r="A31" s="136" t="s">
        <v>1556</v>
      </c>
      <c r="B31" s="137" t="n">
        <v>7</v>
      </c>
      <c r="C31" s="138" t="s">
        <v>1466</v>
      </c>
      <c r="D31" s="33" t="s">
        <v>1557</v>
      </c>
      <c r="E31" s="33" t="s">
        <v>1558</v>
      </c>
      <c r="F31" s="33" t="s">
        <v>1559</v>
      </c>
      <c r="G31" s="33" t="str">
        <f aca="false">"HV không có hoạt động học quá "&amp;$B$16&amp;" ngày thì DL09 báo ""Không activity quá SLA""."</f>
        <v>HV không có hoạt động học quá 24 ngày thì DL09 báo "Không activity quá SLA".</v>
      </c>
      <c r="H31" s="33" t="s">
        <v>1560</v>
      </c>
      <c r="I31" s="4"/>
      <c r="J31" s="4"/>
      <c r="K31" s="4"/>
      <c r="L31" s="4"/>
      <c r="M31" s="4"/>
      <c r="N31" s="4"/>
      <c r="O31" s="4"/>
      <c r="P31" s="4"/>
      <c r="Q31" s="4"/>
      <c r="R31" s="4"/>
      <c r="S31" s="4"/>
      <c r="T31" s="4"/>
      <c r="U31" s="4"/>
      <c r="V31" s="4"/>
      <c r="W31" s="4"/>
      <c r="X31" s="4"/>
      <c r="Y31" s="4"/>
      <c r="Z31" s="4"/>
    </row>
    <row r="32" customFormat="false" ht="49.5" hidden="false" customHeight="true" outlineLevel="0" collapsed="false">
      <c r="A32" s="136" t="s">
        <v>1561</v>
      </c>
      <c r="B32" s="137" t="n">
        <v>3</v>
      </c>
      <c r="C32" s="139" t="s">
        <v>1466</v>
      </c>
      <c r="D32" s="140" t="s">
        <v>1562</v>
      </c>
      <c r="E32" s="140" t="s">
        <v>1563</v>
      </c>
      <c r="F32" s="140" t="s">
        <v>1469</v>
      </c>
      <c r="G32" s="140" t="str">
        <f aca="false">"HV hoàn thành khóa, quá "&amp;$B$57&amp;" ngày chưa có điểm test cuối thì DL18 nhắc nhập điểm."</f>
        <v>HV hoàn thành khóa, quá 14 ngày chưa có điểm test cuối thì DL18 nhắc nhập điểm.</v>
      </c>
      <c r="H32" s="140" t="s">
        <v>1564</v>
      </c>
      <c r="I32" s="4"/>
      <c r="J32" s="4"/>
      <c r="K32" s="4"/>
      <c r="L32" s="4"/>
      <c r="M32" s="4"/>
      <c r="N32" s="4"/>
      <c r="O32" s="4"/>
      <c r="P32" s="4"/>
      <c r="Q32" s="4"/>
      <c r="R32" s="4"/>
      <c r="S32" s="4"/>
      <c r="T32" s="4"/>
      <c r="U32" s="4"/>
      <c r="V32" s="4"/>
      <c r="W32" s="4"/>
      <c r="X32" s="4"/>
      <c r="Y32" s="4"/>
      <c r="Z32" s="4"/>
    </row>
    <row r="33" customFormat="false" ht="49.5" hidden="false" customHeight="true" outlineLevel="0" collapsed="false">
      <c r="A33" s="136" t="s">
        <v>1565</v>
      </c>
      <c r="B33" s="137" t="n">
        <v>3</v>
      </c>
      <c r="C33" s="138" t="s">
        <v>1466</v>
      </c>
      <c r="D33" s="33" t="s">
        <v>1566</v>
      </c>
      <c r="E33" s="33" t="s">
        <v>1567</v>
      </c>
      <c r="F33" s="33" t="s">
        <v>1469</v>
      </c>
      <c r="G33" s="33" t="str">
        <f aca="false">"HV hoàn thành khóa, quá "&amp;$B$22&amp;" ngày chưa liên hệ thì DL18 nhắc liên hệ tái ghi danh."</f>
        <v>HV hoàn thành khóa, quá 48 ngày chưa liên hệ thì DL18 nhắc liên hệ tái ghi danh.</v>
      </c>
      <c r="H33" s="33" t="s">
        <v>1568</v>
      </c>
      <c r="I33" s="4"/>
      <c r="J33" s="4"/>
      <c r="K33" s="4"/>
      <c r="L33" s="4"/>
      <c r="M33" s="4"/>
      <c r="N33" s="4"/>
      <c r="O33" s="4"/>
      <c r="P33" s="4"/>
      <c r="Q33" s="4"/>
      <c r="R33" s="4"/>
      <c r="S33" s="4"/>
      <c r="T33" s="4"/>
      <c r="U33" s="4"/>
      <c r="V33" s="4"/>
      <c r="W33" s="4"/>
      <c r="X33" s="4"/>
      <c r="Y33" s="4"/>
      <c r="Z33" s="4"/>
    </row>
    <row r="34" customFormat="false" ht="49.5" hidden="false" customHeight="true" outlineLevel="0" collapsed="false">
      <c r="A34" s="136" t="s">
        <v>1569</v>
      </c>
      <c r="B34" s="137" t="n">
        <v>14</v>
      </c>
      <c r="C34" s="139" t="s">
        <v>1466</v>
      </c>
      <c r="D34" s="140" t="s">
        <v>1570</v>
      </c>
      <c r="E34" s="140" t="s">
        <v>1571</v>
      </c>
      <c r="F34" s="140" t="s">
        <v>1488</v>
      </c>
      <c r="G34" s="140" t="str">
        <f aca="false">"HV quan tâm tái ghi danh, quá "&amp;$B$58&amp;" ngày chưa xếp khóa thì DL18 nhắc chốt lịch."</f>
        <v>HV quan tâm tái ghi danh, quá 30 ngày chưa xếp khóa thì DL18 nhắc chốt lịch.</v>
      </c>
      <c r="H34" s="140" t="s">
        <v>1572</v>
      </c>
      <c r="I34" s="4"/>
      <c r="J34" s="4"/>
      <c r="K34" s="4"/>
      <c r="L34" s="4"/>
      <c r="M34" s="4"/>
      <c r="N34" s="4"/>
      <c r="O34" s="4"/>
      <c r="P34" s="4"/>
      <c r="Q34" s="4"/>
      <c r="R34" s="4"/>
      <c r="S34" s="4"/>
      <c r="T34" s="4"/>
      <c r="U34" s="4"/>
      <c r="V34" s="4"/>
      <c r="W34" s="4"/>
      <c r="X34" s="4"/>
      <c r="Y34" s="4"/>
      <c r="Z34" s="4"/>
    </row>
    <row r="35" customFormat="false" ht="38.25" hidden="false" customHeight="true" outlineLevel="0" collapsed="false">
      <c r="A35" s="136" t="s">
        <v>1573</v>
      </c>
      <c r="B35" s="137" t="n">
        <v>1</v>
      </c>
      <c r="C35" s="138" t="s">
        <v>1466</v>
      </c>
      <c r="D35" s="33" t="s">
        <v>1574</v>
      </c>
      <c r="E35" s="33" t="s">
        <v>1575</v>
      </c>
      <c r="F35" s="33" t="s">
        <v>1474</v>
      </c>
      <c r="G35" s="33" t="s">
        <v>1576</v>
      </c>
      <c r="H35" s="33" t="s">
        <v>1577</v>
      </c>
      <c r="I35" s="4"/>
      <c r="J35" s="4"/>
      <c r="K35" s="4"/>
      <c r="L35" s="4"/>
      <c r="M35" s="4"/>
      <c r="N35" s="4"/>
      <c r="O35" s="4"/>
      <c r="P35" s="4"/>
      <c r="Q35" s="4"/>
      <c r="R35" s="4"/>
      <c r="S35" s="4"/>
      <c r="T35" s="4"/>
      <c r="U35" s="4"/>
      <c r="V35" s="4"/>
      <c r="W35" s="4"/>
      <c r="X35" s="4"/>
      <c r="Y35" s="4"/>
      <c r="Z35" s="4"/>
    </row>
    <row r="36" customFormat="false" ht="49.5" hidden="false" customHeight="true" outlineLevel="0" collapsed="false">
      <c r="A36" s="136" t="s">
        <v>1578</v>
      </c>
      <c r="B36" s="137" t="n">
        <v>1</v>
      </c>
      <c r="C36" s="138" t="s">
        <v>1466</v>
      </c>
      <c r="D36" s="33" t="s">
        <v>1579</v>
      </c>
      <c r="E36" s="33" t="s">
        <v>1580</v>
      </c>
      <c r="F36" s="33" t="s">
        <v>1474</v>
      </c>
      <c r="G36" s="33" t="s">
        <v>1581</v>
      </c>
      <c r="H36" s="33" t="s">
        <v>1582</v>
      </c>
      <c r="I36" s="4"/>
      <c r="J36" s="4"/>
      <c r="K36" s="4"/>
      <c r="L36" s="4"/>
      <c r="M36" s="4"/>
      <c r="N36" s="4"/>
      <c r="O36" s="4"/>
      <c r="P36" s="4"/>
      <c r="Q36" s="4"/>
      <c r="R36" s="4"/>
      <c r="S36" s="4"/>
      <c r="T36" s="4"/>
      <c r="U36" s="4"/>
      <c r="V36" s="4"/>
      <c r="W36" s="4"/>
      <c r="X36" s="4"/>
      <c r="Y36" s="4"/>
      <c r="Z36" s="4"/>
    </row>
    <row r="37" customFormat="false" ht="49.5" hidden="false" customHeight="true" outlineLevel="0" collapsed="false">
      <c r="A37" s="136" t="s">
        <v>1583</v>
      </c>
      <c r="B37" s="137" t="n">
        <v>5</v>
      </c>
      <c r="C37" s="138" t="s">
        <v>1466</v>
      </c>
      <c r="D37" s="33" t="s">
        <v>1584</v>
      </c>
      <c r="E37" s="33" t="s">
        <v>1585</v>
      </c>
      <c r="F37" s="33" t="s">
        <v>1586</v>
      </c>
      <c r="G37" s="33" t="s">
        <v>1587</v>
      </c>
      <c r="H37" s="33" t="s">
        <v>1582</v>
      </c>
      <c r="I37" s="4"/>
      <c r="J37" s="4"/>
      <c r="K37" s="4"/>
      <c r="L37" s="4"/>
      <c r="M37" s="4"/>
      <c r="N37" s="4"/>
      <c r="O37" s="4"/>
      <c r="P37" s="4"/>
      <c r="Q37" s="4"/>
      <c r="R37" s="4"/>
      <c r="S37" s="4"/>
      <c r="T37" s="4"/>
      <c r="U37" s="4"/>
      <c r="V37" s="4"/>
      <c r="W37" s="4"/>
      <c r="X37" s="4"/>
      <c r="Y37" s="4"/>
      <c r="Z37" s="4"/>
    </row>
    <row r="38" customFormat="false" ht="49.5" hidden="false" customHeight="true" outlineLevel="0" collapsed="false">
      <c r="A38" s="136" t="s">
        <v>1588</v>
      </c>
      <c r="B38" s="137" t="n">
        <v>24</v>
      </c>
      <c r="C38" s="138" t="s">
        <v>1451</v>
      </c>
      <c r="D38" s="33" t="s">
        <v>1589</v>
      </c>
      <c r="E38" s="33" t="s">
        <v>1590</v>
      </c>
      <c r="F38" s="33" t="s">
        <v>1459</v>
      </c>
      <c r="G38" s="33" t="s">
        <v>1591</v>
      </c>
      <c r="H38" s="33" t="s">
        <v>1592</v>
      </c>
      <c r="I38" s="4"/>
      <c r="J38" s="4"/>
      <c r="K38" s="4"/>
      <c r="L38" s="4"/>
      <c r="M38" s="4"/>
      <c r="N38" s="4"/>
      <c r="O38" s="4"/>
      <c r="P38" s="4"/>
      <c r="Q38" s="4"/>
      <c r="R38" s="4"/>
      <c r="S38" s="4"/>
      <c r="T38" s="4"/>
      <c r="U38" s="4"/>
      <c r="V38" s="4"/>
      <c r="W38" s="4"/>
      <c r="X38" s="4"/>
      <c r="Y38" s="4"/>
      <c r="Z38" s="4"/>
    </row>
    <row r="39" customFormat="false" ht="49.5" hidden="false" customHeight="true" outlineLevel="0" collapsed="false">
      <c r="A39" s="136" t="s">
        <v>1593</v>
      </c>
      <c r="B39" s="137" t="n">
        <v>48</v>
      </c>
      <c r="C39" s="138" t="s">
        <v>1451</v>
      </c>
      <c r="D39" s="33" t="s">
        <v>1594</v>
      </c>
      <c r="E39" s="33" t="s">
        <v>1595</v>
      </c>
      <c r="F39" s="33" t="s">
        <v>1497</v>
      </c>
      <c r="G39" s="33" t="s">
        <v>1596</v>
      </c>
      <c r="H39" s="33" t="s">
        <v>1592</v>
      </c>
      <c r="I39" s="4"/>
      <c r="J39" s="4"/>
      <c r="K39" s="4"/>
      <c r="L39" s="4"/>
      <c r="M39" s="4"/>
      <c r="N39" s="4"/>
      <c r="O39" s="4"/>
      <c r="P39" s="4"/>
      <c r="Q39" s="4"/>
      <c r="R39" s="4"/>
      <c r="S39" s="4"/>
      <c r="T39" s="4"/>
      <c r="U39" s="4"/>
      <c r="V39" s="4"/>
      <c r="W39" s="4"/>
      <c r="X39" s="4"/>
      <c r="Y39" s="4"/>
      <c r="Z39" s="4"/>
    </row>
    <row r="40" customFormat="false" ht="49.5" hidden="false" customHeight="true" outlineLevel="0" collapsed="false">
      <c r="A40" s="136" t="s">
        <v>1597</v>
      </c>
      <c r="B40" s="137" t="n">
        <v>24</v>
      </c>
      <c r="C40" s="138" t="s">
        <v>1451</v>
      </c>
      <c r="D40" s="33" t="s">
        <v>1598</v>
      </c>
      <c r="E40" s="33" t="s">
        <v>1599</v>
      </c>
      <c r="F40" s="33" t="s">
        <v>1459</v>
      </c>
      <c r="G40" s="33" t="s">
        <v>1600</v>
      </c>
      <c r="H40" s="33" t="s">
        <v>1601</v>
      </c>
      <c r="I40" s="4"/>
      <c r="J40" s="4"/>
      <c r="K40" s="4"/>
      <c r="L40" s="4"/>
      <c r="M40" s="4"/>
      <c r="N40" s="4"/>
      <c r="O40" s="4"/>
      <c r="P40" s="4"/>
      <c r="Q40" s="4"/>
      <c r="R40" s="4"/>
      <c r="S40" s="4"/>
      <c r="T40" s="4"/>
      <c r="U40" s="4"/>
      <c r="V40" s="4"/>
      <c r="W40" s="4"/>
      <c r="X40" s="4"/>
      <c r="Y40" s="4"/>
      <c r="Z40" s="4"/>
    </row>
    <row r="41" customFormat="false" ht="49.5" hidden="false" customHeight="true" outlineLevel="0" collapsed="false">
      <c r="A41" s="136" t="s">
        <v>1602</v>
      </c>
      <c r="B41" s="137" t="n">
        <v>7</v>
      </c>
      <c r="C41" s="138" t="s">
        <v>1466</v>
      </c>
      <c r="D41" s="33" t="s">
        <v>1603</v>
      </c>
      <c r="E41" s="33" t="s">
        <v>1604</v>
      </c>
      <c r="F41" s="33" t="s">
        <v>1559</v>
      </c>
      <c r="G41" s="33" t="s">
        <v>1605</v>
      </c>
      <c r="H41" s="33" t="s">
        <v>1606</v>
      </c>
      <c r="I41" s="4"/>
      <c r="J41" s="4"/>
      <c r="K41" s="4"/>
      <c r="L41" s="4"/>
      <c r="M41" s="4"/>
      <c r="N41" s="4"/>
      <c r="O41" s="4"/>
      <c r="P41" s="4"/>
      <c r="Q41" s="4"/>
      <c r="R41" s="4"/>
      <c r="S41" s="4"/>
      <c r="T41" s="4"/>
      <c r="U41" s="4"/>
      <c r="V41" s="4"/>
      <c r="W41" s="4"/>
      <c r="X41" s="4"/>
      <c r="Y41" s="4"/>
      <c r="Z41" s="4"/>
    </row>
    <row r="42" customFormat="false" ht="49.5" hidden="false" customHeight="true" outlineLevel="0" collapsed="false">
      <c r="A42" s="136" t="s">
        <v>1607</v>
      </c>
      <c r="B42" s="137" t="n">
        <v>7</v>
      </c>
      <c r="C42" s="138" t="s">
        <v>1466</v>
      </c>
      <c r="D42" s="33" t="s">
        <v>1608</v>
      </c>
      <c r="E42" s="33" t="s">
        <v>1609</v>
      </c>
      <c r="F42" s="33" t="s">
        <v>1559</v>
      </c>
      <c r="G42" s="33" t="s">
        <v>1610</v>
      </c>
      <c r="H42" s="33" t="s">
        <v>1611</v>
      </c>
      <c r="I42" s="4"/>
      <c r="J42" s="4"/>
      <c r="K42" s="4"/>
      <c r="L42" s="4"/>
      <c r="M42" s="4"/>
      <c r="N42" s="4"/>
      <c r="O42" s="4"/>
      <c r="P42" s="4"/>
      <c r="Q42" s="4"/>
      <c r="R42" s="4"/>
      <c r="S42" s="4"/>
      <c r="T42" s="4"/>
      <c r="U42" s="4"/>
      <c r="V42" s="4"/>
      <c r="W42" s="4"/>
      <c r="X42" s="4"/>
      <c r="Y42" s="4"/>
      <c r="Z42" s="4"/>
    </row>
    <row r="43" customFormat="false" ht="38.25" hidden="false" customHeight="true" outlineLevel="0" collapsed="false">
      <c r="A43" s="136" t="s">
        <v>1612</v>
      </c>
      <c r="B43" s="137" t="n">
        <v>7</v>
      </c>
      <c r="C43" s="138" t="s">
        <v>1466</v>
      </c>
      <c r="D43" s="33" t="s">
        <v>1613</v>
      </c>
      <c r="E43" s="33" t="s">
        <v>1614</v>
      </c>
      <c r="F43" s="33" t="s">
        <v>1559</v>
      </c>
      <c r="G43" s="33" t="s">
        <v>1615</v>
      </c>
      <c r="H43" s="33" t="s">
        <v>1616</v>
      </c>
      <c r="I43" s="4"/>
      <c r="J43" s="4"/>
      <c r="K43" s="4"/>
      <c r="L43" s="4"/>
      <c r="M43" s="4"/>
      <c r="N43" s="4"/>
      <c r="O43" s="4"/>
      <c r="P43" s="4"/>
      <c r="Q43" s="4"/>
      <c r="R43" s="4"/>
      <c r="S43" s="4"/>
      <c r="T43" s="4"/>
      <c r="U43" s="4"/>
      <c r="V43" s="4"/>
      <c r="W43" s="4"/>
      <c r="X43" s="4"/>
      <c r="Y43" s="4"/>
      <c r="Z43" s="4"/>
    </row>
    <row r="44" customFormat="false" ht="49.5" hidden="false" customHeight="true" outlineLevel="0" collapsed="false">
      <c r="A44" s="134" t="s">
        <v>1617</v>
      </c>
      <c r="B44" s="134"/>
      <c r="C44" s="134"/>
      <c r="D44" s="134"/>
      <c r="E44" s="134"/>
      <c r="F44" s="135"/>
      <c r="G44" s="135"/>
      <c r="H44" s="135"/>
      <c r="I44" s="4"/>
      <c r="J44" s="4"/>
      <c r="K44" s="4"/>
      <c r="L44" s="4"/>
      <c r="M44" s="4"/>
      <c r="N44" s="4"/>
      <c r="O44" s="4"/>
      <c r="P44" s="4"/>
      <c r="Q44" s="4"/>
      <c r="R44" s="4"/>
      <c r="S44" s="4"/>
      <c r="T44" s="4"/>
      <c r="U44" s="4"/>
      <c r="V44" s="4"/>
      <c r="W44" s="4"/>
      <c r="X44" s="4"/>
      <c r="Y44" s="4"/>
      <c r="Z44" s="4"/>
    </row>
    <row r="45" customFormat="false" ht="49.5" hidden="false" customHeight="true" outlineLevel="0" collapsed="false">
      <c r="A45" s="136" t="s">
        <v>1618</v>
      </c>
      <c r="B45" s="137" t="n">
        <v>5</v>
      </c>
      <c r="C45" s="138" t="s">
        <v>1619</v>
      </c>
      <c r="D45" s="33" t="s">
        <v>1620</v>
      </c>
      <c r="E45" s="33" t="s">
        <v>1621</v>
      </c>
      <c r="F45" s="33" t="s">
        <v>1622</v>
      </c>
      <c r="G45" s="33" t="s">
        <v>1623</v>
      </c>
      <c r="H45" s="33" t="s">
        <v>1624</v>
      </c>
      <c r="I45" s="4"/>
      <c r="J45" s="4"/>
      <c r="K45" s="4"/>
      <c r="L45" s="4"/>
      <c r="M45" s="4"/>
      <c r="N45" s="4"/>
      <c r="O45" s="4"/>
      <c r="P45" s="4"/>
      <c r="Q45" s="4"/>
      <c r="R45" s="4"/>
      <c r="S45" s="4"/>
      <c r="T45" s="4"/>
      <c r="U45" s="4"/>
      <c r="V45" s="4"/>
      <c r="W45" s="4"/>
      <c r="X45" s="4"/>
      <c r="Y45" s="4"/>
      <c r="Z45" s="4"/>
    </row>
    <row r="46" customFormat="false" ht="49.5" hidden="false" customHeight="true" outlineLevel="0" collapsed="false">
      <c r="A46" s="136" t="s">
        <v>1625</v>
      </c>
      <c r="B46" s="137" t="n">
        <v>7</v>
      </c>
      <c r="C46" s="138" t="s">
        <v>1466</v>
      </c>
      <c r="D46" s="33" t="s">
        <v>1626</v>
      </c>
      <c r="E46" s="33" t="s">
        <v>1627</v>
      </c>
      <c r="F46" s="33" t="s">
        <v>1559</v>
      </c>
      <c r="G46" s="33" t="str">
        <f aca="false">"Đã liên hệ nhưng quá "&amp;$B$29&amp;" ngày chưa chốt thì DL02 nhắc đẩy mạnh tư vấn."</f>
        <v>Đã liên hệ nhưng quá 48 ngày chưa chốt thì DL02 nhắc đẩy mạnh tư vấn.</v>
      </c>
      <c r="H46" s="33" t="s">
        <v>1628</v>
      </c>
      <c r="I46" s="4"/>
      <c r="J46" s="4"/>
      <c r="K46" s="4"/>
      <c r="L46" s="4"/>
      <c r="M46" s="4"/>
      <c r="N46" s="4"/>
      <c r="O46" s="4"/>
      <c r="P46" s="4"/>
      <c r="Q46" s="4"/>
      <c r="R46" s="4"/>
      <c r="S46" s="4"/>
      <c r="T46" s="4"/>
      <c r="U46" s="4"/>
      <c r="V46" s="4"/>
      <c r="W46" s="4"/>
      <c r="X46" s="4"/>
      <c r="Y46" s="4"/>
      <c r="Z46" s="4"/>
    </row>
    <row r="47" customFormat="false" ht="38.25" hidden="false" customHeight="true" outlineLevel="0" collapsed="false">
      <c r="A47" s="136" t="s">
        <v>1629</v>
      </c>
      <c r="B47" s="137" t="n">
        <v>2</v>
      </c>
      <c r="C47" s="138" t="s">
        <v>1630</v>
      </c>
      <c r="D47" s="33" t="s">
        <v>1631</v>
      </c>
      <c r="E47" s="33" t="s">
        <v>1632</v>
      </c>
      <c r="F47" s="33" t="s">
        <v>1633</v>
      </c>
      <c r="G47" s="33" t="s">
        <v>1634</v>
      </c>
      <c r="H47" s="33" t="s">
        <v>1635</v>
      </c>
      <c r="I47" s="4"/>
      <c r="J47" s="4"/>
      <c r="K47" s="4"/>
      <c r="L47" s="4"/>
      <c r="M47" s="4"/>
      <c r="N47" s="4"/>
      <c r="O47" s="4"/>
      <c r="P47" s="4"/>
      <c r="Q47" s="4"/>
      <c r="R47" s="4"/>
      <c r="S47" s="4"/>
      <c r="T47" s="4"/>
      <c r="U47" s="4"/>
      <c r="V47" s="4"/>
      <c r="W47" s="4"/>
      <c r="X47" s="4"/>
      <c r="Y47" s="4"/>
      <c r="Z47" s="4"/>
    </row>
    <row r="48" customFormat="false" ht="49.5" hidden="false" customHeight="true" outlineLevel="0" collapsed="false">
      <c r="A48" s="136" t="s">
        <v>1636</v>
      </c>
      <c r="B48" s="137" t="n">
        <v>3</v>
      </c>
      <c r="C48" s="138" t="s">
        <v>1619</v>
      </c>
      <c r="D48" s="33" t="s">
        <v>1637</v>
      </c>
      <c r="E48" s="33" t="s">
        <v>1638</v>
      </c>
      <c r="F48" s="33" t="s">
        <v>1639</v>
      </c>
      <c r="G48" s="33" t="s">
        <v>1640</v>
      </c>
      <c r="H48" s="33" t="s">
        <v>1635</v>
      </c>
      <c r="I48" s="4"/>
      <c r="J48" s="4"/>
      <c r="K48" s="4"/>
      <c r="L48" s="4"/>
      <c r="M48" s="4"/>
      <c r="N48" s="4"/>
      <c r="O48" s="4"/>
      <c r="P48" s="4"/>
      <c r="Q48" s="4"/>
      <c r="R48" s="4"/>
      <c r="S48" s="4"/>
      <c r="T48" s="4"/>
      <c r="U48" s="4"/>
      <c r="V48" s="4"/>
      <c r="W48" s="4"/>
      <c r="X48" s="4"/>
      <c r="Y48" s="4"/>
      <c r="Z48" s="4"/>
    </row>
    <row r="49" customFormat="false" ht="38.25" hidden="false" customHeight="true" outlineLevel="0" collapsed="false">
      <c r="A49" s="136" t="s">
        <v>1641</v>
      </c>
      <c r="B49" s="142" t="n">
        <v>1000000</v>
      </c>
      <c r="C49" s="138" t="s">
        <v>1642</v>
      </c>
      <c r="D49" s="33" t="s">
        <v>1643</v>
      </c>
      <c r="E49" s="33" t="s">
        <v>1644</v>
      </c>
      <c r="F49" s="33" t="s">
        <v>1645</v>
      </c>
      <c r="G49" s="33" t="s">
        <v>1646</v>
      </c>
      <c r="H49" s="33" t="s">
        <v>1647</v>
      </c>
      <c r="I49" s="4"/>
      <c r="J49" s="4"/>
      <c r="K49" s="4"/>
      <c r="L49" s="4"/>
      <c r="M49" s="4"/>
      <c r="N49" s="4"/>
      <c r="O49" s="4"/>
      <c r="P49" s="4"/>
      <c r="Q49" s="4"/>
      <c r="R49" s="4"/>
      <c r="S49" s="4"/>
      <c r="T49" s="4"/>
      <c r="U49" s="4"/>
      <c r="V49" s="4"/>
      <c r="W49" s="4"/>
      <c r="X49" s="4"/>
      <c r="Y49" s="4"/>
      <c r="Z49" s="4"/>
    </row>
    <row r="50" customFormat="false" ht="49.5" hidden="false" customHeight="true" outlineLevel="0" collapsed="false">
      <c r="A50" s="136" t="s">
        <v>1648</v>
      </c>
      <c r="B50" s="142" t="n">
        <v>5000000</v>
      </c>
      <c r="C50" s="138" t="s">
        <v>1642</v>
      </c>
      <c r="D50" s="33" t="s">
        <v>1649</v>
      </c>
      <c r="E50" s="33" t="s">
        <v>1650</v>
      </c>
      <c r="F50" s="33" t="s">
        <v>1651</v>
      </c>
      <c r="G50" s="33" t="s">
        <v>1652</v>
      </c>
      <c r="H50" s="33" t="s">
        <v>1653</v>
      </c>
      <c r="I50" s="4"/>
      <c r="J50" s="4"/>
      <c r="K50" s="4"/>
      <c r="L50" s="4"/>
      <c r="M50" s="4"/>
      <c r="N50" s="4"/>
      <c r="O50" s="4"/>
      <c r="P50" s="4"/>
      <c r="Q50" s="4"/>
      <c r="R50" s="4"/>
      <c r="S50" s="4"/>
      <c r="T50" s="4"/>
      <c r="U50" s="4"/>
      <c r="V50" s="4"/>
      <c r="W50" s="4"/>
      <c r="X50" s="4"/>
      <c r="Y50" s="4"/>
      <c r="Z50" s="4"/>
    </row>
    <row r="51" customFormat="false" ht="49.5" hidden="false" customHeight="true" outlineLevel="0" collapsed="false">
      <c r="A51" s="136" t="s">
        <v>1654</v>
      </c>
      <c r="B51" s="143" t="n">
        <v>2</v>
      </c>
      <c r="C51" s="141" t="s">
        <v>1619</v>
      </c>
      <c r="D51" s="140" t="s">
        <v>1655</v>
      </c>
      <c r="E51" s="140" t="s">
        <v>1656</v>
      </c>
      <c r="F51" s="140" t="s">
        <v>1657</v>
      </c>
      <c r="G51" s="140" t="s">
        <v>1658</v>
      </c>
      <c r="H51" s="140" t="s">
        <v>1659</v>
      </c>
      <c r="I51" s="4"/>
      <c r="J51" s="4"/>
      <c r="K51" s="4"/>
      <c r="L51" s="4"/>
      <c r="M51" s="4"/>
      <c r="N51" s="4"/>
      <c r="O51" s="4"/>
      <c r="P51" s="4"/>
      <c r="Q51" s="4"/>
      <c r="R51" s="4"/>
      <c r="S51" s="4"/>
      <c r="T51" s="4"/>
      <c r="U51" s="4"/>
      <c r="V51" s="4"/>
      <c r="W51" s="4"/>
      <c r="X51" s="4"/>
      <c r="Y51" s="4"/>
      <c r="Z51" s="4"/>
    </row>
    <row r="52" customFormat="false" ht="49.5" hidden="false" customHeight="true" outlineLevel="0" collapsed="false">
      <c r="A52" s="136" t="s">
        <v>1660</v>
      </c>
      <c r="B52" s="137" t="n">
        <v>14</v>
      </c>
      <c r="C52" s="138" t="s">
        <v>1466</v>
      </c>
      <c r="D52" s="33" t="s">
        <v>1661</v>
      </c>
      <c r="E52" s="33" t="s">
        <v>1662</v>
      </c>
      <c r="F52" s="33" t="s">
        <v>1488</v>
      </c>
      <c r="G52" s="33" t="s">
        <v>1663</v>
      </c>
      <c r="H52" s="33" t="s">
        <v>1664</v>
      </c>
      <c r="I52" s="4"/>
      <c r="J52" s="4"/>
      <c r="K52" s="4"/>
      <c r="L52" s="4"/>
      <c r="M52" s="4"/>
      <c r="N52" s="4"/>
      <c r="O52" s="4"/>
      <c r="P52" s="4"/>
      <c r="Q52" s="4"/>
      <c r="R52" s="4"/>
      <c r="S52" s="4"/>
      <c r="T52" s="4"/>
      <c r="U52" s="4"/>
      <c r="V52" s="4"/>
      <c r="W52" s="4"/>
      <c r="X52" s="4"/>
      <c r="Y52" s="4"/>
      <c r="Z52" s="4"/>
    </row>
    <row r="53" customFormat="false" ht="49.5" hidden="false" customHeight="true" outlineLevel="0" collapsed="false">
      <c r="A53" s="136" t="s">
        <v>1665</v>
      </c>
      <c r="B53" s="137" t="n">
        <v>30</v>
      </c>
      <c r="C53" s="138" t="s">
        <v>1466</v>
      </c>
      <c r="D53" s="33" t="s">
        <v>1666</v>
      </c>
      <c r="E53" s="33" t="s">
        <v>1667</v>
      </c>
      <c r="F53" s="33" t="s">
        <v>1668</v>
      </c>
      <c r="G53" s="33" t="s">
        <v>1669</v>
      </c>
      <c r="H53" s="33" t="s">
        <v>1670</v>
      </c>
      <c r="I53" s="4"/>
      <c r="J53" s="4"/>
      <c r="K53" s="4"/>
      <c r="L53" s="4"/>
      <c r="M53" s="4"/>
      <c r="N53" s="4"/>
      <c r="O53" s="4"/>
      <c r="P53" s="4"/>
      <c r="Q53" s="4"/>
      <c r="R53" s="4"/>
      <c r="S53" s="4"/>
      <c r="T53" s="4"/>
      <c r="U53" s="4"/>
      <c r="V53" s="4"/>
      <c r="W53" s="4"/>
      <c r="X53" s="4"/>
      <c r="Y53" s="4"/>
      <c r="Z53" s="4"/>
    </row>
    <row r="54" customFormat="false" ht="49.5" hidden="false" customHeight="true" outlineLevel="0" collapsed="false">
      <c r="A54" s="136" t="s">
        <v>1671</v>
      </c>
      <c r="B54" s="137" t="n">
        <v>90</v>
      </c>
      <c r="C54" s="138" t="s">
        <v>1466</v>
      </c>
      <c r="D54" s="33" t="s">
        <v>1672</v>
      </c>
      <c r="E54" s="33" t="s">
        <v>1673</v>
      </c>
      <c r="F54" s="33" t="s">
        <v>1674</v>
      </c>
      <c r="G54" s="33" t="s">
        <v>1675</v>
      </c>
      <c r="H54" s="33" t="s">
        <v>1670</v>
      </c>
      <c r="I54" s="4"/>
      <c r="J54" s="4"/>
      <c r="K54" s="4"/>
      <c r="L54" s="4"/>
      <c r="M54" s="4"/>
      <c r="N54" s="4"/>
      <c r="O54" s="4"/>
      <c r="P54" s="4"/>
      <c r="Q54" s="4"/>
      <c r="R54" s="4"/>
      <c r="S54" s="4"/>
      <c r="T54" s="4"/>
      <c r="U54" s="4"/>
      <c r="V54" s="4"/>
      <c r="W54" s="4"/>
      <c r="X54" s="4"/>
      <c r="Y54" s="4"/>
      <c r="Z54" s="4"/>
    </row>
    <row r="55" customFormat="false" ht="49.5" hidden="false" customHeight="true" outlineLevel="0" collapsed="false">
      <c r="A55" s="134" t="s">
        <v>1676</v>
      </c>
      <c r="B55" s="134"/>
      <c r="C55" s="134"/>
      <c r="D55" s="134"/>
      <c r="E55" s="134"/>
      <c r="F55" s="135"/>
      <c r="G55" s="135"/>
      <c r="H55" s="135"/>
      <c r="I55" s="4"/>
      <c r="J55" s="4"/>
      <c r="K55" s="4"/>
      <c r="L55" s="4"/>
      <c r="M55" s="4"/>
      <c r="N55" s="4"/>
      <c r="O55" s="4"/>
      <c r="P55" s="4"/>
      <c r="Q55" s="4"/>
      <c r="R55" s="4"/>
      <c r="S55" s="4"/>
      <c r="T55" s="4"/>
      <c r="U55" s="4"/>
      <c r="V55" s="4"/>
      <c r="W55" s="4"/>
      <c r="X55" s="4"/>
      <c r="Y55" s="4"/>
      <c r="Z55" s="4"/>
    </row>
    <row r="56" customFormat="false" ht="49.5" hidden="false" customHeight="true" outlineLevel="0" collapsed="false">
      <c r="A56" s="136" t="s">
        <v>1677</v>
      </c>
      <c r="B56" s="137" t="n">
        <v>7</v>
      </c>
      <c r="C56" s="138" t="s">
        <v>1466</v>
      </c>
      <c r="D56" s="33" t="s">
        <v>1678</v>
      </c>
      <c r="E56" s="33" t="s">
        <v>1679</v>
      </c>
      <c r="F56" s="33" t="s">
        <v>1559</v>
      </c>
      <c r="G56" s="33" t="s">
        <v>1680</v>
      </c>
      <c r="H56" s="33" t="s">
        <v>1681</v>
      </c>
      <c r="I56" s="4"/>
      <c r="J56" s="4"/>
      <c r="K56" s="4"/>
      <c r="L56" s="4"/>
      <c r="M56" s="4"/>
      <c r="N56" s="4"/>
      <c r="O56" s="4"/>
      <c r="P56" s="4"/>
      <c r="Q56" s="4"/>
      <c r="R56" s="4"/>
      <c r="S56" s="4"/>
      <c r="T56" s="4"/>
      <c r="U56" s="4"/>
      <c r="V56" s="4"/>
      <c r="W56" s="4"/>
      <c r="X56" s="4"/>
      <c r="Y56" s="4"/>
      <c r="Z56" s="4"/>
    </row>
    <row r="57" customFormat="false" ht="49.5" hidden="false" customHeight="true" outlineLevel="0" collapsed="false">
      <c r="A57" s="136" t="s">
        <v>1682</v>
      </c>
      <c r="B57" s="137" t="n">
        <v>14</v>
      </c>
      <c r="C57" s="138" t="s">
        <v>1466</v>
      </c>
      <c r="D57" s="33" t="s">
        <v>1683</v>
      </c>
      <c r="E57" s="33" t="s">
        <v>1684</v>
      </c>
      <c r="F57" s="33" t="s">
        <v>1488</v>
      </c>
      <c r="G57" s="33" t="s">
        <v>1685</v>
      </c>
      <c r="H57" s="33" t="s">
        <v>1686</v>
      </c>
      <c r="I57" s="4"/>
      <c r="J57" s="4"/>
      <c r="K57" s="4"/>
      <c r="L57" s="4"/>
      <c r="M57" s="4"/>
      <c r="N57" s="4"/>
      <c r="O57" s="4"/>
      <c r="P57" s="4"/>
      <c r="Q57" s="4"/>
      <c r="R57" s="4"/>
      <c r="S57" s="4"/>
      <c r="T57" s="4"/>
      <c r="U57" s="4"/>
      <c r="V57" s="4"/>
      <c r="W57" s="4"/>
      <c r="X57" s="4"/>
      <c r="Y57" s="4"/>
      <c r="Z57" s="4"/>
    </row>
    <row r="58" customFormat="false" ht="49.5" hidden="false" customHeight="true" outlineLevel="0" collapsed="false">
      <c r="A58" s="136" t="s">
        <v>1687</v>
      </c>
      <c r="B58" s="137" t="n">
        <v>30</v>
      </c>
      <c r="C58" s="138" t="s">
        <v>1466</v>
      </c>
      <c r="D58" s="33" t="s">
        <v>1688</v>
      </c>
      <c r="E58" s="33" t="s">
        <v>1689</v>
      </c>
      <c r="F58" s="33" t="s">
        <v>1668</v>
      </c>
      <c r="G58" s="33" t="s">
        <v>1690</v>
      </c>
      <c r="H58" s="33" t="s">
        <v>1691</v>
      </c>
      <c r="I58" s="4"/>
      <c r="J58" s="4"/>
      <c r="K58" s="4"/>
      <c r="L58" s="4"/>
      <c r="M58" s="4"/>
      <c r="N58" s="4"/>
      <c r="O58" s="4"/>
      <c r="P58" s="4"/>
      <c r="Q58" s="4"/>
      <c r="R58" s="4"/>
      <c r="S58" s="4"/>
      <c r="T58" s="4"/>
      <c r="U58" s="4"/>
      <c r="V58" s="4"/>
      <c r="W58" s="4"/>
      <c r="X58" s="4"/>
      <c r="Y58" s="4"/>
      <c r="Z58" s="4"/>
    </row>
    <row r="59" customFormat="false" ht="49.5" hidden="false" customHeight="true" outlineLevel="0" collapsed="false">
      <c r="A59" s="134" t="s">
        <v>1692</v>
      </c>
      <c r="B59" s="134"/>
      <c r="C59" s="134"/>
      <c r="D59" s="134"/>
      <c r="E59" s="134"/>
      <c r="F59" s="135"/>
      <c r="G59" s="135"/>
      <c r="H59" s="135"/>
      <c r="I59" s="4"/>
      <c r="J59" s="4"/>
      <c r="K59" s="4"/>
      <c r="L59" s="4"/>
      <c r="M59" s="4"/>
      <c r="N59" s="4"/>
      <c r="O59" s="4"/>
      <c r="P59" s="4"/>
      <c r="Q59" s="4"/>
      <c r="R59" s="4"/>
      <c r="S59" s="4"/>
      <c r="T59" s="4"/>
      <c r="U59" s="4"/>
      <c r="V59" s="4"/>
      <c r="W59" s="4"/>
      <c r="X59" s="4"/>
      <c r="Y59" s="4"/>
      <c r="Z59" s="4"/>
    </row>
    <row r="60" customFormat="false" ht="30" hidden="false" customHeight="true" outlineLevel="0" collapsed="false">
      <c r="A60" s="144" t="s">
        <v>1693</v>
      </c>
      <c r="B60" s="137" t="n">
        <v>4</v>
      </c>
      <c r="C60" s="138" t="s">
        <v>1630</v>
      </c>
      <c r="D60" s="33" t="s">
        <v>1694</v>
      </c>
      <c r="E60" s="33" t="s">
        <v>1695</v>
      </c>
      <c r="F60" s="33" t="s">
        <v>1696</v>
      </c>
      <c r="G60" s="33" t="s">
        <v>1697</v>
      </c>
      <c r="H60" s="33" t="s">
        <v>1698</v>
      </c>
      <c r="I60" s="4"/>
      <c r="J60" s="4"/>
      <c r="K60" s="4"/>
      <c r="L60" s="4"/>
      <c r="M60" s="4"/>
      <c r="N60" s="4"/>
      <c r="O60" s="4"/>
      <c r="P60" s="4"/>
      <c r="Q60" s="4"/>
      <c r="R60" s="4"/>
      <c r="S60" s="4"/>
      <c r="T60" s="4"/>
      <c r="U60" s="4"/>
      <c r="V60" s="4"/>
      <c r="W60" s="4"/>
      <c r="X60" s="4"/>
      <c r="Y60" s="4"/>
      <c r="Z60" s="4"/>
    </row>
    <row r="61" customFormat="false" ht="30" hidden="false" customHeight="true" outlineLevel="0" collapsed="false">
      <c r="A61" s="145" t="s">
        <v>1699</v>
      </c>
      <c r="B61" s="145"/>
      <c r="C61" s="145"/>
      <c r="D61" s="145"/>
      <c r="E61" s="145"/>
      <c r="F61" s="135"/>
      <c r="G61" s="135"/>
      <c r="H61" s="135"/>
      <c r="I61" s="4"/>
      <c r="J61" s="4"/>
      <c r="K61" s="4"/>
      <c r="L61" s="4"/>
      <c r="M61" s="4"/>
      <c r="N61" s="4"/>
      <c r="O61" s="4"/>
      <c r="P61" s="4"/>
      <c r="Q61" s="4"/>
      <c r="R61" s="4"/>
      <c r="S61" s="4"/>
      <c r="T61" s="4"/>
      <c r="U61" s="4"/>
      <c r="V61" s="4"/>
      <c r="W61" s="4"/>
      <c r="X61" s="4"/>
      <c r="Y61" s="4"/>
      <c r="Z61" s="4"/>
    </row>
    <row r="62" customFormat="false" ht="30" hidden="false" customHeight="true" outlineLevel="0" collapsed="false">
      <c r="A62" s="136" t="s">
        <v>1700</v>
      </c>
      <c r="B62" s="146" t="n">
        <f aca="false">'CH6. Ngưỡng KPI'!$C$5</f>
        <v>0.6</v>
      </c>
      <c r="C62" s="138" t="s">
        <v>1701</v>
      </c>
      <c r="D62" s="33" t="s">
        <v>1702</v>
      </c>
      <c r="E62" s="33" t="s">
        <v>1703</v>
      </c>
      <c r="F62" s="33" t="s">
        <v>1704</v>
      </c>
      <c r="G62" s="33" t="str">
        <f aca="false">"Tỷ lệ lead đạt chuẩn dưới "&amp;TEXT($B$31,"0%")&amp;" thì báo cáo tô đỏ cảnh báo."</f>
        <v>Tỷ lệ lead đạt chuẩn dưới 700% thì báo cáo tô đỏ cảnh báo.</v>
      </c>
      <c r="H62" s="33" t="s">
        <v>1705</v>
      </c>
      <c r="I62" s="4"/>
      <c r="J62" s="4"/>
      <c r="K62" s="4"/>
      <c r="L62" s="4"/>
      <c r="M62" s="4"/>
      <c r="N62" s="4"/>
      <c r="O62" s="4"/>
      <c r="P62" s="4"/>
      <c r="Q62" s="4"/>
      <c r="R62" s="4"/>
      <c r="S62" s="4"/>
      <c r="T62" s="4"/>
      <c r="U62" s="4"/>
      <c r="V62" s="4"/>
      <c r="W62" s="4"/>
      <c r="X62" s="4"/>
      <c r="Y62" s="4"/>
      <c r="Z62" s="4"/>
    </row>
    <row r="63" customFormat="false" ht="30" hidden="false" customHeight="true" outlineLevel="0" collapsed="false">
      <c r="A63" s="136" t="s">
        <v>1706</v>
      </c>
      <c r="B63" s="146" t="n">
        <f aca="false">'CH6. Ngưỡng KPI'!$C$7</f>
        <v>0.85</v>
      </c>
      <c r="C63" s="138" t="s">
        <v>1701</v>
      </c>
      <c r="D63" s="33" t="s">
        <v>1707</v>
      </c>
      <c r="E63" s="33" t="s">
        <v>1708</v>
      </c>
      <c r="F63" s="33" t="s">
        <v>1709</v>
      </c>
      <c r="G63" s="33" t="str">
        <f aca="false">"Dưới "&amp;TEXT($B$32,"0%")&amp;" khách đặt mà không đến thì cảnh báo."</f>
        <v>Dưới 300% khách đặt mà không đến thì cảnh báo.</v>
      </c>
      <c r="H63" s="33" t="s">
        <v>1705</v>
      </c>
      <c r="I63" s="4"/>
      <c r="J63" s="4"/>
      <c r="K63" s="4"/>
      <c r="L63" s="4"/>
      <c r="M63" s="4"/>
      <c r="N63" s="4"/>
      <c r="O63" s="4"/>
      <c r="P63" s="4"/>
      <c r="Q63" s="4"/>
      <c r="R63" s="4"/>
      <c r="S63" s="4"/>
      <c r="T63" s="4"/>
      <c r="U63" s="4"/>
      <c r="V63" s="4"/>
      <c r="W63" s="4"/>
      <c r="X63" s="4"/>
      <c r="Y63" s="4"/>
      <c r="Z63" s="4"/>
    </row>
    <row r="64" customFormat="false" ht="30" hidden="false" customHeight="true" outlineLevel="0" collapsed="false">
      <c r="A64" s="136" t="s">
        <v>1710</v>
      </c>
      <c r="B64" s="146" t="n">
        <f aca="false">'CH6. Ngưỡng KPI'!$C$13</f>
        <v>0.4</v>
      </c>
      <c r="C64" s="138" t="s">
        <v>1701</v>
      </c>
      <c r="D64" s="33" t="s">
        <v>1711</v>
      </c>
      <c r="E64" s="33" t="s">
        <v>1712</v>
      </c>
      <c r="F64" s="33" t="s">
        <v>1713</v>
      </c>
      <c r="G64" s="33" t="str">
        <f aca="false">"Tỷ lệ chốt dưới "&amp;TEXT($B$33,"0%")&amp;" thì cảnh báo."</f>
        <v>Tỷ lệ chốt dưới 300% thì cảnh báo.</v>
      </c>
      <c r="H64" s="33" t="s">
        <v>1705</v>
      </c>
      <c r="I64" s="4"/>
      <c r="J64" s="4"/>
      <c r="K64" s="4"/>
      <c r="L64" s="4"/>
      <c r="M64" s="4"/>
      <c r="N64" s="4"/>
      <c r="O64" s="4"/>
      <c r="P64" s="4"/>
      <c r="Q64" s="4"/>
      <c r="R64" s="4"/>
      <c r="S64" s="4"/>
      <c r="T64" s="4"/>
      <c r="U64" s="4"/>
      <c r="V64" s="4"/>
      <c r="W64" s="4"/>
      <c r="X64" s="4"/>
      <c r="Y64" s="4"/>
      <c r="Z64" s="4"/>
    </row>
    <row r="65" customFormat="false" ht="30" hidden="false" customHeight="true" outlineLevel="0" collapsed="false">
      <c r="A65" s="136" t="s">
        <v>1714</v>
      </c>
      <c r="B65" s="146" t="n">
        <f aca="false">'CH6. Ngưỡng KPI'!$C$16</f>
        <v>0.8</v>
      </c>
      <c r="C65" s="138" t="s">
        <v>1701</v>
      </c>
      <c r="D65" s="33" t="s">
        <v>1715</v>
      </c>
      <c r="E65" s="33" t="s">
        <v>1716</v>
      </c>
      <c r="F65" s="33" t="s">
        <v>1717</v>
      </c>
      <c r="G65" s="33" t="str">
        <f aca="false">"Tỷ lệ thu đủ dưới "&amp;TEXT($B$34,"0%")&amp;" thì cảnh báo."</f>
        <v>Tỷ lệ thu đủ dưới 1400% thì cảnh báo.</v>
      </c>
      <c r="H65" s="33" t="s">
        <v>1705</v>
      </c>
      <c r="I65" s="4"/>
      <c r="J65" s="4"/>
      <c r="K65" s="4"/>
      <c r="L65" s="4"/>
      <c r="M65" s="4"/>
      <c r="N65" s="4"/>
      <c r="O65" s="4"/>
      <c r="P65" s="4"/>
      <c r="Q65" s="4"/>
      <c r="R65" s="4"/>
      <c r="S65" s="4"/>
      <c r="T65" s="4"/>
      <c r="U65" s="4"/>
      <c r="V65" s="4"/>
      <c r="W65" s="4"/>
      <c r="X65" s="4"/>
      <c r="Y65" s="4"/>
      <c r="Z65" s="4"/>
    </row>
    <row r="66" customFormat="false" ht="30" hidden="false" customHeight="true" outlineLevel="0" collapsed="false">
      <c r="A66" s="136" t="s">
        <v>1718</v>
      </c>
      <c r="B66" s="146" t="n">
        <f aca="false">'CH6. Ngưỡng KPI'!$C$22</f>
        <v>0.85</v>
      </c>
      <c r="C66" s="138" t="s">
        <v>1701</v>
      </c>
      <c r="D66" s="33" t="s">
        <v>1719</v>
      </c>
      <c r="E66" s="33" t="s">
        <v>1720</v>
      </c>
      <c r="F66" s="33" t="s">
        <v>1709</v>
      </c>
      <c r="G66" s="33" t="str">
        <f aca="false">"Chuyên cần dưới "&amp;TEXT($B$35,"0%")&amp;" thì cảnh báo."</f>
        <v>Chuyên cần dưới 100% thì cảnh báo.</v>
      </c>
      <c r="H66" s="33" t="s">
        <v>1705</v>
      </c>
      <c r="I66" s="4"/>
      <c r="J66" s="4"/>
      <c r="K66" s="4"/>
      <c r="L66" s="4"/>
      <c r="M66" s="4"/>
      <c r="N66" s="4"/>
      <c r="O66" s="4"/>
      <c r="P66" s="4"/>
      <c r="Q66" s="4"/>
      <c r="R66" s="4"/>
      <c r="S66" s="4"/>
      <c r="T66" s="4"/>
      <c r="U66" s="4"/>
      <c r="V66" s="4"/>
      <c r="W66" s="4"/>
      <c r="X66" s="4"/>
      <c r="Y66" s="4"/>
      <c r="Z66" s="4"/>
    </row>
    <row r="67" customFormat="false" ht="31.5" hidden="false" customHeight="true" outlineLevel="0" collapsed="false">
      <c r="A67" s="136" t="s">
        <v>1721</v>
      </c>
      <c r="B67" s="146" t="n">
        <f aca="false">'CH6. Ngưỡng KPI'!$C$23</f>
        <v>0.05</v>
      </c>
      <c r="C67" s="138" t="s">
        <v>1701</v>
      </c>
      <c r="D67" s="33" t="s">
        <v>1722</v>
      </c>
      <c r="E67" s="33" t="s">
        <v>1723</v>
      </c>
      <c r="F67" s="33" t="s">
        <v>1724</v>
      </c>
      <c r="G67" s="33" t="str">
        <f aca="false">"Vắng không phép vượt "&amp;TEXT($B$36,"0%")&amp;" thì cảnh báo."</f>
        <v>Vắng không phép vượt 100% thì cảnh báo.</v>
      </c>
      <c r="H67" s="33" t="s">
        <v>1705</v>
      </c>
      <c r="I67" s="4"/>
      <c r="J67" s="4"/>
      <c r="K67" s="4"/>
      <c r="L67" s="4"/>
      <c r="M67" s="4"/>
      <c r="N67" s="4"/>
      <c r="O67" s="4"/>
      <c r="P67" s="4"/>
      <c r="Q67" s="4"/>
      <c r="R67" s="4"/>
      <c r="S67" s="4"/>
      <c r="T67" s="4"/>
      <c r="U67" s="4"/>
      <c r="V67" s="4"/>
      <c r="W67" s="4"/>
      <c r="X67" s="4"/>
      <c r="Y67" s="4"/>
      <c r="Z67" s="4"/>
    </row>
    <row r="68" customFormat="false" ht="30" hidden="false" customHeight="true" outlineLevel="0" collapsed="false">
      <c r="A68" s="136" t="s">
        <v>1725</v>
      </c>
      <c r="B68" s="146" t="n">
        <f aca="false">'CH6. Ngưỡng KPI'!$C$24</f>
        <v>0.1</v>
      </c>
      <c r="C68" s="138" t="s">
        <v>1701</v>
      </c>
      <c r="D68" s="33" t="s">
        <v>1726</v>
      </c>
      <c r="E68" s="33" t="s">
        <v>1727</v>
      </c>
      <c r="F68" s="33" t="s">
        <v>1728</v>
      </c>
      <c r="G68" s="33" t="str">
        <f aca="false">"HV nguy cơ vượt "&amp;TEXT($B$37,"0%")&amp;" thì cảnh báo."</f>
        <v>HV nguy cơ vượt 500% thì cảnh báo.</v>
      </c>
      <c r="H68" s="33" t="s">
        <v>1705</v>
      </c>
      <c r="I68" s="4"/>
      <c r="J68" s="4"/>
      <c r="K68" s="4"/>
      <c r="L68" s="4"/>
      <c r="M68" s="4"/>
      <c r="N68" s="4"/>
      <c r="O68" s="4"/>
      <c r="P68" s="4"/>
      <c r="Q68" s="4"/>
      <c r="R68" s="4"/>
      <c r="S68" s="4"/>
      <c r="T68" s="4"/>
      <c r="U68" s="4"/>
      <c r="V68" s="4"/>
      <c r="W68" s="4"/>
      <c r="X68" s="4"/>
      <c r="Y68" s="4"/>
      <c r="Z68" s="4"/>
    </row>
    <row r="69" customFormat="false" ht="30" hidden="false" customHeight="true" outlineLevel="0" collapsed="false">
      <c r="A69" s="136" t="s">
        <v>1729</v>
      </c>
      <c r="B69" s="146" t="n">
        <f aca="false">'CH6. Ngưỡng KPI'!$C$30</f>
        <v>0.03</v>
      </c>
      <c r="C69" s="138" t="s">
        <v>1701</v>
      </c>
      <c r="D69" s="33" t="s">
        <v>1730</v>
      </c>
      <c r="E69" s="33" t="s">
        <v>1731</v>
      </c>
      <c r="F69" s="33" t="s">
        <v>1732</v>
      </c>
      <c r="G69" s="33" t="str">
        <f aca="false">"Khiếu nại vượt "&amp;TEXT($B$38,"0%")&amp;" thì cảnh báo."</f>
        <v>Khiếu nại vượt 2400% thì cảnh báo.</v>
      </c>
      <c r="H69" s="33" t="s">
        <v>1705</v>
      </c>
      <c r="I69" s="4"/>
      <c r="J69" s="4"/>
      <c r="K69" s="4"/>
      <c r="L69" s="4"/>
      <c r="M69" s="4"/>
      <c r="N69" s="4"/>
      <c r="O69" s="4"/>
      <c r="P69" s="4"/>
      <c r="Q69" s="4"/>
      <c r="R69" s="4"/>
      <c r="S69" s="4"/>
      <c r="T69" s="4"/>
      <c r="U69" s="4"/>
      <c r="V69" s="4"/>
      <c r="W69" s="4"/>
      <c r="X69" s="4"/>
      <c r="Y69" s="4"/>
      <c r="Z69" s="4"/>
    </row>
    <row r="70" customFormat="false" ht="30" hidden="false" customHeight="true" outlineLevel="0" collapsed="false">
      <c r="A70" s="136" t="s">
        <v>1733</v>
      </c>
      <c r="B70" s="146" t="n">
        <f aca="false">'CH6. Ngưỡng KPI'!$C$31</f>
        <v>0.9</v>
      </c>
      <c r="C70" s="138" t="s">
        <v>1701</v>
      </c>
      <c r="D70" s="33" t="s">
        <v>1734</v>
      </c>
      <c r="E70" s="33" t="s">
        <v>1735</v>
      </c>
      <c r="F70" s="33" t="s">
        <v>1736</v>
      </c>
      <c r="G70" s="33" t="str">
        <f aca="false">"Tỷ lệ giải quyết dưới "&amp;TEXT($B$39,"0%")&amp;" thì cảnh báo."</f>
        <v>Tỷ lệ giải quyết dưới 4800% thì cảnh báo.</v>
      </c>
      <c r="H70" s="33" t="s">
        <v>1705</v>
      </c>
      <c r="I70" s="4"/>
      <c r="J70" s="4"/>
      <c r="K70" s="4"/>
      <c r="L70" s="4"/>
      <c r="M70" s="4"/>
      <c r="N70" s="4"/>
      <c r="O70" s="4"/>
      <c r="P70" s="4"/>
      <c r="Q70" s="4"/>
      <c r="R70" s="4"/>
      <c r="S70" s="4"/>
      <c r="T70" s="4"/>
      <c r="U70" s="4"/>
      <c r="V70" s="4"/>
      <c r="W70" s="4"/>
      <c r="X70" s="4"/>
      <c r="Y70" s="4"/>
      <c r="Z70" s="4"/>
    </row>
    <row r="71" customFormat="false" ht="31.5" hidden="false" customHeight="true" outlineLevel="0" collapsed="false">
      <c r="A71" s="136" t="s">
        <v>1737</v>
      </c>
      <c r="B71" s="146" t="n">
        <f aca="false">'CH6. Ngưỡng KPI'!$C$33</f>
        <v>0.4</v>
      </c>
      <c r="C71" s="138" t="s">
        <v>1701</v>
      </c>
      <c r="D71" s="33" t="s">
        <v>1738</v>
      </c>
      <c r="E71" s="33" t="s">
        <v>1739</v>
      </c>
      <c r="F71" s="33" t="s">
        <v>1713</v>
      </c>
      <c r="G71" s="33" t="str">
        <f aca="false">"Tỷ lệ tái ghi danh dưới "&amp;TEXT($B$40,"0%")&amp;" thì cảnh báo."</f>
        <v>Tỷ lệ tái ghi danh dưới 2400% thì cảnh báo.</v>
      </c>
      <c r="H71" s="33" t="s">
        <v>1705</v>
      </c>
      <c r="I71" s="4"/>
      <c r="J71" s="4"/>
      <c r="K71" s="4"/>
      <c r="L71" s="4"/>
      <c r="M71" s="4"/>
      <c r="N71" s="4"/>
      <c r="O71" s="4"/>
      <c r="P71" s="4"/>
      <c r="Q71" s="4"/>
      <c r="R71" s="4"/>
      <c r="S71" s="4"/>
      <c r="T71" s="4"/>
      <c r="U71" s="4"/>
      <c r="V71" s="4"/>
      <c r="W71" s="4"/>
      <c r="X71" s="4"/>
      <c r="Y71" s="4"/>
      <c r="Z71" s="4"/>
    </row>
    <row r="72" customFormat="false" ht="30"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30"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30.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30"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30"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30"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30"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30"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30"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30"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30"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30"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30"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30"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30"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30"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30"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30"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30"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30"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30"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30"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30"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30"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30"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30"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8">
    <mergeCell ref="A1:H1"/>
    <mergeCell ref="A2:H2"/>
    <mergeCell ref="A4:H4"/>
    <mergeCell ref="A6:E6"/>
    <mergeCell ref="A44:E44"/>
    <mergeCell ref="A55:E55"/>
    <mergeCell ref="A59:E59"/>
    <mergeCell ref="A61:E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3226"/>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38"/>
    <col collapsed="false" customWidth="true" hidden="false" outlineLevel="0" max="6" min="2" style="1" width="20.85"/>
    <col collapsed="false" customWidth="true" hidden="false" outlineLevel="0" max="7" min="7" style="1" width="45"/>
    <col collapsed="false" customWidth="true" hidden="false" outlineLevel="0" max="26" min="8" style="1" width="8.71"/>
  </cols>
  <sheetData>
    <row r="1" customFormat="false" ht="31.5" hidden="false" customHeight="true" outlineLevel="0" collapsed="false">
      <c r="A1" s="147" t="s">
        <v>1740</v>
      </c>
      <c r="B1" s="147"/>
      <c r="C1" s="147"/>
      <c r="D1" s="147"/>
      <c r="E1" s="147"/>
      <c r="F1" s="147"/>
      <c r="G1" s="147"/>
    </row>
    <row r="2" customFormat="false" ht="31.5" hidden="false" customHeight="true" outlineLevel="0" collapsed="false">
      <c r="A2" s="124" t="s">
        <v>1741</v>
      </c>
      <c r="B2" s="124"/>
      <c r="C2" s="124"/>
      <c r="D2" s="124"/>
      <c r="E2" s="124"/>
      <c r="F2" s="124"/>
      <c r="G2" s="124"/>
    </row>
    <row r="3" customFormat="false" ht="37.5" hidden="false" customHeight="true" outlineLevel="0" collapsed="false">
      <c r="A3" s="20" t="s">
        <v>251</v>
      </c>
      <c r="B3" s="20" t="s">
        <v>1742</v>
      </c>
      <c r="C3" s="20" t="s">
        <v>1743</v>
      </c>
      <c r="D3" s="20" t="s">
        <v>1744</v>
      </c>
      <c r="E3" s="20" t="s">
        <v>1745</v>
      </c>
      <c r="F3" s="20" t="s">
        <v>1746</v>
      </c>
      <c r="G3" s="20" t="s">
        <v>1747</v>
      </c>
    </row>
    <row r="4" customFormat="false" ht="24" hidden="false" customHeight="true" outlineLevel="0" collapsed="false">
      <c r="A4" s="148" t="s">
        <v>1748</v>
      </c>
      <c r="B4" s="148"/>
      <c r="C4" s="148"/>
      <c r="D4" s="148"/>
      <c r="E4" s="148"/>
      <c r="F4" s="148"/>
      <c r="G4" s="148"/>
    </row>
    <row r="5" customFormat="false" ht="21.75" hidden="false" customHeight="true" outlineLevel="0" collapsed="false">
      <c r="A5" s="21" t="s">
        <v>1749</v>
      </c>
      <c r="B5" s="149" t="s">
        <v>1750</v>
      </c>
      <c r="C5" s="149" t="s">
        <v>1750</v>
      </c>
      <c r="D5" s="138"/>
      <c r="E5" s="138"/>
      <c r="F5" s="138"/>
      <c r="G5" s="150" t="s">
        <v>1751</v>
      </c>
    </row>
    <row r="6" customFormat="false" ht="21.75" hidden="false" customHeight="true" outlineLevel="0" collapsed="false">
      <c r="A6" s="21" t="s">
        <v>1752</v>
      </c>
      <c r="B6" s="149" t="s">
        <v>1750</v>
      </c>
      <c r="C6" s="138"/>
      <c r="D6" s="138"/>
      <c r="E6" s="138"/>
      <c r="F6" s="138"/>
      <c r="G6" s="150" t="s">
        <v>1753</v>
      </c>
    </row>
    <row r="7" customFormat="false" ht="21.75" hidden="false" customHeight="true" outlineLevel="0" collapsed="false">
      <c r="A7" s="21" t="s">
        <v>153</v>
      </c>
      <c r="B7" s="149" t="s">
        <v>1750</v>
      </c>
      <c r="C7" s="138"/>
      <c r="D7" s="138"/>
      <c r="E7" s="138"/>
      <c r="F7" s="138"/>
      <c r="G7" s="151"/>
    </row>
    <row r="8" customFormat="false" ht="21.75" hidden="false" customHeight="true" outlineLevel="0" collapsed="false">
      <c r="A8" s="21" t="s">
        <v>1754</v>
      </c>
      <c r="B8" s="138"/>
      <c r="C8" s="138"/>
      <c r="D8" s="138"/>
      <c r="E8" s="138"/>
      <c r="F8" s="152" t="s">
        <v>1755</v>
      </c>
      <c r="G8" s="150" t="s">
        <v>1756</v>
      </c>
    </row>
    <row r="9" customFormat="false" ht="24" hidden="false" customHeight="true" outlineLevel="0" collapsed="false">
      <c r="A9" s="148" t="s">
        <v>1757</v>
      </c>
      <c r="B9" s="148"/>
      <c r="C9" s="148"/>
      <c r="D9" s="148"/>
      <c r="E9" s="148"/>
      <c r="F9" s="148"/>
      <c r="G9" s="148"/>
    </row>
    <row r="10" customFormat="false" ht="21.75" hidden="false" customHeight="true" outlineLevel="0" collapsed="false">
      <c r="A10" s="21" t="s">
        <v>1758</v>
      </c>
      <c r="B10" s="138"/>
      <c r="C10" s="149" t="s">
        <v>1750</v>
      </c>
      <c r="D10" s="138"/>
      <c r="E10" s="138"/>
      <c r="F10" s="138"/>
      <c r="G10" s="151"/>
    </row>
    <row r="11" customFormat="false" ht="21.75" hidden="false" customHeight="true" outlineLevel="0" collapsed="false">
      <c r="A11" s="21" t="s">
        <v>1759</v>
      </c>
      <c r="B11" s="138"/>
      <c r="C11" s="149" t="s">
        <v>1750</v>
      </c>
      <c r="D11" s="138"/>
      <c r="E11" s="138"/>
      <c r="F11" s="138"/>
      <c r="G11" s="150" t="s">
        <v>1760</v>
      </c>
    </row>
    <row r="12" customFormat="false" ht="21.75" hidden="false" customHeight="true" outlineLevel="0" collapsed="false">
      <c r="A12" s="21" t="s">
        <v>1761</v>
      </c>
      <c r="B12" s="149" t="s">
        <v>1750</v>
      </c>
      <c r="C12" s="138"/>
      <c r="D12" s="138"/>
      <c r="E12" s="138"/>
      <c r="F12" s="138"/>
      <c r="G12" s="151"/>
    </row>
    <row r="13" customFormat="false" ht="21.75" hidden="false" customHeight="true" outlineLevel="0" collapsed="false">
      <c r="A13" s="21" t="s">
        <v>1762</v>
      </c>
      <c r="B13" s="149" t="s">
        <v>1750</v>
      </c>
      <c r="C13" s="138"/>
      <c r="D13" s="138"/>
      <c r="E13" s="138"/>
      <c r="F13" s="138"/>
      <c r="G13" s="151"/>
    </row>
    <row r="14" customFormat="false" ht="24" hidden="false" customHeight="true" outlineLevel="0" collapsed="false">
      <c r="A14" s="148" t="s">
        <v>1763</v>
      </c>
      <c r="B14" s="148"/>
      <c r="C14" s="148"/>
      <c r="D14" s="148"/>
      <c r="E14" s="148"/>
      <c r="F14" s="148"/>
      <c r="G14" s="148"/>
    </row>
    <row r="15" customFormat="false" ht="21.75" hidden="false" customHeight="true" outlineLevel="0" collapsed="false">
      <c r="A15" s="21" t="s">
        <v>1764</v>
      </c>
      <c r="B15" s="149" t="s">
        <v>1750</v>
      </c>
      <c r="C15" s="138"/>
      <c r="D15" s="138"/>
      <c r="E15" s="138"/>
      <c r="F15" s="138"/>
      <c r="G15" s="150" t="s">
        <v>1765</v>
      </c>
    </row>
    <row r="16" customFormat="false" ht="21.75" hidden="false" customHeight="true" outlineLevel="0" collapsed="false">
      <c r="A16" s="21" t="s">
        <v>1766</v>
      </c>
      <c r="B16" s="149" t="s">
        <v>1750</v>
      </c>
      <c r="C16" s="138"/>
      <c r="D16" s="138"/>
      <c r="E16" s="138"/>
      <c r="F16" s="138"/>
      <c r="G16" s="150" t="s">
        <v>1767</v>
      </c>
    </row>
    <row r="17" customFormat="false" ht="21.75" hidden="false" customHeight="true" outlineLevel="0" collapsed="false">
      <c r="A17" s="21" t="s">
        <v>1768</v>
      </c>
      <c r="B17" s="138"/>
      <c r="C17" s="138"/>
      <c r="D17" s="138"/>
      <c r="E17" s="138"/>
      <c r="F17" s="152" t="s">
        <v>1755</v>
      </c>
      <c r="G17" s="150" t="s">
        <v>1769</v>
      </c>
    </row>
    <row r="18" customFormat="false" ht="21.75" hidden="false" customHeight="true" outlineLevel="0" collapsed="false">
      <c r="A18" s="21" t="s">
        <v>1770</v>
      </c>
      <c r="B18" s="138"/>
      <c r="C18" s="138"/>
      <c r="D18" s="138"/>
      <c r="E18" s="138"/>
      <c r="F18" s="152" t="s">
        <v>1755</v>
      </c>
      <c r="G18" s="150" t="s">
        <v>1771</v>
      </c>
    </row>
    <row r="19" customFormat="false" ht="24" hidden="false" customHeight="true" outlineLevel="0" collapsed="false">
      <c r="A19" s="148" t="s">
        <v>1772</v>
      </c>
      <c r="B19" s="148"/>
      <c r="C19" s="148"/>
      <c r="D19" s="148"/>
      <c r="E19" s="148"/>
      <c r="F19" s="148"/>
      <c r="G19" s="148"/>
    </row>
    <row r="20" customFormat="false" ht="21.75" hidden="false" customHeight="true" outlineLevel="0" collapsed="false">
      <c r="A20" s="21" t="s">
        <v>1773</v>
      </c>
      <c r="B20" s="138"/>
      <c r="C20" s="138"/>
      <c r="D20" s="149" t="s">
        <v>1750</v>
      </c>
      <c r="E20" s="138"/>
      <c r="F20" s="138"/>
      <c r="G20" s="150" t="s">
        <v>1774</v>
      </c>
    </row>
    <row r="21" customFormat="false" ht="21.75" hidden="false" customHeight="true" outlineLevel="0" collapsed="false">
      <c r="A21" s="21" t="s">
        <v>1775</v>
      </c>
      <c r="B21" s="138"/>
      <c r="C21" s="138"/>
      <c r="D21" s="149" t="s">
        <v>1750</v>
      </c>
      <c r="E21" s="138"/>
      <c r="F21" s="138"/>
      <c r="G21" s="150" t="s">
        <v>1776</v>
      </c>
    </row>
    <row r="22" customFormat="false" ht="21.75" hidden="false" customHeight="true" outlineLevel="0" collapsed="false">
      <c r="A22" s="21" t="s">
        <v>1777</v>
      </c>
      <c r="B22" s="138"/>
      <c r="C22" s="138"/>
      <c r="D22" s="138"/>
      <c r="E22" s="138"/>
      <c r="F22" s="152" t="s">
        <v>1755</v>
      </c>
      <c r="G22" s="150" t="s">
        <v>1778</v>
      </c>
    </row>
    <row r="23" customFormat="false" ht="24" hidden="false" customHeight="true" outlineLevel="0" collapsed="false">
      <c r="A23" s="148" t="s">
        <v>1779</v>
      </c>
      <c r="B23" s="148"/>
      <c r="C23" s="148"/>
      <c r="D23" s="148"/>
      <c r="E23" s="148"/>
      <c r="F23" s="148"/>
      <c r="G23" s="148"/>
    </row>
    <row r="24" customFormat="false" ht="21.75" hidden="false" customHeight="true" outlineLevel="0" collapsed="false">
      <c r="A24" s="21" t="s">
        <v>1780</v>
      </c>
      <c r="B24" s="138"/>
      <c r="C24" s="138"/>
      <c r="D24" s="138"/>
      <c r="E24" s="149" t="s">
        <v>1750</v>
      </c>
      <c r="F24" s="138"/>
      <c r="G24" s="150" t="s">
        <v>1781</v>
      </c>
    </row>
    <row r="25" customFormat="false" ht="21.75" hidden="false" customHeight="true" outlineLevel="0" collapsed="false">
      <c r="A25" s="21" t="s">
        <v>1782</v>
      </c>
      <c r="B25" s="138"/>
      <c r="C25" s="138"/>
      <c r="D25" s="138"/>
      <c r="E25" s="149" t="s">
        <v>1750</v>
      </c>
      <c r="F25" s="138"/>
      <c r="G25" s="151"/>
    </row>
    <row r="26" customFormat="false" ht="21.75" hidden="false" customHeight="true" outlineLevel="0" collapsed="false">
      <c r="A26" s="21" t="s">
        <v>1783</v>
      </c>
      <c r="B26" s="138"/>
      <c r="C26" s="138"/>
      <c r="D26" s="138"/>
      <c r="E26" s="149" t="s">
        <v>1750</v>
      </c>
      <c r="F26" s="138"/>
      <c r="G26" s="150" t="s">
        <v>1784</v>
      </c>
    </row>
    <row r="27" customFormat="false" ht="21.75" hidden="false" customHeight="true" outlineLevel="0" collapsed="false">
      <c r="A27" s="21" t="s">
        <v>1785</v>
      </c>
      <c r="B27" s="138"/>
      <c r="C27" s="138"/>
      <c r="D27" s="149" t="s">
        <v>1750</v>
      </c>
      <c r="E27" s="149" t="s">
        <v>1750</v>
      </c>
      <c r="F27" s="138"/>
      <c r="G27" s="150" t="s">
        <v>1786</v>
      </c>
    </row>
    <row r="28" customFormat="false" ht="21.75" hidden="false" customHeight="true" outlineLevel="0" collapsed="false">
      <c r="A28" s="21" t="s">
        <v>1787</v>
      </c>
      <c r="B28" s="138"/>
      <c r="C28" s="138"/>
      <c r="D28" s="149" t="s">
        <v>1750</v>
      </c>
      <c r="E28" s="149" t="s">
        <v>1750</v>
      </c>
      <c r="F28" s="138"/>
      <c r="G28" s="150" t="s">
        <v>1788</v>
      </c>
    </row>
    <row r="29" customFormat="false" ht="24" hidden="false" customHeight="true" outlineLevel="0" collapsed="false">
      <c r="A29" s="148" t="s">
        <v>1789</v>
      </c>
      <c r="B29" s="148"/>
      <c r="C29" s="148"/>
      <c r="D29" s="148"/>
      <c r="E29" s="148"/>
      <c r="F29" s="148"/>
      <c r="G29" s="148"/>
    </row>
    <row r="30" customFormat="false" ht="21.75" hidden="false" customHeight="true" outlineLevel="0" collapsed="false">
      <c r="A30" s="21" t="s">
        <v>1790</v>
      </c>
      <c r="B30" s="138"/>
      <c r="C30" s="138"/>
      <c r="D30" s="138"/>
      <c r="E30" s="138"/>
      <c r="F30" s="138"/>
      <c r="G30" s="150" t="s">
        <v>1791</v>
      </c>
    </row>
    <row r="31" customFormat="false" ht="21.75" hidden="false" customHeight="true" outlineLevel="0" collapsed="false">
      <c r="A31" s="21" t="s">
        <v>1792</v>
      </c>
      <c r="B31" s="138"/>
      <c r="C31" s="138"/>
      <c r="D31" s="153" t="s">
        <v>1793</v>
      </c>
      <c r="E31" s="153" t="s">
        <v>1793</v>
      </c>
      <c r="F31" s="138"/>
      <c r="G31" s="150" t="s">
        <v>1794</v>
      </c>
    </row>
    <row r="32" customFormat="false" ht="21.75" hidden="false" customHeight="true" outlineLevel="0" collapsed="false">
      <c r="A32" s="21" t="s">
        <v>1795</v>
      </c>
      <c r="B32" s="138"/>
      <c r="C32" s="149" t="s">
        <v>1750</v>
      </c>
      <c r="D32" s="138"/>
      <c r="E32" s="138"/>
      <c r="F32" s="138"/>
      <c r="G32" s="150" t="s">
        <v>1796</v>
      </c>
    </row>
    <row r="33" customFormat="false" ht="21.75" hidden="false" customHeight="true" outlineLevel="0" collapsed="false">
      <c r="A33" s="21" t="s">
        <v>1797</v>
      </c>
      <c r="B33" s="138"/>
      <c r="C33" s="138"/>
      <c r="D33" s="138"/>
      <c r="E33" s="138"/>
      <c r="F33" s="152" t="s">
        <v>1755</v>
      </c>
      <c r="G33" s="150" t="s">
        <v>1798</v>
      </c>
    </row>
    <row r="34" customFormat="false" ht="21.75" hidden="false" customHeight="true" outlineLevel="0" collapsed="false">
      <c r="A34" s="21" t="s">
        <v>1799</v>
      </c>
      <c r="B34" s="149" t="s">
        <v>1750</v>
      </c>
      <c r="C34" s="138"/>
      <c r="D34" s="138"/>
      <c r="E34" s="138"/>
      <c r="F34" s="138"/>
      <c r="G34" s="150" t="s">
        <v>1800</v>
      </c>
    </row>
    <row r="35" customFormat="false" ht="24" hidden="false" customHeight="true" outlineLevel="0" collapsed="false">
      <c r="A35" s="148" t="s">
        <v>1801</v>
      </c>
      <c r="B35" s="148"/>
      <c r="C35" s="148"/>
      <c r="D35" s="148"/>
      <c r="E35" s="148"/>
      <c r="F35" s="148"/>
      <c r="G35" s="148"/>
    </row>
    <row r="36" customFormat="false" ht="21.75" hidden="false" customHeight="true" outlineLevel="0" collapsed="false">
      <c r="A36" s="21" t="s">
        <v>1802</v>
      </c>
      <c r="B36" s="138"/>
      <c r="C36" s="138"/>
      <c r="D36" s="149" t="s">
        <v>1750</v>
      </c>
      <c r="E36" s="138"/>
      <c r="F36" s="138"/>
      <c r="G36" s="150" t="s">
        <v>1803</v>
      </c>
    </row>
    <row r="37" customFormat="false" ht="21.75" hidden="false" customHeight="true" outlineLevel="0" collapsed="false">
      <c r="A37" s="21" t="s">
        <v>1804</v>
      </c>
      <c r="B37" s="138"/>
      <c r="C37" s="138"/>
      <c r="D37" s="149" t="s">
        <v>1750</v>
      </c>
      <c r="E37" s="138"/>
      <c r="F37" s="138"/>
      <c r="G37" s="151"/>
    </row>
    <row r="38" customFormat="false" ht="21.75" hidden="false" customHeight="true" outlineLevel="0" collapsed="false">
      <c r="A38" s="21" t="s">
        <v>1805</v>
      </c>
      <c r="B38" s="138"/>
      <c r="C38" s="138"/>
      <c r="D38" s="149" t="s">
        <v>1750</v>
      </c>
      <c r="E38" s="138"/>
      <c r="F38" s="138"/>
      <c r="G38" s="151"/>
    </row>
    <row r="39" customFormat="false" ht="21.75" hidden="false" customHeight="true" outlineLevel="0" collapsed="false">
      <c r="A39" s="21" t="s">
        <v>1806</v>
      </c>
      <c r="B39" s="138"/>
      <c r="C39" s="138"/>
      <c r="D39" s="138"/>
      <c r="E39" s="138"/>
      <c r="F39" s="152" t="s">
        <v>1755</v>
      </c>
      <c r="G39" s="150" t="s">
        <v>1807</v>
      </c>
    </row>
    <row r="40" customFormat="false" ht="24" hidden="false" customHeight="true" outlineLevel="0" collapsed="false">
      <c r="A40" s="148" t="s">
        <v>1808</v>
      </c>
      <c r="B40" s="148"/>
      <c r="C40" s="148"/>
      <c r="D40" s="148"/>
      <c r="E40" s="148"/>
      <c r="F40" s="148"/>
      <c r="G40" s="148"/>
    </row>
    <row r="41" customFormat="false" ht="21.75" hidden="false" customHeight="true" outlineLevel="0" collapsed="false">
      <c r="A41" s="21" t="s">
        <v>1809</v>
      </c>
      <c r="B41" s="138"/>
      <c r="C41" s="138"/>
      <c r="D41" s="138"/>
      <c r="E41" s="138"/>
      <c r="F41" s="152" t="s">
        <v>1755</v>
      </c>
      <c r="G41" s="150" t="s">
        <v>1810</v>
      </c>
    </row>
    <row r="42" customFormat="false" ht="21.75" hidden="false" customHeight="true" outlineLevel="0" collapsed="false">
      <c r="A42" s="21" t="s">
        <v>1811</v>
      </c>
      <c r="B42" s="138"/>
      <c r="C42" s="138"/>
      <c r="D42" s="138"/>
      <c r="E42" s="138"/>
      <c r="F42" s="152" t="s">
        <v>1755</v>
      </c>
      <c r="G42" s="150" t="s">
        <v>1812</v>
      </c>
    </row>
    <row r="43" customFormat="false" ht="15" hidden="false" customHeight="true" outlineLevel="0" collapsed="false">
      <c r="A43" s="4"/>
      <c r="B43" s="4"/>
      <c r="C43" s="4"/>
      <c r="D43" s="4"/>
      <c r="E43" s="4"/>
      <c r="F43" s="4"/>
      <c r="G43" s="4"/>
    </row>
    <row r="44" customFormat="false" ht="31.5" hidden="false" customHeight="true" outlineLevel="0" collapsed="false">
      <c r="A44" s="154" t="s">
        <v>1813</v>
      </c>
      <c r="B44" s="154"/>
      <c r="C44" s="154"/>
      <c r="D44" s="154"/>
      <c r="E44" s="154"/>
      <c r="F44" s="154"/>
      <c r="G44" s="154"/>
    </row>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G1"/>
    <mergeCell ref="A2:G2"/>
    <mergeCell ref="A4:G4"/>
    <mergeCell ref="A9:G9"/>
    <mergeCell ref="A14:G14"/>
    <mergeCell ref="A19:G19"/>
    <mergeCell ref="A23:G23"/>
    <mergeCell ref="A29:G29"/>
    <mergeCell ref="A35:G35"/>
    <mergeCell ref="A40:G40"/>
    <mergeCell ref="A44:G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322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9.29"/>
    <col collapsed="false" customWidth="true" hidden="false" outlineLevel="0" max="2" min="2" style="1" width="24.14"/>
    <col collapsed="false" customWidth="true" hidden="false" outlineLevel="0" max="3" min="3" style="1" width="52.29"/>
    <col collapsed="false" customWidth="true" hidden="false" outlineLevel="0" max="4" min="4" style="1" width="36.43"/>
    <col collapsed="false" customWidth="true" hidden="false" outlineLevel="0" max="5" min="5" style="1" width="17.29"/>
    <col collapsed="false" customWidth="true" hidden="false" outlineLevel="0" max="6" min="6" style="1" width="36"/>
    <col collapsed="false" customWidth="true" hidden="false" outlineLevel="0" max="7" min="7" style="1" width="49.57"/>
    <col collapsed="false" customWidth="true" hidden="false" outlineLevel="0" max="26" min="8" style="1" width="8.71"/>
  </cols>
  <sheetData>
    <row r="1" customFormat="false" ht="33.75" hidden="false" customHeight="true" outlineLevel="0" collapsed="false">
      <c r="A1" s="155" t="s">
        <v>1814</v>
      </c>
      <c r="B1" s="155"/>
      <c r="C1" s="155"/>
      <c r="D1" s="155"/>
      <c r="E1" s="155"/>
      <c r="F1" s="155"/>
      <c r="G1" s="155"/>
      <c r="H1" s="4"/>
      <c r="I1" s="4"/>
      <c r="J1" s="4"/>
      <c r="K1" s="4"/>
      <c r="L1" s="4"/>
      <c r="M1" s="4"/>
      <c r="N1" s="4"/>
      <c r="O1" s="4"/>
      <c r="P1" s="4"/>
      <c r="Q1" s="4"/>
      <c r="R1" s="4"/>
      <c r="S1" s="4"/>
      <c r="T1" s="4"/>
      <c r="U1" s="4"/>
      <c r="V1" s="4"/>
      <c r="W1" s="4"/>
      <c r="X1" s="4"/>
      <c r="Y1" s="4"/>
      <c r="Z1" s="4"/>
    </row>
    <row r="2" customFormat="false" ht="39.75" hidden="false" customHeight="true" outlineLevel="0" collapsed="false">
      <c r="A2" s="156" t="s">
        <v>1815</v>
      </c>
      <c r="B2" s="156"/>
      <c r="C2" s="156"/>
      <c r="D2" s="156"/>
      <c r="E2" s="156"/>
      <c r="F2" s="156"/>
      <c r="G2" s="156"/>
      <c r="H2" s="4"/>
      <c r="I2" s="4"/>
      <c r="J2" s="4"/>
      <c r="K2" s="4"/>
      <c r="L2" s="4"/>
      <c r="M2" s="4"/>
      <c r="N2" s="4"/>
      <c r="O2" s="4"/>
      <c r="P2" s="4"/>
      <c r="Q2" s="4"/>
      <c r="R2" s="4"/>
      <c r="S2" s="4"/>
      <c r="T2" s="4"/>
      <c r="U2" s="4"/>
      <c r="V2" s="4"/>
      <c r="W2" s="4"/>
      <c r="X2" s="4"/>
      <c r="Y2" s="4"/>
      <c r="Z2" s="4"/>
    </row>
    <row r="3" customFormat="false" ht="24" hidden="false" customHeight="true" outlineLevel="0" collapsed="false">
      <c r="A3" s="114" t="s">
        <v>472</v>
      </c>
      <c r="B3" s="114" t="s">
        <v>1816</v>
      </c>
      <c r="C3" s="114" t="s">
        <v>1817</v>
      </c>
      <c r="D3" s="114" t="s">
        <v>1818</v>
      </c>
      <c r="E3" s="114" t="s">
        <v>474</v>
      </c>
      <c r="F3" s="114" t="s">
        <v>1819</v>
      </c>
      <c r="G3" s="114" t="s">
        <v>1820</v>
      </c>
      <c r="H3" s="4"/>
      <c r="I3" s="4"/>
      <c r="J3" s="4"/>
      <c r="K3" s="4"/>
      <c r="L3" s="4"/>
      <c r="M3" s="4"/>
      <c r="N3" s="4"/>
      <c r="O3" s="4"/>
      <c r="P3" s="4"/>
      <c r="Q3" s="4"/>
      <c r="R3" s="4"/>
      <c r="S3" s="4"/>
      <c r="T3" s="4"/>
      <c r="U3" s="4"/>
      <c r="V3" s="4"/>
      <c r="W3" s="4"/>
      <c r="X3" s="4"/>
      <c r="Y3" s="4"/>
      <c r="Z3" s="4"/>
    </row>
    <row r="4" customFormat="false" ht="53.25" hidden="false" customHeight="true" outlineLevel="0" collapsed="false">
      <c r="A4" s="157" t="s">
        <v>483</v>
      </c>
      <c r="B4" s="128" t="s">
        <v>1821</v>
      </c>
      <c r="C4" s="158" t="s">
        <v>1822</v>
      </c>
      <c r="D4" s="159" t="s">
        <v>1823</v>
      </c>
      <c r="E4" s="44" t="s">
        <v>84</v>
      </c>
      <c r="F4" s="34" t="str">
        <f aca="false">HYPERLINK("#'DL02. Khách tiềm năng'!A"&amp;MATCH("slaLeadReassign_hours",'CH2. Tham số &amp; Quy tắc'!$A:$A,0),"{1} = slaLeadReassign_hours")</f>
        <v>{1} = slaLeadReassign_hours</v>
      </c>
      <c r="G4" s="160" t="str">
        <f aca="false">SUBSTITUTE(C4,"{1}",(slaLeadReassign_hours&amp;""))</f>
        <v>Lead đã giao cho NV nhưng quá 4 giờ (cấu hình slaLeadReassign_hours) chưa gọi. Việc cần làm: gọi gấp hoặc giao lại cho NV khác.</v>
      </c>
      <c r="H4" s="4"/>
      <c r="I4" s="4"/>
      <c r="J4" s="4"/>
      <c r="K4" s="4"/>
      <c r="L4" s="4"/>
      <c r="M4" s="4"/>
      <c r="N4" s="4"/>
      <c r="O4" s="4"/>
      <c r="P4" s="4"/>
      <c r="Q4" s="4"/>
      <c r="R4" s="4"/>
      <c r="S4" s="4"/>
      <c r="T4" s="4"/>
      <c r="U4" s="4"/>
      <c r="V4" s="4"/>
      <c r="W4" s="4"/>
      <c r="X4" s="4"/>
      <c r="Y4" s="4"/>
      <c r="Z4" s="4"/>
    </row>
    <row r="5" customFormat="false" ht="53.25" hidden="false" customHeight="true" outlineLevel="0" collapsed="false">
      <c r="A5" s="157" t="s">
        <v>486</v>
      </c>
      <c r="B5" s="128" t="s">
        <v>1821</v>
      </c>
      <c r="C5" s="158" t="s">
        <v>1824</v>
      </c>
      <c r="D5" s="159" t="s">
        <v>1825</v>
      </c>
      <c r="E5" s="44" t="s">
        <v>84</v>
      </c>
      <c r="F5" s="34" t="str">
        <f aca="false">HYPERLINK("#'DL02. Khách tiềm năng'!A"&amp;MATCH("thresholdContacted_attempts",'CH2. Tham số &amp; Quy tắc'!$A:$A,0),"{1} = thresholdContacted_attempts")</f>
        <v>{1} = thresholdContacted_attempts</v>
      </c>
      <c r="G5" s="160" t="str">
        <f aca="false">SUBSTITUTE(C5,"{1}",(thresholdContacted_attempts&amp;""))</f>
        <v>Đã liên hệ đủ 5 lần (cấu hình thresholdContacted_attempts) mà khách không phản hồi. Việc cần làm: cân nhắc chuyển lead sang trạng thái không liên lạc được.</v>
      </c>
      <c r="H5" s="4"/>
      <c r="I5" s="4"/>
      <c r="J5" s="4"/>
      <c r="K5" s="4"/>
      <c r="L5" s="4"/>
      <c r="M5" s="4"/>
      <c r="N5" s="4"/>
      <c r="O5" s="4"/>
      <c r="P5" s="4"/>
      <c r="Q5" s="4"/>
      <c r="R5" s="4"/>
      <c r="S5" s="4"/>
      <c r="T5" s="4"/>
      <c r="U5" s="4"/>
      <c r="V5" s="4"/>
      <c r="W5" s="4"/>
      <c r="X5" s="4"/>
      <c r="Y5" s="4"/>
      <c r="Z5" s="4"/>
    </row>
    <row r="6" customFormat="false" ht="53.25" hidden="false" customHeight="true" outlineLevel="0" collapsed="false">
      <c r="A6" s="157" t="s">
        <v>489</v>
      </c>
      <c r="B6" s="128" t="s">
        <v>1821</v>
      </c>
      <c r="C6" s="158" t="s">
        <v>1826</v>
      </c>
      <c r="D6" s="159" t="s">
        <v>1827</v>
      </c>
      <c r="E6" s="44" t="s">
        <v>84</v>
      </c>
      <c r="F6" s="34" t="str">
        <f aca="false">HYPERLINK("#'DL02. Khách tiềm năng'!A"&amp;MATCH("thresholdContacted_days",'CH2. Tham số &amp; Quy tắc'!$A:$A,0),"{1} = thresholdContacted_days")</f>
        <v>{1} = thresholdContacted_days</v>
      </c>
      <c r="G6" s="160" t="str">
        <f aca="false">SUBSTITUTE(C6,"{1}",(thresholdContacted_days&amp;""))</f>
        <v>Đã liên hệ nhưng quá 7 ngày (cấu hình thresholdContacted_days) chưa chốt. Việc cần làm: đẩy mạnh tư vấn để chốt.</v>
      </c>
      <c r="H6" s="4"/>
      <c r="I6" s="4"/>
      <c r="J6" s="4"/>
      <c r="K6" s="4"/>
      <c r="L6" s="4"/>
      <c r="M6" s="4"/>
      <c r="N6" s="4"/>
      <c r="O6" s="4"/>
      <c r="P6" s="4"/>
      <c r="Q6" s="4"/>
      <c r="R6" s="4"/>
      <c r="S6" s="4"/>
      <c r="T6" s="4"/>
      <c r="U6" s="4"/>
      <c r="V6" s="4"/>
      <c r="W6" s="4"/>
      <c r="X6" s="4"/>
      <c r="Y6" s="4"/>
      <c r="Z6" s="4"/>
    </row>
    <row r="7" customFormat="false" ht="53.25" hidden="false" customHeight="true" outlineLevel="0" collapsed="false">
      <c r="A7" s="157" t="s">
        <v>492</v>
      </c>
      <c r="B7" s="128" t="s">
        <v>1821</v>
      </c>
      <c r="C7" s="158" t="s">
        <v>1828</v>
      </c>
      <c r="D7" s="159" t="s">
        <v>490</v>
      </c>
      <c r="E7" s="44" t="s">
        <v>84</v>
      </c>
      <c r="F7" s="34" t="str">
        <f aca="false">HYPERLINK("#'DL02. Khách tiềm năng'!A"&amp;MATCH("slaLRT_minutes",'CH2. Tham số &amp; Quy tắc'!$A:$A,0),"{1} = slaLRT_minutes")</f>
        <v>{1} = slaLRT_minutes</v>
      </c>
      <c r="G7" s="160" t="str">
        <f aca="false">SUBSTITUTE(C7,"{1}",(slaLRT_minutes&amp;""))</f>
        <v>Lead mới đã quá 15 phút (cấu hình slaLRT_minutes) chưa được liên hệ. Việc cần làm: GỌI NGAY để không mất lead.</v>
      </c>
      <c r="H7" s="4"/>
      <c r="I7" s="4"/>
      <c r="J7" s="4"/>
      <c r="K7" s="4"/>
      <c r="L7" s="4"/>
      <c r="M7" s="4"/>
      <c r="N7" s="4"/>
      <c r="O7" s="4"/>
      <c r="P7" s="4"/>
      <c r="Q7" s="4"/>
      <c r="R7" s="4"/>
      <c r="S7" s="4"/>
      <c r="T7" s="4"/>
      <c r="U7" s="4"/>
      <c r="V7" s="4"/>
      <c r="W7" s="4"/>
      <c r="X7" s="4"/>
      <c r="Y7" s="4"/>
      <c r="Z7" s="4"/>
    </row>
    <row r="8" customFormat="false" ht="53.25" hidden="false" customHeight="true" outlineLevel="0" collapsed="false">
      <c r="A8" s="157" t="s">
        <v>495</v>
      </c>
      <c r="B8" s="128" t="s">
        <v>1821</v>
      </c>
      <c r="C8" s="158" t="s">
        <v>1829</v>
      </c>
      <c r="D8" s="159" t="s">
        <v>1830</v>
      </c>
      <c r="E8" s="44" t="s">
        <v>84</v>
      </c>
      <c r="F8" s="34" t="str">
        <f aca="false">HYPERLINK("#'DL02. Khách tiềm năng'!A"&amp;MATCH("slaLRT_minutes",'CH2. Tham số &amp; Quy tắc'!$A:$A,0),"{1} = slaLRT_minutes")</f>
        <v>{1} = slaLRT_minutes</v>
      </c>
      <c r="G8" s="160" t="str">
        <f aca="false">SUBSTITUTE(C8,"{1}",(slaLRT_minutes&amp;""))</f>
        <v>Lead mới, còn trong hạn phản hồi 15 phút (cấu hình slaLRT_minutes). Việc cần làm: liên hệ khách càng sớm càng tốt.</v>
      </c>
      <c r="H8" s="4"/>
      <c r="I8" s="4"/>
      <c r="J8" s="4"/>
      <c r="K8" s="4"/>
      <c r="L8" s="4"/>
      <c r="M8" s="4"/>
      <c r="N8" s="4"/>
      <c r="O8" s="4"/>
      <c r="P8" s="4"/>
      <c r="Q8" s="4"/>
      <c r="R8" s="4"/>
      <c r="S8" s="4"/>
      <c r="T8" s="4"/>
      <c r="U8" s="4"/>
      <c r="V8" s="4"/>
      <c r="W8" s="4"/>
      <c r="X8" s="4"/>
      <c r="Y8" s="4"/>
      <c r="Z8" s="4"/>
    </row>
    <row r="9" customFormat="false" ht="53.25" hidden="false" customHeight="true" outlineLevel="0" collapsed="false">
      <c r="A9" s="157" t="s">
        <v>498</v>
      </c>
      <c r="B9" s="128" t="s">
        <v>1821</v>
      </c>
      <c r="C9" s="158" t="s">
        <v>1831</v>
      </c>
      <c r="D9" s="159" t="s">
        <v>496</v>
      </c>
      <c r="E9" s="44" t="s">
        <v>84</v>
      </c>
      <c r="F9" s="33" t="s">
        <v>220</v>
      </c>
      <c r="G9" s="160" t="str">
        <f aca="false">C9</f>
        <v>Đã tới hoặc quá hẹn theo dõi lead. Việc cần làm: liên hệ lại ngay.</v>
      </c>
      <c r="H9" s="4"/>
      <c r="I9" s="4"/>
      <c r="J9" s="4"/>
      <c r="K9" s="4"/>
      <c r="L9" s="4"/>
      <c r="M9" s="4"/>
      <c r="N9" s="4"/>
      <c r="O9" s="4"/>
      <c r="P9" s="4"/>
      <c r="Q9" s="4"/>
      <c r="R9" s="4"/>
      <c r="S9" s="4"/>
      <c r="T9" s="4"/>
      <c r="U9" s="4"/>
      <c r="V9" s="4"/>
      <c r="W9" s="4"/>
      <c r="X9" s="4"/>
      <c r="Y9" s="4"/>
      <c r="Z9" s="4"/>
    </row>
    <row r="10" customFormat="false" ht="53.25" hidden="false" customHeight="true" outlineLevel="0" collapsed="false">
      <c r="A10" s="157" t="s">
        <v>501</v>
      </c>
      <c r="B10" s="128" t="s">
        <v>1821</v>
      </c>
      <c r="C10" s="158" t="s">
        <v>1832</v>
      </c>
      <c r="D10" s="159" t="s">
        <v>499</v>
      </c>
      <c r="E10" s="44" t="s">
        <v>84</v>
      </c>
      <c r="F10" s="33" t="s">
        <v>220</v>
      </c>
      <c r="G10" s="160" t="str">
        <f aca="false">C10</f>
        <v>Sắp tới hẹn theo dõi lead (trong vòng 24 giờ). Việc cần làm: chuẩn bị liên hệ khách.</v>
      </c>
      <c r="H10" s="4"/>
      <c r="I10" s="4"/>
      <c r="J10" s="4"/>
      <c r="K10" s="4"/>
      <c r="L10" s="4"/>
      <c r="M10" s="4"/>
      <c r="N10" s="4"/>
      <c r="O10" s="4"/>
      <c r="P10" s="4"/>
      <c r="Q10" s="4"/>
      <c r="R10" s="4"/>
      <c r="S10" s="4"/>
      <c r="T10" s="4"/>
      <c r="U10" s="4"/>
      <c r="V10" s="4"/>
      <c r="W10" s="4"/>
      <c r="X10" s="4"/>
      <c r="Y10" s="4"/>
      <c r="Z10" s="4"/>
    </row>
    <row r="11" customFormat="false" ht="53.25" hidden="false" customHeight="true" outlineLevel="0" collapsed="false">
      <c r="A11" s="157" t="s">
        <v>504</v>
      </c>
      <c r="B11" s="128" t="s">
        <v>1821</v>
      </c>
      <c r="C11" s="158" t="s">
        <v>1833</v>
      </c>
      <c r="D11" s="159" t="s">
        <v>502</v>
      </c>
      <c r="E11" s="44" t="s">
        <v>220</v>
      </c>
      <c r="F11" s="33" t="s">
        <v>220</v>
      </c>
      <c r="G11" s="160" t="str">
        <f aca="false">C11</f>
        <v>Lead đã đóng (từ chối hoặc không liên lạc được). Không cần làm gì thêm.</v>
      </c>
      <c r="H11" s="4"/>
      <c r="I11" s="4"/>
      <c r="J11" s="4"/>
      <c r="K11" s="4"/>
      <c r="L11" s="4"/>
      <c r="M11" s="4"/>
      <c r="N11" s="4"/>
      <c r="O11" s="4"/>
      <c r="P11" s="4"/>
      <c r="Q11" s="4"/>
      <c r="R11" s="4"/>
      <c r="S11" s="4"/>
      <c r="T11" s="4"/>
      <c r="U11" s="4"/>
      <c r="V11" s="4"/>
      <c r="W11" s="4"/>
      <c r="X11" s="4"/>
      <c r="Y11" s="4"/>
      <c r="Z11" s="4"/>
    </row>
    <row r="12" customFormat="false" ht="53.25" hidden="false" customHeight="true" outlineLevel="0" collapsed="false">
      <c r="A12" s="157" t="s">
        <v>517</v>
      </c>
      <c r="B12" s="128" t="s">
        <v>1834</v>
      </c>
      <c r="C12" s="158" t="s">
        <v>1835</v>
      </c>
      <c r="D12" s="159" t="str">
        <f aca="false">"Khách đã có kết quả test nhưng quá hạn tư vấn ("&amp;slaCVT_hours&amp;" giờ) vẫn chưa được tư vấn lộ trình."</f>
        <v>Khách đã có kết quả test nhưng quá hạn tư vấn (24 giờ) vẫn chưa được tư vấn lộ trình.</v>
      </c>
      <c r="E12" s="44" t="s">
        <v>84</v>
      </c>
      <c r="F12" s="34" t="str">
        <f aca="false">HYPERLINK("#'DL03. Đặt lịch test'!A"&amp;MATCH("slaCVT_hours",'CH2. Tham số &amp; Quy tắc'!$A:$A,0),"{1} = slaCVT_hours")</f>
        <v>{1} = slaCVT_hours</v>
      </c>
      <c r="G12" s="160" t="str">
        <f aca="false">SUBSTITUTE(C12,"{1}",(slaCVT_hours&amp;""))</f>
        <v>Khách đã có kết quả test nhưng quá 24 giờ (cấu hình slaCVT_hours) chưa được tư vấn. Việc cần làm: tư vấn ngay để chốt khi khách còn quan tâm.</v>
      </c>
      <c r="H12" s="4"/>
      <c r="I12" s="4"/>
      <c r="J12" s="4"/>
      <c r="K12" s="4"/>
      <c r="L12" s="4"/>
      <c r="M12" s="4"/>
      <c r="N12" s="4"/>
      <c r="O12" s="4"/>
      <c r="P12" s="4"/>
      <c r="Q12" s="4"/>
      <c r="R12" s="4"/>
      <c r="S12" s="4"/>
      <c r="T12" s="4"/>
      <c r="U12" s="4"/>
      <c r="V12" s="4"/>
      <c r="W12" s="4"/>
      <c r="X12" s="4"/>
      <c r="Y12" s="4"/>
      <c r="Z12" s="4"/>
    </row>
    <row r="13" customFormat="false" ht="53.25" hidden="false" customHeight="true" outlineLevel="0" collapsed="false">
      <c r="A13" s="157" t="s">
        <v>520</v>
      </c>
      <c r="B13" s="128" t="s">
        <v>1834</v>
      </c>
      <c r="C13" s="158" t="s">
        <v>1836</v>
      </c>
      <c r="D13" s="159" t="s">
        <v>1837</v>
      </c>
      <c r="E13" s="44" t="s">
        <v>84</v>
      </c>
      <c r="F13" s="33" t="s">
        <v>220</v>
      </c>
      <c r="G13" s="160" t="str">
        <f aca="false">C13</f>
        <v>Đã tư vấn xong cho khách. Không cần làm gì thêm ở bước này.</v>
      </c>
      <c r="H13" s="4"/>
      <c r="I13" s="4"/>
      <c r="J13" s="4"/>
      <c r="K13" s="4"/>
      <c r="L13" s="4"/>
      <c r="M13" s="4"/>
      <c r="N13" s="4"/>
      <c r="O13" s="4"/>
      <c r="P13" s="4"/>
      <c r="Q13" s="4"/>
      <c r="R13" s="4"/>
      <c r="S13" s="4"/>
      <c r="T13" s="4"/>
      <c r="U13" s="4"/>
      <c r="V13" s="4"/>
      <c r="W13" s="4"/>
      <c r="X13" s="4"/>
      <c r="Y13" s="4"/>
      <c r="Z13" s="4"/>
    </row>
    <row r="14" customFormat="false" ht="53.25" hidden="false" customHeight="true" outlineLevel="0" collapsed="false">
      <c r="A14" s="157" t="s">
        <v>508</v>
      </c>
      <c r="B14" s="128" t="s">
        <v>1834</v>
      </c>
      <c r="C14" s="158" t="s">
        <v>1838</v>
      </c>
      <c r="D14" s="159" t="s">
        <v>506</v>
      </c>
      <c r="E14" s="44" t="s">
        <v>1839</v>
      </c>
      <c r="F14" s="34" t="str">
        <f aca="false">HYPERLINK("#'DL03. Đặt lịch test'!A"&amp;MATCH("slaGLA_hours",'CH2. Tham số &amp; Quy tắc'!$A:$A,0),"{1} = slaGLA_hours")</f>
        <v>{1} = slaGLA_hours</v>
      </c>
      <c r="G14" s="160" t="str">
        <f aca="false">SUBSTITUTE(C14,"{1}",(slaGLA_hours&amp;""))</f>
        <v>Khách đã làm test nhưng quá 24 giờ (cấu hình slaGLA_hours) chưa chấm bài. Việc cần làm: chấm bài test ngay.</v>
      </c>
      <c r="H14" s="4"/>
      <c r="I14" s="4"/>
      <c r="J14" s="4"/>
      <c r="K14" s="4"/>
      <c r="L14" s="4"/>
      <c r="M14" s="4"/>
      <c r="N14" s="4"/>
      <c r="O14" s="4"/>
      <c r="P14" s="4"/>
      <c r="Q14" s="4"/>
      <c r="R14" s="4"/>
      <c r="S14" s="4"/>
      <c r="T14" s="4"/>
      <c r="U14" s="4"/>
      <c r="V14" s="4"/>
      <c r="W14" s="4"/>
      <c r="X14" s="4"/>
      <c r="Y14" s="4"/>
      <c r="Z14" s="4"/>
    </row>
    <row r="15" customFormat="false" ht="53.25" hidden="false" customHeight="true" outlineLevel="0" collapsed="false">
      <c r="A15" s="157" t="s">
        <v>511</v>
      </c>
      <c r="B15" s="128" t="s">
        <v>1834</v>
      </c>
      <c r="C15" s="158" t="s">
        <v>1840</v>
      </c>
      <c r="D15" s="159" t="s">
        <v>509</v>
      </c>
      <c r="E15" s="44" t="s">
        <v>1839</v>
      </c>
      <c r="F15" s="34" t="str">
        <f aca="false">HYPERLINK("#'DL03. Đặt lịch test'!A"&amp;MATCH("slaGLA_hours",'CH2. Tham số &amp; Quy tắc'!$A:$A,0),"{1} = slaGLA_hours")</f>
        <v>{1} = slaGLA_hours</v>
      </c>
      <c r="G15" s="160" t="str">
        <f aca="false">SUBSTITUTE(C15,"{1}",(slaGLA_hours&amp;""))</f>
        <v>Bài test chờ chấm, còn trong hạn 24 giờ (cấu hình slaGLA_hours). Việc cần làm: chấm bài sớm để kịp tư vấn.</v>
      </c>
      <c r="H15" s="4"/>
      <c r="I15" s="4"/>
      <c r="J15" s="4"/>
      <c r="K15" s="4"/>
      <c r="L15" s="4"/>
      <c r="M15" s="4"/>
      <c r="N15" s="4"/>
      <c r="O15" s="4"/>
      <c r="P15" s="4"/>
      <c r="Q15" s="4"/>
      <c r="R15" s="4"/>
      <c r="S15" s="4"/>
      <c r="T15" s="4"/>
      <c r="U15" s="4"/>
      <c r="V15" s="4"/>
      <c r="W15" s="4"/>
      <c r="X15" s="4"/>
      <c r="Y15" s="4"/>
      <c r="Z15" s="4"/>
    </row>
    <row r="16" customFormat="false" ht="53.25" hidden="false" customHeight="true" outlineLevel="0" collapsed="false">
      <c r="A16" s="157" t="s">
        <v>514</v>
      </c>
      <c r="B16" s="128" t="s">
        <v>1834</v>
      </c>
      <c r="C16" s="158" t="s">
        <v>1841</v>
      </c>
      <c r="D16" s="159" t="s">
        <v>1842</v>
      </c>
      <c r="E16" s="44" t="s">
        <v>84</v>
      </c>
      <c r="F16" s="33" t="s">
        <v>220</v>
      </c>
      <c r="G16" s="160" t="str">
        <f aca="false">C16</f>
        <v>Đã chấm xong bài test. Việc cần làm: chuyển trạng thái sau test sang chờ tư vấn (awaiting).</v>
      </c>
      <c r="H16" s="4"/>
      <c r="I16" s="4"/>
      <c r="J16" s="4"/>
      <c r="K16" s="4"/>
      <c r="L16" s="4"/>
      <c r="M16" s="4"/>
      <c r="N16" s="4"/>
      <c r="O16" s="4"/>
      <c r="P16" s="4"/>
      <c r="Q16" s="4"/>
      <c r="R16" s="4"/>
      <c r="S16" s="4"/>
      <c r="T16" s="4"/>
      <c r="U16" s="4"/>
      <c r="V16" s="4"/>
      <c r="W16" s="4"/>
      <c r="X16" s="4"/>
      <c r="Y16" s="4"/>
      <c r="Z16" s="4"/>
    </row>
    <row r="17" customFormat="false" ht="53.25" hidden="false" customHeight="true" outlineLevel="0" collapsed="false">
      <c r="A17" s="157" t="s">
        <v>523</v>
      </c>
      <c r="B17" s="128" t="s">
        <v>1834</v>
      </c>
      <c r="C17" s="158" t="s">
        <v>1843</v>
      </c>
      <c r="D17" s="159" t="s">
        <v>1844</v>
      </c>
      <c r="E17" s="44" t="s">
        <v>1845</v>
      </c>
      <c r="F17" s="33" t="s">
        <v>220</v>
      </c>
      <c r="G17" s="160" t="str">
        <f aca="false">C17</f>
        <v>Cập nhật post_test_status = awaiting_consultation (chờ tư vấn)</v>
      </c>
      <c r="H17" s="4"/>
      <c r="I17" s="4"/>
      <c r="J17" s="4"/>
      <c r="K17" s="4"/>
      <c r="L17" s="4"/>
      <c r="M17" s="4"/>
      <c r="N17" s="4"/>
      <c r="O17" s="4"/>
      <c r="P17" s="4"/>
      <c r="Q17" s="4"/>
      <c r="R17" s="4"/>
      <c r="S17" s="4"/>
      <c r="T17" s="4"/>
      <c r="U17" s="4"/>
      <c r="V17" s="4"/>
      <c r="W17" s="4"/>
      <c r="X17" s="4"/>
      <c r="Y17" s="4"/>
      <c r="Z17" s="4"/>
    </row>
    <row r="18" customFormat="false" ht="53.25" hidden="false" customHeight="true" outlineLevel="0" collapsed="false">
      <c r="A18" s="157" t="s">
        <v>526</v>
      </c>
      <c r="B18" s="128" t="s">
        <v>1834</v>
      </c>
      <c r="C18" s="158" t="s">
        <v>1846</v>
      </c>
      <c r="D18" s="159" t="s">
        <v>1847</v>
      </c>
      <c r="E18" s="44" t="s">
        <v>84</v>
      </c>
      <c r="F18" s="33" t="s">
        <v>220</v>
      </c>
      <c r="G18" s="160" t="str">
        <f aca="false">C18</f>
        <v>Tạo Tư vấn mới (CS-...) cho lead này ở sheet DL04</v>
      </c>
      <c r="H18" s="4"/>
      <c r="I18" s="4"/>
      <c r="J18" s="4"/>
      <c r="K18" s="4"/>
      <c r="L18" s="4"/>
      <c r="M18" s="4"/>
      <c r="N18" s="4"/>
      <c r="O18" s="4"/>
      <c r="P18" s="4"/>
      <c r="Q18" s="4"/>
      <c r="R18" s="4"/>
      <c r="S18" s="4"/>
      <c r="T18" s="4"/>
      <c r="U18" s="4"/>
      <c r="V18" s="4"/>
      <c r="W18" s="4"/>
      <c r="X18" s="4"/>
      <c r="Y18" s="4"/>
      <c r="Z18" s="4"/>
    </row>
    <row r="19" customFormat="false" ht="53.25" hidden="false" customHeight="true" outlineLevel="0" collapsed="false">
      <c r="A19" s="157" t="s">
        <v>530</v>
      </c>
      <c r="B19" s="128" t="s">
        <v>1848</v>
      </c>
      <c r="C19" s="158" t="s">
        <v>1849</v>
      </c>
      <c r="D19" s="159" t="str">
        <f aca="false">"Khách đã quan tâm nhưng quá số ngày theo dõi ("&amp;slaFollowup_grace_days&amp;" ngày) vẫn chưa chốt đăng ký."</f>
        <v>Khách đã quan tâm nhưng quá số ngày theo dõi (3 ngày) vẫn chưa chốt đăng ký.</v>
      </c>
      <c r="E19" s="44" t="s">
        <v>84</v>
      </c>
      <c r="F19" s="34" t="str">
        <f aca="false">HYPERLINK("#'DL04. Tư vấn'!A"&amp;MATCH("slaFollowup_grace_days",'CH2. Tham số &amp; Quy tắc'!$A:$A,0),"{1} = slaFollowup_grace_days")</f>
        <v>{1} = slaFollowup_grace_days</v>
      </c>
      <c r="G19" s="160" t="str">
        <f aca="false">SUBSTITUTE(C19,"{1}",(slaFollowup_grace_days&amp;""))</f>
        <v>Khách quan tâm nhưng đã quá 3 ngày (cấu hình slaFollowup_grace_days) chưa chốt. Việc cần làm: liên hệ chốt ngay khi khách còn quan tâm.</v>
      </c>
      <c r="H19" s="4"/>
      <c r="I19" s="4"/>
      <c r="J19" s="4"/>
      <c r="K19" s="4"/>
      <c r="L19" s="4"/>
      <c r="M19" s="4"/>
      <c r="N19" s="4"/>
      <c r="O19" s="4"/>
      <c r="P19" s="4"/>
      <c r="Q19" s="4"/>
      <c r="R19" s="4"/>
      <c r="S19" s="4"/>
      <c r="T19" s="4"/>
      <c r="U19" s="4"/>
      <c r="V19" s="4"/>
      <c r="W19" s="4"/>
      <c r="X19" s="4"/>
      <c r="Y19" s="4"/>
      <c r="Z19" s="4"/>
    </row>
    <row r="20" customFormat="false" ht="53.25" hidden="false" customHeight="true" outlineLevel="0" collapsed="false">
      <c r="A20" s="157" t="s">
        <v>539</v>
      </c>
      <c r="B20" s="128" t="s">
        <v>1848</v>
      </c>
      <c r="C20" s="158" t="s">
        <v>1850</v>
      </c>
      <c r="D20" s="159" t="s">
        <v>1851</v>
      </c>
      <c r="E20" s="44" t="s">
        <v>84</v>
      </c>
      <c r="F20" s="33" t="s">
        <v>220</v>
      </c>
      <c r="G20" s="160" t="str">
        <f aca="false">C20</f>
        <v>Khách chưa quyết định, vẫn trong thời gian theo dõi cho phép. Việc cần làm: tiếp tục theo dõi và chăm sóc.</v>
      </c>
      <c r="H20" s="4"/>
      <c r="I20" s="4"/>
      <c r="J20" s="4"/>
      <c r="K20" s="4"/>
      <c r="L20" s="4"/>
      <c r="M20" s="4"/>
      <c r="N20" s="4"/>
      <c r="O20" s="4"/>
      <c r="P20" s="4"/>
      <c r="Q20" s="4"/>
      <c r="R20" s="4"/>
      <c r="S20" s="4"/>
      <c r="T20" s="4"/>
      <c r="U20" s="4"/>
      <c r="V20" s="4"/>
      <c r="W20" s="4"/>
      <c r="X20" s="4"/>
      <c r="Y20" s="4"/>
      <c r="Z20" s="4"/>
    </row>
    <row r="21" customFormat="false" ht="53.25" hidden="false" customHeight="true" outlineLevel="0" collapsed="false">
      <c r="A21" s="157" t="s">
        <v>533</v>
      </c>
      <c r="B21" s="128" t="s">
        <v>1848</v>
      </c>
      <c r="C21" s="158" t="s">
        <v>1852</v>
      </c>
      <c r="D21" s="159" t="s">
        <v>1853</v>
      </c>
      <c r="E21" s="44" t="s">
        <v>84</v>
      </c>
      <c r="F21" s="33" t="s">
        <v>220</v>
      </c>
      <c r="G21" s="160" t="str">
        <f aca="false">C21</f>
        <v>Khách đã đồng ý và đặt cọc. Việc cần làm: tạo đăng ký và thu cọc (chuyển sang sheet DL06 Đăng ký).</v>
      </c>
      <c r="H21" s="4"/>
      <c r="I21" s="4"/>
      <c r="J21" s="4"/>
      <c r="K21" s="4"/>
      <c r="L21" s="4"/>
      <c r="M21" s="4"/>
      <c r="N21" s="4"/>
      <c r="O21" s="4"/>
      <c r="P21" s="4"/>
      <c r="Q21" s="4"/>
      <c r="R21" s="4"/>
      <c r="S21" s="4"/>
      <c r="T21" s="4"/>
      <c r="U21" s="4"/>
      <c r="V21" s="4"/>
      <c r="W21" s="4"/>
      <c r="X21" s="4"/>
      <c r="Y21" s="4"/>
      <c r="Z21" s="4"/>
    </row>
    <row r="22" customFormat="false" ht="53.25" hidden="false" customHeight="true" outlineLevel="0" collapsed="false">
      <c r="A22" s="157" t="s">
        <v>536</v>
      </c>
      <c r="B22" s="128" t="s">
        <v>1848</v>
      </c>
      <c r="C22" s="158" t="s">
        <v>1854</v>
      </c>
      <c r="D22" s="159" t="s">
        <v>534</v>
      </c>
      <c r="E22" s="44" t="s">
        <v>220</v>
      </c>
      <c r="F22" s="33" t="s">
        <v>220</v>
      </c>
      <c r="G22" s="160" t="str">
        <f aca="false">C22</f>
        <v>Khách đã bỏ, không tiếp tục. Không cần làm gì thêm.</v>
      </c>
      <c r="H22" s="4"/>
      <c r="I22" s="4"/>
      <c r="J22" s="4"/>
      <c r="K22" s="4"/>
      <c r="L22" s="4"/>
      <c r="M22" s="4"/>
      <c r="N22" s="4"/>
      <c r="O22" s="4"/>
      <c r="P22" s="4"/>
      <c r="Q22" s="4"/>
      <c r="R22" s="4"/>
      <c r="S22" s="4"/>
      <c r="T22" s="4"/>
      <c r="U22" s="4"/>
      <c r="V22" s="4"/>
      <c r="W22" s="4"/>
      <c r="X22" s="4"/>
      <c r="Y22" s="4"/>
      <c r="Z22" s="4"/>
    </row>
    <row r="23" customFormat="false" ht="53.25" hidden="false" customHeight="true" outlineLevel="0" collapsed="false">
      <c r="A23" s="157" t="s">
        <v>552</v>
      </c>
      <c r="B23" s="128" t="s">
        <v>1855</v>
      </c>
      <c r="C23" s="158" t="s">
        <v>1856</v>
      </c>
      <c r="D23" s="159" t="str">
        <f aca="false">"Một đăng ký để ở trạng thái chờ quá hạn ("&amp;slaENR_pending_hours&amp;" giờ) mà chưa xử lý."</f>
        <v>Một đăng ký để ở trạng thái chờ quá hạn (24 giờ) mà chưa xử lý.</v>
      </c>
      <c r="E23" s="44" t="s">
        <v>1857</v>
      </c>
      <c r="F23" s="34" t="str">
        <f aca="false">HYPERLINK("#'DL06. Đăng ký'!A"&amp;MATCH("slaENR_pending_hours",'CH2. Tham số &amp; Quy tắc'!$A:$A,0),"{1} = slaENR_pending_hours")</f>
        <v>{1} = slaENR_pending_hours</v>
      </c>
      <c r="G23" s="160" t="str">
        <f aca="false">SUBSTITUTE(C23,"{1}",(slaENR_pending_hours&amp;""))</f>
        <v>Đăng ký ở trạng thái chờ đã quá 24 giờ (cấu hình slaENR_pending_hours). Việc cần làm: xác nhận hoặc hủy đăng ký ngay.</v>
      </c>
      <c r="H23" s="4"/>
      <c r="I23" s="4"/>
      <c r="J23" s="4"/>
      <c r="K23" s="4"/>
      <c r="L23" s="4"/>
      <c r="M23" s="4"/>
      <c r="N23" s="4"/>
      <c r="O23" s="4"/>
      <c r="P23" s="4"/>
      <c r="Q23" s="4"/>
      <c r="R23" s="4"/>
      <c r="S23" s="4"/>
      <c r="T23" s="4"/>
      <c r="U23" s="4"/>
      <c r="V23" s="4"/>
      <c r="W23" s="4"/>
      <c r="X23" s="4"/>
      <c r="Y23" s="4"/>
      <c r="Z23" s="4"/>
    </row>
    <row r="24" customFormat="false" ht="53.25" hidden="false" customHeight="true" outlineLevel="0" collapsed="false">
      <c r="A24" s="157" t="s">
        <v>555</v>
      </c>
      <c r="B24" s="128" t="s">
        <v>1855</v>
      </c>
      <c r="C24" s="158" t="s">
        <v>1858</v>
      </c>
      <c r="D24" s="159" t="s">
        <v>1859</v>
      </c>
      <c r="E24" s="44" t="s">
        <v>84</v>
      </c>
      <c r="F24" s="33" t="s">
        <v>220</v>
      </c>
      <c r="G24" s="160" t="str">
        <f aca="false">C24</f>
        <v>Đăng ký đã xác nhận nhưng chưa thu được tiền. Việc cần làm: thu học phí ngay.</v>
      </c>
      <c r="H24" s="4"/>
      <c r="I24" s="4"/>
      <c r="J24" s="4"/>
      <c r="K24" s="4"/>
      <c r="L24" s="4"/>
      <c r="M24" s="4"/>
      <c r="N24" s="4"/>
      <c r="O24" s="4"/>
      <c r="P24" s="4"/>
      <c r="Q24" s="4"/>
      <c r="R24" s="4"/>
      <c r="S24" s="4"/>
      <c r="T24" s="4"/>
      <c r="U24" s="4"/>
      <c r="V24" s="4"/>
      <c r="W24" s="4"/>
      <c r="X24" s="4"/>
      <c r="Y24" s="4"/>
      <c r="Z24" s="4"/>
    </row>
    <row r="25" customFormat="false" ht="53.25" hidden="false" customHeight="true" outlineLevel="0" collapsed="false">
      <c r="A25" s="157" t="s">
        <v>558</v>
      </c>
      <c r="B25" s="128" t="s">
        <v>1855</v>
      </c>
      <c r="C25" s="158" t="s">
        <v>1860</v>
      </c>
      <c r="D25" s="159" t="s">
        <v>1861</v>
      </c>
      <c r="E25" s="44" t="s">
        <v>84</v>
      </c>
      <c r="F25" s="34" t="str">
        <f aca="false">HYPERLINK("#'DL06. Đăng ký'!A"&amp;MATCH("slaPayment_grace_days",'CH2. Tham số &amp; Quy tắc'!$A:$A,0),"{1} = slaPayment_grace_days")</f>
        <v>{1} = slaPayment_grace_days</v>
      </c>
      <c r="G25" s="160" t="str">
        <f aca="false">SUBSTITUTE(C25,"{1}",(slaPayment_grace_days&amp;""))</f>
        <v>Còn khoản học phí chưa đóng và đã quá hạn 14 ngày (cấu hình slaPayment_grace_days). Việc cần làm: nhắc HV đóng phần còn lại ngay.</v>
      </c>
      <c r="H25" s="4"/>
      <c r="I25" s="4"/>
      <c r="J25" s="4"/>
      <c r="K25" s="4"/>
      <c r="L25" s="4"/>
      <c r="M25" s="4"/>
      <c r="N25" s="4"/>
      <c r="O25" s="4"/>
      <c r="P25" s="4"/>
      <c r="Q25" s="4"/>
      <c r="R25" s="4"/>
      <c r="S25" s="4"/>
      <c r="T25" s="4"/>
      <c r="U25" s="4"/>
      <c r="V25" s="4"/>
      <c r="W25" s="4"/>
      <c r="X25" s="4"/>
      <c r="Y25" s="4"/>
      <c r="Z25" s="4"/>
    </row>
    <row r="26" customFormat="false" ht="53.25" hidden="false" customHeight="true" outlineLevel="0" collapsed="false">
      <c r="A26" s="157" t="s">
        <v>1862</v>
      </c>
      <c r="B26" s="128" t="s">
        <v>1855</v>
      </c>
      <c r="C26" s="158" t="s">
        <v>1863</v>
      </c>
      <c r="D26" s="159" t="s">
        <v>1864</v>
      </c>
      <c r="E26" s="44" t="s">
        <v>1865</v>
      </c>
      <c r="F26" s="33" t="s">
        <v>220</v>
      </c>
      <c r="G26" s="160" t="str">
        <f aca="false">C26</f>
        <v>Đăng ký đã hủy. Việc cần làm: kiểm tra và xử lý hoàn tiền nếu có.</v>
      </c>
      <c r="H26" s="4"/>
      <c r="I26" s="4"/>
      <c r="J26" s="4"/>
      <c r="K26" s="4"/>
      <c r="L26" s="4"/>
      <c r="M26" s="4"/>
      <c r="N26" s="4"/>
      <c r="O26" s="4"/>
      <c r="P26" s="4"/>
      <c r="Q26" s="4"/>
      <c r="R26" s="4"/>
      <c r="S26" s="4"/>
      <c r="T26" s="4"/>
      <c r="U26" s="4"/>
      <c r="V26" s="4"/>
      <c r="W26" s="4"/>
      <c r="X26" s="4"/>
      <c r="Y26" s="4"/>
      <c r="Z26" s="4"/>
    </row>
    <row r="27" customFormat="false" ht="53.25" hidden="false" customHeight="true" outlineLevel="0" collapsed="false">
      <c r="A27" s="157" t="s">
        <v>561</v>
      </c>
      <c r="B27" s="128" t="s">
        <v>1855</v>
      </c>
      <c r="C27" s="158" t="s">
        <v>1866</v>
      </c>
      <c r="D27" s="159" t="s">
        <v>1867</v>
      </c>
      <c r="E27" s="44" t="s">
        <v>220</v>
      </c>
      <c r="F27" s="33" t="s">
        <v>220</v>
      </c>
      <c r="G27" s="160" t="str">
        <f aca="false">C27</f>
        <v>Đăng ký đã xác nhận và HV đã đóng đủ tiền. Không cần làm gì thêm.</v>
      </c>
      <c r="H27" s="4"/>
      <c r="I27" s="4"/>
      <c r="J27" s="4"/>
      <c r="K27" s="4"/>
      <c r="L27" s="4"/>
      <c r="M27" s="4"/>
      <c r="N27" s="4"/>
      <c r="O27" s="4"/>
      <c r="P27" s="4"/>
      <c r="Q27" s="4"/>
      <c r="R27" s="4"/>
      <c r="S27" s="4"/>
      <c r="T27" s="4"/>
      <c r="U27" s="4"/>
      <c r="V27" s="4"/>
      <c r="W27" s="4"/>
      <c r="X27" s="4"/>
      <c r="Y27" s="4"/>
      <c r="Z27" s="4"/>
    </row>
    <row r="28" customFormat="false" ht="53.25" hidden="false" customHeight="true" outlineLevel="0" collapsed="false">
      <c r="A28" s="157" t="s">
        <v>543</v>
      </c>
      <c r="B28" s="128" t="s">
        <v>1855</v>
      </c>
      <c r="C28" s="158" t="s">
        <v>1868</v>
      </c>
      <c r="D28" s="159" t="s">
        <v>541</v>
      </c>
      <c r="E28" s="44" t="s">
        <v>1865</v>
      </c>
      <c r="F28" s="34" t="str">
        <f aca="false">HYPERLINK("#'DL06. Đăng ký'!A"&amp;MATCH("refundFull_days",'CH2. Tham số &amp; Quy tắc'!$A:$A,0),"{1} = refundFull_days, {2} = refundPartial_days, {3} = refundReduced_days")</f>
        <v>{1} = refundFull_days, {2} = refundPartial_days, {3} = refundReduced_days</v>
      </c>
      <c r="G28" s="160" t="str">
        <f aca="false">SUBSTITUTE(SUBSTITUTE(SUBSTITUTE(C28,"{1}",(refundFull_days&amp;"")),"{2}",(refundPartial_days&amp;"")),"{3}",(refundReduced_days&amp;""))</f>
        <v>Đăng ký đã hủy. Chính sách hoàn tiền (cấu hình): hoàn 100% nếu hủy trong 7 ngày, hoàn một phần nếu trong 14 ngày, hoàn mức thấp nếu trong 30 ngày, quá thì không hoàn. Việc cần làm: kiểm tra ngày hủy và xử lý hoàn tiền.</v>
      </c>
      <c r="H28" s="4"/>
      <c r="I28" s="4"/>
      <c r="J28" s="4"/>
      <c r="K28" s="4"/>
      <c r="L28" s="4"/>
      <c r="M28" s="4"/>
      <c r="N28" s="4"/>
      <c r="O28" s="4"/>
      <c r="P28" s="4"/>
      <c r="Q28" s="4"/>
      <c r="R28" s="4"/>
      <c r="S28" s="4"/>
      <c r="T28" s="4"/>
      <c r="U28" s="4"/>
      <c r="V28" s="4"/>
      <c r="W28" s="4"/>
      <c r="X28" s="4"/>
      <c r="Y28" s="4"/>
      <c r="Z28" s="4"/>
    </row>
    <row r="29" customFormat="false" ht="53.25" hidden="false" customHeight="true" outlineLevel="0" collapsed="false">
      <c r="A29" s="157" t="s">
        <v>546</v>
      </c>
      <c r="B29" s="128" t="s">
        <v>1855</v>
      </c>
      <c r="C29" s="158" t="s">
        <v>1869</v>
      </c>
      <c r="D29" s="159" t="s">
        <v>1870</v>
      </c>
      <c r="E29" s="44" t="s">
        <v>1857</v>
      </c>
      <c r="F29" s="34" t="str">
        <f aca="false">HYPERLINK("#'DL06. Đăng ký'!A"&amp;MATCH("slaENR_cancel_hours",'CH2. Tham số &amp; Quy tắc'!$A:$A,0),"{1} = slaENR_cancel_hours")</f>
        <v>{1} = slaENR_cancel_hours</v>
      </c>
      <c r="G29" s="160" t="str">
        <f aca="false">SUBSTITUTE(C29,"{1}",(slaENR_cancel_hours&amp;""))</f>
        <v>Đăng ký để ở trạng thái chờ quá 72 giờ (cấu hình slaENR_cancel_hours). Việc cần làm: cân nhắc hủy đăng ký ngay để dọn dữ liệu ảo.</v>
      </c>
      <c r="H29" s="4"/>
      <c r="I29" s="4"/>
      <c r="J29" s="4"/>
      <c r="K29" s="4"/>
      <c r="L29" s="4"/>
      <c r="M29" s="4"/>
      <c r="N29" s="4"/>
      <c r="O29" s="4"/>
      <c r="P29" s="4"/>
      <c r="Q29" s="4"/>
      <c r="R29" s="4"/>
      <c r="S29" s="4"/>
      <c r="T29" s="4"/>
      <c r="U29" s="4"/>
      <c r="V29" s="4"/>
      <c r="W29" s="4"/>
      <c r="X29" s="4"/>
      <c r="Y29" s="4"/>
      <c r="Z29" s="4"/>
    </row>
    <row r="30" customFormat="false" ht="53.25" hidden="false" customHeight="true" outlineLevel="0" collapsed="false">
      <c r="A30" s="157" t="s">
        <v>549</v>
      </c>
      <c r="B30" s="128" t="s">
        <v>1855</v>
      </c>
      <c r="C30" s="158" t="s">
        <v>1871</v>
      </c>
      <c r="D30" s="159" t="s">
        <v>547</v>
      </c>
      <c r="E30" s="44" t="s">
        <v>62</v>
      </c>
      <c r="F30" s="34" t="str">
        <f aca="false">HYPERLINK("#'DL06. Đăng ký'!A"&amp;MATCH("thresholdDiscount_approval",'CH2. Tham số &amp; Quy tắc'!$A:$A,0),"{1} = thresholdDiscount_approval")</f>
        <v>{1} = thresholdDiscount_approval</v>
      </c>
      <c r="G30" s="160" t="str">
        <f aca="false">SUBSTITUTE(C30,"{1}",TEXT(thresholdDiscount_approval,"#,##0"))</f>
        <v>Khoản giảm giá vượt mức cho phép 1,000,000đ (cấu hình thresholdDiscount_approval). Việc cần làm: trình cấp trên duyệt trước khi áp dụng.</v>
      </c>
      <c r="H30" s="4"/>
      <c r="I30" s="4"/>
      <c r="J30" s="4"/>
      <c r="K30" s="4"/>
      <c r="L30" s="4"/>
      <c r="M30" s="4"/>
      <c r="N30" s="4"/>
      <c r="O30" s="4"/>
      <c r="P30" s="4"/>
      <c r="Q30" s="4"/>
      <c r="R30" s="4"/>
      <c r="S30" s="4"/>
      <c r="T30" s="4"/>
      <c r="U30" s="4"/>
      <c r="V30" s="4"/>
      <c r="W30" s="4"/>
      <c r="X30" s="4"/>
      <c r="Y30" s="4"/>
      <c r="Z30" s="4"/>
    </row>
    <row r="31" customFormat="false" ht="53.25" hidden="false" customHeight="true" outlineLevel="0" collapsed="false">
      <c r="A31" s="157" t="s">
        <v>564</v>
      </c>
      <c r="B31" s="128" t="s">
        <v>1855</v>
      </c>
      <c r="C31" s="158" t="s">
        <v>1872</v>
      </c>
      <c r="D31" s="159" t="s">
        <v>1873</v>
      </c>
      <c r="E31" s="44" t="s">
        <v>1865</v>
      </c>
      <c r="F31" s="34" t="str">
        <f aca="false">HYPERLINK("#'DL06. Đăng ký'!A"&amp;MATCH("thresholdDeposit_minimum",'CH2. Tham số &amp; Quy tắc'!$A:$A,0),"{1} = thresholdDeposit_minimum")</f>
        <v>{1} = thresholdDeposit_minimum</v>
      </c>
      <c r="G31" s="160" t="str">
        <f aca="false">SUBSTITUTE(C31,"{1}",TEXT(thresholdDeposit_minimum,"#,##0"))</f>
        <v>Đã đủ cọc tối thiểu 5,000,000đ - chuyển enrollment_status = confirmed và tạo Onboarding (DL08)</v>
      </c>
      <c r="H31" s="4"/>
      <c r="I31" s="4"/>
      <c r="J31" s="4"/>
      <c r="K31" s="4"/>
      <c r="L31" s="4"/>
      <c r="M31" s="4"/>
      <c r="N31" s="4"/>
      <c r="O31" s="4"/>
      <c r="P31" s="4"/>
      <c r="Q31" s="4"/>
      <c r="R31" s="4"/>
      <c r="S31" s="4"/>
      <c r="T31" s="4"/>
      <c r="U31" s="4"/>
      <c r="V31" s="4"/>
      <c r="W31" s="4"/>
      <c r="X31" s="4"/>
      <c r="Y31" s="4"/>
      <c r="Z31" s="4"/>
    </row>
    <row r="32" customFormat="false" ht="53.25" hidden="false" customHeight="true" outlineLevel="0" collapsed="false">
      <c r="A32" s="157" t="s">
        <v>567</v>
      </c>
      <c r="B32" s="128" t="s">
        <v>1855</v>
      </c>
      <c r="C32" s="158" t="s">
        <v>1874</v>
      </c>
      <c r="D32" s="159" t="s">
        <v>1875</v>
      </c>
      <c r="E32" s="44" t="s">
        <v>1865</v>
      </c>
      <c r="F32" s="33" t="s">
        <v>220</v>
      </c>
      <c r="G32" s="160" t="str">
        <f aca="false">C32</f>
        <v>Đã thanh toán đủ - chuyển sang Onboarding (DL08) nếu chưa</v>
      </c>
      <c r="H32" s="4"/>
      <c r="I32" s="4"/>
      <c r="J32" s="4"/>
      <c r="K32" s="4"/>
      <c r="L32" s="4"/>
      <c r="M32" s="4"/>
      <c r="N32" s="4"/>
      <c r="O32" s="4"/>
      <c r="P32" s="4"/>
      <c r="Q32" s="4"/>
      <c r="R32" s="4"/>
      <c r="S32" s="4"/>
      <c r="T32" s="4"/>
      <c r="U32" s="4"/>
      <c r="V32" s="4"/>
      <c r="W32" s="4"/>
      <c r="X32" s="4"/>
      <c r="Y32" s="4"/>
      <c r="Z32" s="4"/>
    </row>
    <row r="33" customFormat="false" ht="53.25" hidden="false" customHeight="true" outlineLevel="0" collapsed="false">
      <c r="A33" s="157" t="s">
        <v>577</v>
      </c>
      <c r="B33" s="128" t="s">
        <v>1876</v>
      </c>
      <c r="C33" s="158" t="s">
        <v>1877</v>
      </c>
      <c r="D33" s="159" t="str">
        <f aca="false">"Đăng ký đã xác nhận nhưng quá hạn hoàn tất nhập học ("&amp;slaOBT_hours&amp;" giờ)."</f>
        <v>Đăng ký đã xác nhận nhưng quá hạn hoàn tất nhập học (72 giờ).</v>
      </c>
      <c r="E33" s="44" t="s">
        <v>276</v>
      </c>
      <c r="F33" s="34" t="str">
        <f aca="false">HYPERLINK("#'DL08. Xếp lớp &amp; Nhập học'!A"&amp;MATCH("slaOBT_hours",'CH2. Tham số &amp; Quy tắc'!$A:$A,0),"{1} = slaOBT_hours")</f>
        <v>{1} = slaOBT_hours</v>
      </c>
      <c r="G33" s="160" t="str">
        <f aca="false">SUBSTITUTE(C33,"{1}",(slaOBT_hours&amp;""))</f>
        <v>Đã xếp lớp nhưng quá 72 giờ (cấu hình slaOBT_hours) chưa hoàn tất nhập học. Việc cần làm: kiểm tra và đẩy nhanh nhập học ngay.</v>
      </c>
      <c r="H33" s="4"/>
      <c r="I33" s="4"/>
      <c r="J33" s="4"/>
      <c r="K33" s="4"/>
      <c r="L33" s="4"/>
      <c r="M33" s="4"/>
      <c r="N33" s="4"/>
      <c r="O33" s="4"/>
      <c r="P33" s="4"/>
      <c r="Q33" s="4"/>
      <c r="R33" s="4"/>
      <c r="S33" s="4"/>
      <c r="T33" s="4"/>
      <c r="U33" s="4"/>
      <c r="V33" s="4"/>
      <c r="W33" s="4"/>
      <c r="X33" s="4"/>
      <c r="Y33" s="4"/>
      <c r="Z33" s="4"/>
    </row>
    <row r="34" customFormat="false" ht="53.25" hidden="false" customHeight="true" outlineLevel="0" collapsed="false">
      <c r="A34" s="157" t="s">
        <v>580</v>
      </c>
      <c r="B34" s="128" t="s">
        <v>1876</v>
      </c>
      <c r="C34" s="158" t="s">
        <v>1878</v>
      </c>
      <c r="D34" s="159" t="s">
        <v>1879</v>
      </c>
      <c r="E34" s="44" t="s">
        <v>276</v>
      </c>
      <c r="F34" s="34" t="str">
        <f aca="false">HYPERLINK("#'DL08. Xếp lớp &amp; Nhập học'!A"&amp;MATCH("slaOBT_hours",'CH2. Tham số &amp; Quy tắc'!$A:$A,0),"{1} = slaOBT_hours")</f>
        <v>{1} = slaOBT_hours</v>
      </c>
      <c r="G34" s="160" t="str">
        <f aca="false">SUBSTITUTE(C34,"{1}",(slaOBT_hours&amp;""))</f>
        <v>Nhập học đang dở và đã quá 72 giờ (cấu hình slaOBT_hours). Việc cần làm: gửi tài liệu và hoàn tất thủ tục ngay.</v>
      </c>
      <c r="H34" s="4"/>
      <c r="I34" s="4"/>
      <c r="J34" s="4"/>
      <c r="K34" s="4"/>
      <c r="L34" s="4"/>
      <c r="M34" s="4"/>
      <c r="N34" s="4"/>
      <c r="O34" s="4"/>
      <c r="P34" s="4"/>
      <c r="Q34" s="4"/>
      <c r="R34" s="4"/>
      <c r="S34" s="4"/>
      <c r="T34" s="4"/>
      <c r="U34" s="4"/>
      <c r="V34" s="4"/>
      <c r="W34" s="4"/>
      <c r="X34" s="4"/>
      <c r="Y34" s="4"/>
      <c r="Z34" s="4"/>
    </row>
    <row r="35" customFormat="false" ht="53.25" hidden="false" customHeight="true" outlineLevel="0" collapsed="false">
      <c r="A35" s="157" t="s">
        <v>583</v>
      </c>
      <c r="B35" s="128" t="s">
        <v>1876</v>
      </c>
      <c r="C35" s="158" t="s">
        <v>1880</v>
      </c>
      <c r="D35" s="159" t="s">
        <v>1881</v>
      </c>
      <c r="E35" s="44" t="s">
        <v>276</v>
      </c>
      <c r="F35" s="33" t="s">
        <v>220</v>
      </c>
      <c r="G35" s="160" t="str">
        <f aca="false">C35</f>
        <v>HV đã hoàn tất nhập học. Không cần làm gì thêm.</v>
      </c>
      <c r="H35" s="4"/>
      <c r="I35" s="4"/>
      <c r="J35" s="4"/>
      <c r="K35" s="4"/>
      <c r="L35" s="4"/>
      <c r="M35" s="4"/>
      <c r="N35" s="4"/>
      <c r="O35" s="4"/>
      <c r="P35" s="4"/>
      <c r="Q35" s="4"/>
      <c r="R35" s="4"/>
      <c r="S35" s="4"/>
      <c r="T35" s="4"/>
      <c r="U35" s="4"/>
      <c r="V35" s="4"/>
      <c r="W35" s="4"/>
      <c r="X35" s="4"/>
      <c r="Y35" s="4"/>
      <c r="Z35" s="4"/>
    </row>
    <row r="36" customFormat="false" ht="53.25" hidden="false" customHeight="true" outlineLevel="0" collapsed="false">
      <c r="A36" s="157" t="s">
        <v>586</v>
      </c>
      <c r="B36" s="128" t="s">
        <v>1876</v>
      </c>
      <c r="C36" s="158" t="s">
        <v>1882</v>
      </c>
      <c r="D36" s="159" t="s">
        <v>1883</v>
      </c>
      <c r="E36" s="44" t="s">
        <v>276</v>
      </c>
      <c r="F36" s="33" t="s">
        <v>220</v>
      </c>
      <c r="G36" s="160" t="str">
        <f aca="false">C36</f>
        <v>Đang trong thời hạn xử lý cho phép, chưa cần thúc.</v>
      </c>
      <c r="H36" s="4"/>
      <c r="I36" s="4"/>
      <c r="J36" s="4"/>
      <c r="K36" s="4"/>
      <c r="L36" s="4"/>
      <c r="M36" s="4"/>
      <c r="N36" s="4"/>
      <c r="O36" s="4"/>
      <c r="P36" s="4"/>
      <c r="Q36" s="4"/>
      <c r="R36" s="4"/>
      <c r="S36" s="4"/>
      <c r="T36" s="4"/>
      <c r="U36" s="4"/>
      <c r="V36" s="4"/>
      <c r="W36" s="4"/>
      <c r="X36" s="4"/>
      <c r="Y36" s="4"/>
      <c r="Z36" s="4"/>
    </row>
    <row r="37" customFormat="false" ht="53.25" hidden="false" customHeight="true" outlineLevel="0" collapsed="false">
      <c r="A37" s="157" t="s">
        <v>571</v>
      </c>
      <c r="B37" s="128" t="s">
        <v>1876</v>
      </c>
      <c r="C37" s="158" t="s">
        <v>1884</v>
      </c>
      <c r="D37" s="159" t="s">
        <v>1885</v>
      </c>
      <c r="E37" s="44" t="s">
        <v>276</v>
      </c>
      <c r="F37" s="34" t="str">
        <f aca="false">HYPERLINK("#'DL08. Xếp lớp &amp; Nhập học'!A"&amp;MATCH("slaClassInfoZalo_hours",'CH2. Tham số &amp; Quy tắc'!$A:$A,0),"{1} = slaClassInfoZalo_hours")</f>
        <v>{1} = slaClassInfoZalo_hours</v>
      </c>
      <c r="G37" s="160" t="str">
        <f aca="false">SUBSTITUTE(C37,"{1}",(slaClassInfoZalo_hours&amp;""))</f>
        <v>Đã xếp lớp nhưng quá 24 giờ (cấu hình slaClassInfoZalo_hours) chưa gửi thông tin lớp. Việc cần làm: gửi thông tin lớp qua Zalo cho HV ngay.</v>
      </c>
      <c r="H37" s="4"/>
      <c r="I37" s="4"/>
      <c r="J37" s="4"/>
      <c r="K37" s="4"/>
      <c r="L37" s="4"/>
      <c r="M37" s="4"/>
      <c r="N37" s="4"/>
      <c r="O37" s="4"/>
      <c r="P37" s="4"/>
      <c r="Q37" s="4"/>
      <c r="R37" s="4"/>
      <c r="S37" s="4"/>
      <c r="T37" s="4"/>
      <c r="U37" s="4"/>
      <c r="V37" s="4"/>
      <c r="W37" s="4"/>
      <c r="X37" s="4"/>
      <c r="Y37" s="4"/>
      <c r="Z37" s="4"/>
    </row>
    <row r="38" customFormat="false" ht="53.25" hidden="false" customHeight="true" outlineLevel="0" collapsed="false">
      <c r="A38" s="157" t="s">
        <v>574</v>
      </c>
      <c r="B38" s="128" t="s">
        <v>1876</v>
      </c>
      <c r="C38" s="158" t="s">
        <v>1886</v>
      </c>
      <c r="D38" s="159" t="s">
        <v>572</v>
      </c>
      <c r="E38" s="44" t="s">
        <v>276</v>
      </c>
      <c r="F38" s="34" t="str">
        <f aca="false">HYPERLINK("#'DL08. Xếp lớp &amp; Nhập học'!A"&amp;MATCH("slaPLR48_hours",'CH2. Tham số &amp; Quy tắc'!$A:$A,0),"{1} = slaPLR48_hours")</f>
        <v>{1} = slaPLR48_hours</v>
      </c>
      <c r="G38" s="160" t="str">
        <f aca="false">SUBSTITUTE(C38,"{1}",(slaPLR48_hours&amp;""))</f>
        <v>Đăng ký đã xác nhận nhưng quá 48 giờ (cấu hình slaPLR48_hours) chưa xếp lớp. Việc cần làm: xếp lớp ngay.</v>
      </c>
      <c r="H38" s="4"/>
      <c r="I38" s="4"/>
      <c r="J38" s="4"/>
      <c r="K38" s="4"/>
      <c r="L38" s="4"/>
      <c r="M38" s="4"/>
      <c r="N38" s="4"/>
      <c r="O38" s="4"/>
      <c r="P38" s="4"/>
      <c r="Q38" s="4"/>
      <c r="R38" s="4"/>
      <c r="S38" s="4"/>
      <c r="T38" s="4"/>
      <c r="U38" s="4"/>
      <c r="V38" s="4"/>
      <c r="W38" s="4"/>
      <c r="X38" s="4"/>
      <c r="Y38" s="4"/>
      <c r="Z38" s="4"/>
    </row>
    <row r="39" customFormat="false" ht="53.25" hidden="false" customHeight="true" outlineLevel="0" collapsed="false">
      <c r="A39" s="157" t="s">
        <v>589</v>
      </c>
      <c r="B39" s="128" t="s">
        <v>1876</v>
      </c>
      <c r="C39" s="158" t="s">
        <v>1887</v>
      </c>
      <c r="D39" s="159" t="s">
        <v>1888</v>
      </c>
      <c r="E39" s="44" t="s">
        <v>276</v>
      </c>
      <c r="F39" s="33" t="s">
        <v>220</v>
      </c>
      <c r="G39" s="160" t="str">
        <f aca="false">C39</f>
        <v>Hoàn tất - set student.status = active (DL09)</v>
      </c>
      <c r="H39" s="4"/>
      <c r="I39" s="4"/>
      <c r="J39" s="4"/>
      <c r="K39" s="4"/>
      <c r="L39" s="4"/>
      <c r="M39" s="4"/>
      <c r="N39" s="4"/>
      <c r="O39" s="4"/>
      <c r="P39" s="4"/>
      <c r="Q39" s="4"/>
      <c r="R39" s="4"/>
      <c r="S39" s="4"/>
      <c r="T39" s="4"/>
      <c r="U39" s="4"/>
      <c r="V39" s="4"/>
      <c r="W39" s="4"/>
      <c r="X39" s="4"/>
      <c r="Y39" s="4"/>
      <c r="Z39" s="4"/>
    </row>
    <row r="40" customFormat="false" ht="53.25" hidden="false" customHeight="true" outlineLevel="0" collapsed="false">
      <c r="A40" s="157" t="s">
        <v>592</v>
      </c>
      <c r="B40" s="128" t="s">
        <v>1876</v>
      </c>
      <c r="C40" s="158" t="s">
        <v>1889</v>
      </c>
      <c r="D40" s="159" t="s">
        <v>1890</v>
      </c>
      <c r="E40" s="44" t="s">
        <v>276</v>
      </c>
      <c r="F40" s="33" t="s">
        <v>220</v>
      </c>
      <c r="G40" s="160" t="str">
        <f aca="false">C40</f>
        <v>Gửi: lịch học + giáo trình + nội quy + LMS guide, rồi set onboarding_status = completed</v>
      </c>
      <c r="H40" s="4"/>
      <c r="I40" s="4"/>
      <c r="J40" s="4"/>
      <c r="K40" s="4"/>
      <c r="L40" s="4"/>
      <c r="M40" s="4"/>
      <c r="N40" s="4"/>
      <c r="O40" s="4"/>
      <c r="P40" s="4"/>
      <c r="Q40" s="4"/>
      <c r="R40" s="4"/>
      <c r="S40" s="4"/>
      <c r="T40" s="4"/>
      <c r="U40" s="4"/>
      <c r="V40" s="4"/>
      <c r="W40" s="4"/>
      <c r="X40" s="4"/>
      <c r="Y40" s="4"/>
      <c r="Z40" s="4"/>
    </row>
    <row r="41" customFormat="false" ht="53.25" hidden="false" customHeight="true" outlineLevel="0" collapsed="false">
      <c r="A41" s="157" t="s">
        <v>602</v>
      </c>
      <c r="B41" s="128" t="s">
        <v>1891</v>
      </c>
      <c r="C41" s="158" t="s">
        <v>1892</v>
      </c>
      <c r="D41" s="159" t="s">
        <v>1893</v>
      </c>
      <c r="E41" s="44" t="s">
        <v>1894</v>
      </c>
      <c r="F41" s="33" t="s">
        <v>220</v>
      </c>
      <c r="G41" s="160" t="str">
        <f aca="false">C41</f>
        <v>HV vừa yếu chuyên cần vừa yếu học thuật (mức nguy hiểm). Việc cần làm: họp 4 bên gấp và đặt buổi WOW kèm học thuật.</v>
      </c>
      <c r="H41" s="4"/>
      <c r="I41" s="4"/>
      <c r="J41" s="4"/>
      <c r="K41" s="4"/>
      <c r="L41" s="4"/>
      <c r="M41" s="4"/>
      <c r="N41" s="4"/>
      <c r="O41" s="4"/>
      <c r="P41" s="4"/>
      <c r="Q41" s="4"/>
      <c r="R41" s="4"/>
      <c r="S41" s="4"/>
      <c r="T41" s="4"/>
      <c r="U41" s="4"/>
      <c r="V41" s="4"/>
      <c r="W41" s="4"/>
      <c r="X41" s="4"/>
      <c r="Y41" s="4"/>
      <c r="Z41" s="4"/>
    </row>
    <row r="42" customFormat="false" ht="53.25" hidden="false" customHeight="true" outlineLevel="0" collapsed="false">
      <c r="A42" s="157" t="s">
        <v>605</v>
      </c>
      <c r="B42" s="128" t="s">
        <v>1891</v>
      </c>
      <c r="C42" s="158" t="s">
        <v>1895</v>
      </c>
      <c r="D42" s="159" t="s">
        <v>1896</v>
      </c>
      <c r="E42" s="44" t="s">
        <v>276</v>
      </c>
      <c r="F42" s="33" t="s">
        <v>220</v>
      </c>
      <c r="G42" s="160" t="str">
        <f aca="false">C42</f>
        <v>Tiến độ học thuật của HV rớt khỏi lộ trình. Việc cần làm: họp 3 bên gấp (trong 24 giờ) và đặt buổi WOW.</v>
      </c>
      <c r="H42" s="4"/>
      <c r="I42" s="4"/>
      <c r="J42" s="4"/>
      <c r="K42" s="4"/>
      <c r="L42" s="4"/>
      <c r="M42" s="4"/>
      <c r="N42" s="4"/>
      <c r="O42" s="4"/>
      <c r="P42" s="4"/>
      <c r="Q42" s="4"/>
      <c r="R42" s="4"/>
      <c r="S42" s="4"/>
      <c r="T42" s="4"/>
      <c r="U42" s="4"/>
      <c r="V42" s="4"/>
      <c r="W42" s="4"/>
      <c r="X42" s="4"/>
      <c r="Y42" s="4"/>
      <c r="Z42" s="4"/>
    </row>
    <row r="43" customFormat="false" ht="53.25" hidden="false" customHeight="true" outlineLevel="0" collapsed="false">
      <c r="A43" s="157" t="s">
        <v>608</v>
      </c>
      <c r="B43" s="128" t="s">
        <v>1891</v>
      </c>
      <c r="C43" s="158" t="s">
        <v>1897</v>
      </c>
      <c r="D43" s="159" t="s">
        <v>1898</v>
      </c>
      <c r="E43" s="44" t="s">
        <v>276</v>
      </c>
      <c r="F43" s="33" t="s">
        <v>220</v>
      </c>
      <c r="G43" s="160" t="str">
        <f aca="false">C43</f>
        <v>Chuyên cần của HV sa sút nặng. Việc cần làm: họp 3 bên gấp (trong 24 giờ).</v>
      </c>
      <c r="H43" s="4"/>
      <c r="I43" s="4"/>
      <c r="J43" s="4"/>
      <c r="K43" s="4"/>
      <c r="L43" s="4"/>
      <c r="M43" s="4"/>
      <c r="N43" s="4"/>
      <c r="O43" s="4"/>
      <c r="P43" s="4"/>
      <c r="Q43" s="4"/>
      <c r="R43" s="4"/>
      <c r="S43" s="4"/>
      <c r="T43" s="4"/>
      <c r="U43" s="4"/>
      <c r="V43" s="4"/>
      <c r="W43" s="4"/>
      <c r="X43" s="4"/>
      <c r="Y43" s="4"/>
      <c r="Z43" s="4"/>
    </row>
    <row r="44" customFormat="false" ht="53.25" hidden="false" customHeight="true" outlineLevel="0" collapsed="false">
      <c r="A44" s="157" t="s">
        <v>614</v>
      </c>
      <c r="B44" s="128" t="s">
        <v>1891</v>
      </c>
      <c r="C44" s="158" t="s">
        <v>1899</v>
      </c>
      <c r="D44" s="159" t="s">
        <v>1900</v>
      </c>
      <c r="E44" s="44" t="s">
        <v>276</v>
      </c>
      <c r="F44" s="33" t="s">
        <v>220</v>
      </c>
      <c r="G44" s="160" t="str">
        <f aca="false">C44</f>
        <v>Chuyên cần có dấu hiệu rủi ro. Việc cần làm: can thiệp, liên hệ HV trong 24-48 giờ.</v>
      </c>
      <c r="H44" s="4"/>
      <c r="I44" s="4"/>
      <c r="J44" s="4"/>
      <c r="K44" s="4"/>
      <c r="L44" s="4"/>
      <c r="M44" s="4"/>
      <c r="N44" s="4"/>
      <c r="O44" s="4"/>
      <c r="P44" s="4"/>
      <c r="Q44" s="4"/>
      <c r="R44" s="4"/>
      <c r="S44" s="4"/>
      <c r="T44" s="4"/>
      <c r="U44" s="4"/>
      <c r="V44" s="4"/>
      <c r="W44" s="4"/>
      <c r="X44" s="4"/>
      <c r="Y44" s="4"/>
      <c r="Z44" s="4"/>
    </row>
    <row r="45" customFormat="false" ht="53.25" hidden="false" customHeight="true" outlineLevel="0" collapsed="false">
      <c r="A45" s="157" t="s">
        <v>619</v>
      </c>
      <c r="B45" s="128" t="s">
        <v>1891</v>
      </c>
      <c r="C45" s="158" t="s">
        <v>1901</v>
      </c>
      <c r="D45" s="159" t="s">
        <v>1902</v>
      </c>
      <c r="E45" s="44" t="s">
        <v>220</v>
      </c>
      <c r="F45" s="33" t="s">
        <v>220</v>
      </c>
      <c r="G45" s="160" t="str">
        <f aca="false">C45</f>
        <v>HV đang học đều và ổn định. Không cần làm gì thêm.</v>
      </c>
      <c r="H45" s="4"/>
      <c r="I45" s="4"/>
      <c r="J45" s="4"/>
      <c r="K45" s="4"/>
      <c r="L45" s="4"/>
      <c r="M45" s="4"/>
      <c r="N45" s="4"/>
      <c r="O45" s="4"/>
      <c r="P45" s="4"/>
      <c r="Q45" s="4"/>
      <c r="R45" s="4"/>
      <c r="S45" s="4"/>
      <c r="T45" s="4"/>
      <c r="U45" s="4"/>
      <c r="V45" s="4"/>
      <c r="W45" s="4"/>
      <c r="X45" s="4"/>
      <c r="Y45" s="4"/>
      <c r="Z45" s="4"/>
    </row>
    <row r="46" customFormat="false" ht="53.25" hidden="false" customHeight="true" outlineLevel="0" collapsed="false">
      <c r="A46" s="157" t="s">
        <v>596</v>
      </c>
      <c r="B46" s="128" t="s">
        <v>1891</v>
      </c>
      <c r="C46" s="158" t="s">
        <v>1903</v>
      </c>
      <c r="D46" s="159" t="s">
        <v>594</v>
      </c>
      <c r="E46" s="44" t="s">
        <v>276</v>
      </c>
      <c r="F46" s="34" t="str">
        <f aca="false">HYPERLINK("#'DL09. Học viên'!A"&amp;MATCH("thresholdAtRisk_absences",'CH2. Tham số &amp; Quy tắc'!$A:$A,0),"{1} = thresholdAtRisk_absences")</f>
        <v>{1} = thresholdAtRisk_absences</v>
      </c>
      <c r="G46" s="160" t="str">
        <f aca="false">SUBSTITUTE(C46,"{1}",(thresholdAtRisk_absences&amp;""))</f>
        <v>HV vắng không phép từ 2 buổi trở lên (cấu hình thresholdAtRisk_absences). Việc cần làm: đánh dấu nguy cơ chuyên cần, học vụ liên hệ HV ngay.</v>
      </c>
      <c r="H46" s="4"/>
      <c r="I46" s="4"/>
      <c r="J46" s="4"/>
      <c r="K46" s="4"/>
      <c r="L46" s="4"/>
      <c r="M46" s="4"/>
      <c r="N46" s="4"/>
      <c r="O46" s="4"/>
      <c r="P46" s="4"/>
      <c r="Q46" s="4"/>
      <c r="R46" s="4"/>
      <c r="S46" s="4"/>
      <c r="T46" s="4"/>
      <c r="U46" s="4"/>
      <c r="V46" s="4"/>
      <c r="W46" s="4"/>
      <c r="X46" s="4"/>
      <c r="Y46" s="4"/>
      <c r="Z46" s="4"/>
    </row>
    <row r="47" customFormat="false" ht="53.25" hidden="false" customHeight="true" outlineLevel="0" collapsed="false">
      <c r="A47" s="157" t="s">
        <v>599</v>
      </c>
      <c r="B47" s="128" t="s">
        <v>1891</v>
      </c>
      <c r="C47" s="158" t="s">
        <v>1904</v>
      </c>
      <c r="D47" s="159" t="s">
        <v>597</v>
      </c>
      <c r="E47" s="44" t="s">
        <v>276</v>
      </c>
      <c r="F47" s="34" t="str">
        <f aca="false">HYPERLINK("#'DL09. Học viên'!A"&amp;MATCH("thresholdAtRisk_hw_missing",'CH2. Tham số &amp; Quy tắc'!$A:$A,0),"{1} = thresholdAtRisk_hw_missing")</f>
        <v>{1} = thresholdAtRisk_hw_missing</v>
      </c>
      <c r="G47" s="160" t="str">
        <f aca="false">SUBSTITUTE(C47,"{1}",(thresholdAtRisk_hw_missing&amp;""))</f>
        <v>HV thiếu bài tập từ 3 lần trở lên (cấu hình thresholdAtRisk_hw_missing). Việc cần làm: đánh dấu nguy cơ học thuật, can thiệp ngay.</v>
      </c>
      <c r="H47" s="4"/>
      <c r="I47" s="4"/>
      <c r="J47" s="4"/>
      <c r="K47" s="4"/>
      <c r="L47" s="4"/>
      <c r="M47" s="4"/>
      <c r="N47" s="4"/>
      <c r="O47" s="4"/>
      <c r="P47" s="4"/>
      <c r="Q47" s="4"/>
      <c r="R47" s="4"/>
      <c r="S47" s="4"/>
      <c r="T47" s="4"/>
      <c r="U47" s="4"/>
      <c r="V47" s="4"/>
      <c r="W47" s="4"/>
      <c r="X47" s="4"/>
      <c r="Y47" s="4"/>
      <c r="Z47" s="4"/>
    </row>
    <row r="48" customFormat="false" ht="53.25" hidden="false" customHeight="true" outlineLevel="0" collapsed="false">
      <c r="A48" s="157" t="s">
        <v>611</v>
      </c>
      <c r="B48" s="128" t="s">
        <v>1891</v>
      </c>
      <c r="C48" s="158" t="s">
        <v>1905</v>
      </c>
      <c r="D48" s="159" t="s">
        <v>1906</v>
      </c>
      <c r="E48" s="44" t="s">
        <v>276</v>
      </c>
      <c r="F48" s="33" t="s">
        <v>220</v>
      </c>
      <c r="G48" s="160" t="str">
        <f aca="false">C48</f>
        <v>Học thuật của HV có dấu hiệu rủi ro (at-risk). Việc cần làm: học vụ đặt buổi WOW kèm học thuật (academic_support, theo SOP P7).</v>
      </c>
      <c r="H48" s="4"/>
      <c r="I48" s="4"/>
      <c r="J48" s="4"/>
      <c r="K48" s="4"/>
      <c r="L48" s="4"/>
      <c r="M48" s="4"/>
      <c r="N48" s="4"/>
      <c r="O48" s="4"/>
      <c r="P48" s="4"/>
      <c r="Q48" s="4"/>
      <c r="R48" s="4"/>
      <c r="S48" s="4"/>
      <c r="T48" s="4"/>
      <c r="U48" s="4"/>
      <c r="V48" s="4"/>
      <c r="W48" s="4"/>
      <c r="X48" s="4"/>
      <c r="Y48" s="4"/>
      <c r="Z48" s="4"/>
    </row>
    <row r="49" customFormat="false" ht="53.25" hidden="false" customHeight="true" outlineLevel="0" collapsed="false">
      <c r="A49" s="157" t="s">
        <v>617</v>
      </c>
      <c r="B49" s="128" t="s">
        <v>1891</v>
      </c>
      <c r="C49" s="158" t="s">
        <v>1907</v>
      </c>
      <c r="D49" s="159" t="s">
        <v>1908</v>
      </c>
      <c r="E49" s="44" t="s">
        <v>276</v>
      </c>
      <c r="F49" s="34" t="str">
        <f aca="false">HYPERLINK("#'DL09. Học viên'!A"&amp;MATCH("slaActivity_inactive_days",'CH2. Tham số &amp; Quy tắc'!$A:$A,0),"{1} = slaActivity_inactive_days")</f>
        <v>{1} = slaActivity_inactive_days</v>
      </c>
      <c r="G49" s="160" t="str">
        <f aca="false">SUBSTITUTE(C49,"{1}",(slaActivity_inactive_days&amp;""))</f>
        <v>HV không có hoạt động học quá 7 ngày (cấu hình slaActivity_inactive_days). Việc cần làm: liên hệ kiểm tra tình hình HV ngay.</v>
      </c>
      <c r="H49" s="4"/>
      <c r="I49" s="4"/>
      <c r="J49" s="4"/>
      <c r="K49" s="4"/>
      <c r="L49" s="4"/>
      <c r="M49" s="4"/>
      <c r="N49" s="4"/>
      <c r="O49" s="4"/>
      <c r="P49" s="4"/>
      <c r="Q49" s="4"/>
      <c r="R49" s="4"/>
      <c r="S49" s="4"/>
      <c r="T49" s="4"/>
      <c r="U49" s="4"/>
      <c r="V49" s="4"/>
      <c r="W49" s="4"/>
      <c r="X49" s="4"/>
      <c r="Y49" s="4"/>
      <c r="Z49" s="4"/>
    </row>
    <row r="50" customFormat="false" ht="53.25" hidden="false" customHeight="true" outlineLevel="0" collapsed="false">
      <c r="A50" s="157" t="s">
        <v>626</v>
      </c>
      <c r="B50" s="128" t="s">
        <v>1909</v>
      </c>
      <c r="C50" s="158" t="s">
        <v>1910</v>
      </c>
      <c r="D50" s="159" t="s">
        <v>1911</v>
      </c>
      <c r="E50" s="44" t="s">
        <v>1912</v>
      </c>
      <c r="F50" s="33" t="s">
        <v>220</v>
      </c>
      <c r="G50" s="160" t="str">
        <f aca="false">C50</f>
        <v>Buổi học sắp tới. Việc cần làm: chuẩn bị giáo án trước buổi.</v>
      </c>
      <c r="H50" s="4"/>
      <c r="I50" s="4"/>
      <c r="J50" s="4"/>
      <c r="K50" s="4"/>
      <c r="L50" s="4"/>
      <c r="M50" s="4"/>
      <c r="N50" s="4"/>
      <c r="O50" s="4"/>
      <c r="P50" s="4"/>
      <c r="Q50" s="4"/>
      <c r="R50" s="4"/>
      <c r="S50" s="4"/>
      <c r="T50" s="4"/>
      <c r="U50" s="4"/>
      <c r="V50" s="4"/>
      <c r="W50" s="4"/>
      <c r="X50" s="4"/>
      <c r="Y50" s="4"/>
      <c r="Z50" s="4"/>
    </row>
    <row r="51" customFormat="false" ht="53.25" hidden="false" customHeight="true" outlineLevel="0" collapsed="false">
      <c r="A51" s="157" t="s">
        <v>629</v>
      </c>
      <c r="B51" s="128" t="s">
        <v>1909</v>
      </c>
      <c r="C51" s="158" t="s">
        <v>1913</v>
      </c>
      <c r="D51" s="159" t="s">
        <v>1914</v>
      </c>
      <c r="E51" s="44" t="s">
        <v>1912</v>
      </c>
      <c r="F51" s="33" t="s">
        <v>220</v>
      </c>
      <c r="G51" s="160" t="str">
        <f aca="false">C51</f>
        <v>Buổi đang diễn ra. Sau buổi nhớ điểm danh và ghi nhận xét (teacher_note).</v>
      </c>
      <c r="H51" s="4"/>
      <c r="I51" s="4"/>
      <c r="J51" s="4"/>
      <c r="K51" s="4"/>
      <c r="L51" s="4"/>
      <c r="M51" s="4"/>
      <c r="N51" s="4"/>
      <c r="O51" s="4"/>
      <c r="P51" s="4"/>
      <c r="Q51" s="4"/>
      <c r="R51" s="4"/>
      <c r="S51" s="4"/>
      <c r="T51" s="4"/>
      <c r="U51" s="4"/>
      <c r="V51" s="4"/>
      <c r="W51" s="4"/>
      <c r="X51" s="4"/>
      <c r="Y51" s="4"/>
      <c r="Z51" s="4"/>
    </row>
    <row r="52" customFormat="false" ht="53.25" hidden="false" customHeight="true" outlineLevel="0" collapsed="false">
      <c r="A52" s="157" t="s">
        <v>632</v>
      </c>
      <c r="B52" s="128" t="s">
        <v>1909</v>
      </c>
      <c r="C52" s="158" t="s">
        <v>1915</v>
      </c>
      <c r="D52" s="159" t="str">
        <f aca="false">"Buổi học đã xong hơn "&amp;slaTeacherNote_hours&amp;" giờ mà giáo viên chưa ghi nhận xét."</f>
        <v>Buổi học đã xong hơn 48 giờ mà giáo viên chưa ghi nhận xét.</v>
      </c>
      <c r="E52" s="44" t="s">
        <v>1912</v>
      </c>
      <c r="F52" s="34" t="str">
        <f aca="false">HYPERLINK("#'DL11. Buổi học'!A"&amp;MATCH("slaTeacherNote_hours",'CH2. Tham số &amp; Quy tắc'!$A:$A,0),"{1} = slaTeacherNote_hours")</f>
        <v>{1} = slaTeacherNote_hours</v>
      </c>
      <c r="G52" s="160" t="str">
        <f aca="false">SUBSTITUTE(C52,"{1}",(slaTeacherNote_hours&amp;""))</f>
        <v>Buổi đã xong nhưng quá 48 giờ (cấu hình slaTeacherNote_hours) chưa ghi nhận xét. Việc cần làm: ghi teacher_note ngay.</v>
      </c>
      <c r="H52" s="4"/>
      <c r="I52" s="4"/>
      <c r="J52" s="4"/>
      <c r="K52" s="4"/>
      <c r="L52" s="4"/>
      <c r="M52" s="4"/>
      <c r="N52" s="4"/>
      <c r="O52" s="4"/>
      <c r="P52" s="4"/>
      <c r="Q52" s="4"/>
      <c r="R52" s="4"/>
      <c r="S52" s="4"/>
      <c r="T52" s="4"/>
      <c r="U52" s="4"/>
      <c r="V52" s="4"/>
      <c r="W52" s="4"/>
      <c r="X52" s="4"/>
      <c r="Y52" s="4"/>
      <c r="Z52" s="4"/>
    </row>
    <row r="53" customFormat="false" ht="53.25" hidden="false" customHeight="true" outlineLevel="0" collapsed="false">
      <c r="A53" s="157" t="s">
        <v>638</v>
      </c>
      <c r="B53" s="128" t="s">
        <v>1909</v>
      </c>
      <c r="C53" s="158" t="s">
        <v>1916</v>
      </c>
      <c r="D53" s="159" t="s">
        <v>1917</v>
      </c>
      <c r="E53" s="44" t="s">
        <v>1912</v>
      </c>
      <c r="F53" s="33" t="s">
        <v>220</v>
      </c>
      <c r="G53" s="160" t="str">
        <f aca="false">C53</f>
        <v>Đã hoàn tất. Không cần làm gì thêm ở bước này.</v>
      </c>
      <c r="H53" s="4"/>
      <c r="I53" s="4"/>
      <c r="J53" s="4"/>
      <c r="K53" s="4"/>
      <c r="L53" s="4"/>
      <c r="M53" s="4"/>
      <c r="N53" s="4"/>
      <c r="O53" s="4"/>
      <c r="P53" s="4"/>
      <c r="Q53" s="4"/>
      <c r="R53" s="4"/>
      <c r="S53" s="4"/>
      <c r="T53" s="4"/>
      <c r="U53" s="4"/>
      <c r="V53" s="4"/>
      <c r="W53" s="4"/>
      <c r="X53" s="4"/>
      <c r="Y53" s="4"/>
      <c r="Z53" s="4"/>
    </row>
    <row r="54" customFormat="false" ht="53.25" hidden="false" customHeight="true" outlineLevel="0" collapsed="false">
      <c r="A54" s="157" t="s">
        <v>641</v>
      </c>
      <c r="B54" s="128" t="s">
        <v>1909</v>
      </c>
      <c r="C54" s="158" t="s">
        <v>1918</v>
      </c>
      <c r="D54" s="159" t="s">
        <v>1919</v>
      </c>
      <c r="E54" s="44" t="s">
        <v>276</v>
      </c>
      <c r="F54" s="33" t="s">
        <v>220</v>
      </c>
      <c r="G54" s="160" t="str">
        <f aca="false">C54</f>
        <v>Buổi học bị hủy. Việc cần làm: lên lịch học bù.</v>
      </c>
      <c r="H54" s="4"/>
      <c r="I54" s="4"/>
      <c r="J54" s="4"/>
      <c r="K54" s="4"/>
      <c r="L54" s="4"/>
      <c r="M54" s="4"/>
      <c r="N54" s="4"/>
      <c r="O54" s="4"/>
      <c r="P54" s="4"/>
      <c r="Q54" s="4"/>
      <c r="R54" s="4"/>
      <c r="S54" s="4"/>
      <c r="T54" s="4"/>
      <c r="U54" s="4"/>
      <c r="V54" s="4"/>
      <c r="W54" s="4"/>
      <c r="X54" s="4"/>
      <c r="Y54" s="4"/>
      <c r="Z54" s="4"/>
    </row>
    <row r="55" customFormat="false" ht="53.25" hidden="false" customHeight="true" outlineLevel="0" collapsed="false">
      <c r="A55" s="157" t="s">
        <v>644</v>
      </c>
      <c r="B55" s="128" t="s">
        <v>1909</v>
      </c>
      <c r="C55" s="158" t="s">
        <v>1920</v>
      </c>
      <c r="D55" s="159" t="s">
        <v>1921</v>
      </c>
      <c r="E55" s="44" t="s">
        <v>276</v>
      </c>
      <c r="F55" s="33" t="s">
        <v>220</v>
      </c>
      <c r="G55" s="160" t="str">
        <f aca="false">C55</f>
        <v>Buổi học đã dời. Việc cần làm: cập nhật lại lịch.</v>
      </c>
      <c r="H55" s="4"/>
      <c r="I55" s="4"/>
      <c r="J55" s="4"/>
      <c r="K55" s="4"/>
      <c r="L55" s="4"/>
      <c r="M55" s="4"/>
      <c r="N55" s="4"/>
      <c r="O55" s="4"/>
      <c r="P55" s="4"/>
      <c r="Q55" s="4"/>
      <c r="R55" s="4"/>
      <c r="S55" s="4"/>
      <c r="T55" s="4"/>
      <c r="U55" s="4"/>
      <c r="V55" s="4"/>
      <c r="W55" s="4"/>
      <c r="X55" s="4"/>
      <c r="Y55" s="4"/>
      <c r="Z55" s="4"/>
    </row>
    <row r="56" customFormat="false" ht="53.25" hidden="false" customHeight="true" outlineLevel="0" collapsed="false">
      <c r="A56" s="157" t="s">
        <v>623</v>
      </c>
      <c r="B56" s="128" t="s">
        <v>1909</v>
      </c>
      <c r="C56" s="158" t="s">
        <v>1922</v>
      </c>
      <c r="D56" s="159" t="s">
        <v>621</v>
      </c>
      <c r="E56" s="44" t="s">
        <v>1923</v>
      </c>
      <c r="F56" s="34" t="str">
        <f aca="false">HYPERLINK("#'DL11. Buổi học'!A"&amp;MATCH("slaTeacherAttendance_minutes",'CH2. Tham số &amp; Quy tắc'!$A:$A,0),"{1} = slaTeacherAttendance_minutes")</f>
        <v>{1} = slaTeacherAttendance_minutes</v>
      </c>
      <c r="G56" s="160" t="str">
        <f aca="false">SUBSTITUTE(C56,"{1}",(slaTeacherAttendance_minutes&amp;""))</f>
        <v>Đã quá 30 phút sau giờ vào lớp (cấu hình slaTeacherAttendance_minutes) mà buổi chưa bắt đầu. Việc cần làm: kiểm tra giáo viên và điểm danh ngay.</v>
      </c>
      <c r="H56" s="4"/>
      <c r="I56" s="4"/>
      <c r="J56" s="4"/>
      <c r="K56" s="4"/>
      <c r="L56" s="4"/>
      <c r="M56" s="4"/>
      <c r="N56" s="4"/>
      <c r="O56" s="4"/>
      <c r="P56" s="4"/>
      <c r="Q56" s="4"/>
      <c r="R56" s="4"/>
      <c r="S56" s="4"/>
      <c r="T56" s="4"/>
      <c r="U56" s="4"/>
      <c r="V56" s="4"/>
      <c r="W56" s="4"/>
      <c r="X56" s="4"/>
      <c r="Y56" s="4"/>
      <c r="Z56" s="4"/>
    </row>
    <row r="57" customFormat="false" ht="53.25" hidden="false" customHeight="true" outlineLevel="0" collapsed="false">
      <c r="A57" s="157" t="s">
        <v>635</v>
      </c>
      <c r="B57" s="128" t="s">
        <v>1909</v>
      </c>
      <c r="C57" s="158" t="s">
        <v>1924</v>
      </c>
      <c r="D57" s="159" t="s">
        <v>1925</v>
      </c>
      <c r="E57" s="44" t="s">
        <v>1912</v>
      </c>
      <c r="F57" s="34" t="str">
        <f aca="false">HYPERLINK("#'DL11. Buổi học'!A"&amp;MATCH("slaTeacherNote_hours",'CH2. Tham số &amp; Quy tắc'!$A:$A,0),"{1} = slaTeacherNote_hours")</f>
        <v>{1} = slaTeacherNote_hours</v>
      </c>
      <c r="G57" s="160" t="str">
        <f aca="false">SUBSTITUTE(C57,"{1}",(slaTeacherNote_hours&amp;""))</f>
        <v>Buổi đã xong, cần ghi nhận xét (teacher_note) trong hạn 48 giờ (cấu hình slaTeacherNote_hours). Việc cần làm: ghi nhận xét buổi.</v>
      </c>
      <c r="H57" s="4"/>
      <c r="I57" s="4"/>
      <c r="J57" s="4"/>
      <c r="K57" s="4"/>
      <c r="L57" s="4"/>
      <c r="M57" s="4"/>
      <c r="N57" s="4"/>
      <c r="O57" s="4"/>
      <c r="P57" s="4"/>
      <c r="Q57" s="4"/>
      <c r="R57" s="4"/>
      <c r="S57" s="4"/>
      <c r="T57" s="4"/>
      <c r="U57" s="4"/>
      <c r="V57" s="4"/>
      <c r="W57" s="4"/>
      <c r="X57" s="4"/>
      <c r="Y57" s="4"/>
      <c r="Z57" s="4"/>
    </row>
    <row r="58" customFormat="false" ht="53.25" hidden="false" customHeight="true" outlineLevel="0" collapsed="false">
      <c r="A58" s="157" t="s">
        <v>651</v>
      </c>
      <c r="B58" s="128" t="s">
        <v>1926</v>
      </c>
      <c r="C58" s="158" t="s">
        <v>1927</v>
      </c>
      <c r="D58" s="159" t="s">
        <v>1928</v>
      </c>
      <c r="E58" s="44" t="s">
        <v>1929</v>
      </c>
      <c r="F58" s="33" t="s">
        <v>220</v>
      </c>
      <c r="G58" s="160" t="str">
        <f aca="false">C58</f>
        <v>HV vắng không phép. Việc cần làm: kiểm tra chuỗi buổi vắng và nhắc HV.</v>
      </c>
      <c r="H58" s="4"/>
      <c r="I58" s="4"/>
      <c r="J58" s="4"/>
      <c r="K58" s="4"/>
      <c r="L58" s="4"/>
      <c r="M58" s="4"/>
      <c r="N58" s="4"/>
      <c r="O58" s="4"/>
      <c r="P58" s="4"/>
      <c r="Q58" s="4"/>
      <c r="R58" s="4"/>
      <c r="S58" s="4"/>
      <c r="T58" s="4"/>
      <c r="U58" s="4"/>
      <c r="V58" s="4"/>
      <c r="W58" s="4"/>
      <c r="X58" s="4"/>
      <c r="Y58" s="4"/>
      <c r="Z58" s="4"/>
    </row>
    <row r="59" customFormat="false" ht="53.25" hidden="false" customHeight="true" outlineLevel="0" collapsed="false">
      <c r="A59" s="157" t="s">
        <v>654</v>
      </c>
      <c r="B59" s="128" t="s">
        <v>1926</v>
      </c>
      <c r="C59" s="158" t="s">
        <v>1930</v>
      </c>
      <c r="D59" s="159" t="s">
        <v>1931</v>
      </c>
      <c r="E59" s="44" t="s">
        <v>276</v>
      </c>
      <c r="F59" s="33" t="s">
        <v>220</v>
      </c>
      <c r="G59" s="160" t="str">
        <f aca="false">C59</f>
        <v>HV vắng có phép. Việc cần làm: đề xuất buổi WOW để học bù.</v>
      </c>
      <c r="H59" s="4"/>
      <c r="I59" s="4"/>
      <c r="J59" s="4"/>
      <c r="K59" s="4"/>
      <c r="L59" s="4"/>
      <c r="M59" s="4"/>
      <c r="N59" s="4"/>
      <c r="O59" s="4"/>
      <c r="P59" s="4"/>
      <c r="Q59" s="4"/>
      <c r="R59" s="4"/>
      <c r="S59" s="4"/>
      <c r="T59" s="4"/>
      <c r="U59" s="4"/>
      <c r="V59" s="4"/>
      <c r="W59" s="4"/>
      <c r="X59" s="4"/>
      <c r="Y59" s="4"/>
      <c r="Z59" s="4"/>
    </row>
    <row r="60" customFormat="false" ht="53.25" hidden="false" customHeight="true" outlineLevel="0" collapsed="false">
      <c r="A60" s="157" t="s">
        <v>657</v>
      </c>
      <c r="B60" s="128" t="s">
        <v>1926</v>
      </c>
      <c r="C60" s="158" t="s">
        <v>1932</v>
      </c>
      <c r="D60" s="159" t="s">
        <v>1933</v>
      </c>
      <c r="E60" s="44" t="s">
        <v>1912</v>
      </c>
      <c r="F60" s="33" t="s">
        <v>220</v>
      </c>
      <c r="G60" s="160" t="str">
        <f aca="false">C60</f>
        <v>HV đi học trễ. Việc cần làm: nhắc nhở HV đi đúng giờ.</v>
      </c>
      <c r="H60" s="4"/>
      <c r="I60" s="4"/>
      <c r="J60" s="4"/>
      <c r="K60" s="4"/>
      <c r="L60" s="4"/>
      <c r="M60" s="4"/>
      <c r="N60" s="4"/>
      <c r="O60" s="4"/>
      <c r="P60" s="4"/>
      <c r="Q60" s="4"/>
      <c r="R60" s="4"/>
      <c r="S60" s="4"/>
      <c r="T60" s="4"/>
      <c r="U60" s="4"/>
      <c r="V60" s="4"/>
      <c r="W60" s="4"/>
      <c r="X60" s="4"/>
      <c r="Y60" s="4"/>
      <c r="Z60" s="4"/>
    </row>
    <row r="61" customFormat="false" ht="53.25" hidden="false" customHeight="true" outlineLevel="0" collapsed="false">
      <c r="A61" s="157" t="s">
        <v>660</v>
      </c>
      <c r="B61" s="128" t="s">
        <v>1926</v>
      </c>
      <c r="C61" s="158" t="s">
        <v>1934</v>
      </c>
      <c r="D61" s="159" t="s">
        <v>1935</v>
      </c>
      <c r="E61" s="44" t="s">
        <v>220</v>
      </c>
      <c r="F61" s="33" t="s">
        <v>220</v>
      </c>
      <c r="G61" s="160" t="str">
        <f aca="false">C61</f>
        <v>HV đã điểm danh, đi học đúng giờ. Không cần làm gì thêm.</v>
      </c>
      <c r="H61" s="4"/>
      <c r="I61" s="4"/>
      <c r="J61" s="4"/>
      <c r="K61" s="4"/>
      <c r="L61" s="4"/>
      <c r="M61" s="4"/>
      <c r="N61" s="4"/>
      <c r="O61" s="4"/>
      <c r="P61" s="4"/>
      <c r="Q61" s="4"/>
      <c r="R61" s="4"/>
      <c r="S61" s="4"/>
      <c r="T61" s="4"/>
      <c r="U61" s="4"/>
      <c r="V61" s="4"/>
      <c r="W61" s="4"/>
      <c r="X61" s="4"/>
      <c r="Y61" s="4"/>
      <c r="Z61" s="4"/>
    </row>
    <row r="62" customFormat="false" ht="53.25" hidden="false" customHeight="true" outlineLevel="0" collapsed="false">
      <c r="A62" s="157" t="s">
        <v>648</v>
      </c>
      <c r="B62" s="128" t="s">
        <v>1926</v>
      </c>
      <c r="C62" s="158" t="s">
        <v>1936</v>
      </c>
      <c r="D62" s="159" t="s">
        <v>646</v>
      </c>
      <c r="E62" s="44" t="s">
        <v>276</v>
      </c>
      <c r="F62" s="34" t="str">
        <f aca="false">HYPERLINK("#'DL12. Điểm danh'!A"&amp;MATCH("slaAbsenceCall_hours",'CH2. Tham số &amp; Quy tắc'!$A:$A,0),"{1} = slaAbsenceCall_hours")</f>
        <v>{1} = slaAbsenceCall_hours</v>
      </c>
      <c r="G62" s="160" t="str">
        <f aca="false">SUBSTITUTE(C62,"{1}",(slaAbsenceCall_hours&amp;""))</f>
        <v>HV vắng không phép đã quá 24 giờ (cấu hình slaAbsenceCall_hours). Việc cần làm: GỌI HV/phụ huynh ngay.</v>
      </c>
      <c r="H62" s="4"/>
      <c r="I62" s="4"/>
      <c r="J62" s="4"/>
      <c r="K62" s="4"/>
      <c r="L62" s="4"/>
      <c r="M62" s="4"/>
      <c r="N62" s="4"/>
      <c r="O62" s="4"/>
      <c r="P62" s="4"/>
      <c r="Q62" s="4"/>
      <c r="R62" s="4"/>
      <c r="S62" s="4"/>
      <c r="T62" s="4"/>
      <c r="U62" s="4"/>
      <c r="V62" s="4"/>
      <c r="W62" s="4"/>
      <c r="X62" s="4"/>
      <c r="Y62" s="4"/>
      <c r="Z62" s="4"/>
    </row>
    <row r="63" customFormat="false" ht="53.25" hidden="false" customHeight="true" outlineLevel="0" collapsed="false">
      <c r="A63" s="157" t="s">
        <v>664</v>
      </c>
      <c r="B63" s="128" t="s">
        <v>1937</v>
      </c>
      <c r="C63" s="158" t="s">
        <v>1938</v>
      </c>
      <c r="D63" s="159" t="s">
        <v>1939</v>
      </c>
      <c r="E63" s="44" t="s">
        <v>1912</v>
      </c>
      <c r="F63" s="33" t="s">
        <v>220</v>
      </c>
      <c r="G63" s="160" t="str">
        <f aca="false">C63</f>
        <v>HV chưa nộp bài tập. Việc cần làm: kiểm tra chuỗi bài thiếu (có thể thành nguy cơ học thuật) và nhắc HV nộp.</v>
      </c>
      <c r="H63" s="4"/>
      <c r="I63" s="4"/>
      <c r="J63" s="4"/>
      <c r="K63" s="4"/>
      <c r="L63" s="4"/>
      <c r="M63" s="4"/>
      <c r="N63" s="4"/>
      <c r="O63" s="4"/>
      <c r="P63" s="4"/>
      <c r="Q63" s="4"/>
      <c r="R63" s="4"/>
      <c r="S63" s="4"/>
      <c r="T63" s="4"/>
      <c r="U63" s="4"/>
      <c r="V63" s="4"/>
      <c r="W63" s="4"/>
      <c r="X63" s="4"/>
      <c r="Y63" s="4"/>
      <c r="Z63" s="4"/>
    </row>
    <row r="64" customFormat="false" ht="53.25" hidden="false" customHeight="true" outlineLevel="0" collapsed="false">
      <c r="A64" s="157" t="s">
        <v>676</v>
      </c>
      <c r="B64" s="128" t="s">
        <v>1937</v>
      </c>
      <c r="C64" s="158" t="s">
        <v>1940</v>
      </c>
      <c r="D64" s="159" t="s">
        <v>1941</v>
      </c>
      <c r="E64" s="44" t="s">
        <v>1912</v>
      </c>
      <c r="F64" s="33" t="s">
        <v>220</v>
      </c>
      <c r="G64" s="160" t="str">
        <f aca="false">C64</f>
        <v>Đã chấm bài xong cho HV. Không cần làm gì thêm.</v>
      </c>
      <c r="H64" s="4"/>
      <c r="I64" s="4"/>
      <c r="J64" s="4"/>
      <c r="K64" s="4"/>
      <c r="L64" s="4"/>
      <c r="M64" s="4"/>
      <c r="N64" s="4"/>
      <c r="O64" s="4"/>
      <c r="P64" s="4"/>
      <c r="Q64" s="4"/>
      <c r="R64" s="4"/>
      <c r="S64" s="4"/>
      <c r="T64" s="4"/>
      <c r="U64" s="4"/>
      <c r="V64" s="4"/>
      <c r="W64" s="4"/>
      <c r="X64" s="4"/>
      <c r="Y64" s="4"/>
      <c r="Z64" s="4"/>
    </row>
    <row r="65" customFormat="false" ht="53.25" hidden="false" customHeight="true" outlineLevel="0" collapsed="false">
      <c r="A65" s="157" t="s">
        <v>667</v>
      </c>
      <c r="B65" s="128" t="s">
        <v>1937</v>
      </c>
      <c r="C65" s="158" t="s">
        <v>1942</v>
      </c>
      <c r="D65" s="159" t="s">
        <v>665</v>
      </c>
      <c r="E65" s="44" t="s">
        <v>1912</v>
      </c>
      <c r="F65" s="34" t="str">
        <f aca="false">HYPERLINK("#'DL13. Bài tập'!A"&amp;MATCH("slaHomeworkGrading_hours",'CH2. Tham số &amp; Quy tắc'!$A:$A,0),"{1} = slaHomeworkGrading_hours")</f>
        <v>{1} = slaHomeworkGrading_hours</v>
      </c>
      <c r="G65" s="160" t="str">
        <f aca="false">SUBSTITUTE(C65,"{1}",(slaHomeworkGrading_hours&amp;""))</f>
        <v>HV đã nộp bài nhưng quá 48 giờ (cấu hình slaHomeworkGrading_hours) chưa chấm. Việc cần làm: chấm bài ngay.</v>
      </c>
      <c r="H65" s="4"/>
      <c r="I65" s="4"/>
      <c r="J65" s="4"/>
      <c r="K65" s="4"/>
      <c r="L65" s="4"/>
      <c r="M65" s="4"/>
      <c r="N65" s="4"/>
      <c r="O65" s="4"/>
      <c r="P65" s="4"/>
      <c r="Q65" s="4"/>
      <c r="R65" s="4"/>
      <c r="S65" s="4"/>
      <c r="T65" s="4"/>
      <c r="U65" s="4"/>
      <c r="V65" s="4"/>
      <c r="W65" s="4"/>
      <c r="X65" s="4"/>
      <c r="Y65" s="4"/>
      <c r="Z65" s="4"/>
    </row>
    <row r="66" customFormat="false" ht="53.25" hidden="false" customHeight="true" outlineLevel="0" collapsed="false">
      <c r="A66" s="157" t="s">
        <v>670</v>
      </c>
      <c r="B66" s="128" t="s">
        <v>1937</v>
      </c>
      <c r="C66" s="158" t="s">
        <v>1943</v>
      </c>
      <c r="D66" s="159" t="s">
        <v>1944</v>
      </c>
      <c r="E66" s="44" t="s">
        <v>1912</v>
      </c>
      <c r="F66" s="34" t="str">
        <f aca="false">HYPERLINK("#'DL13. Bài tập'!A"&amp;MATCH("slaHomeworkGrading_hours",'CH2. Tham số &amp; Quy tắc'!$A:$A,0),"{1} = slaHomeworkGrading_hours")</f>
        <v>{1} = slaHomeworkGrading_hours</v>
      </c>
      <c r="G66" s="160" t="str">
        <f aca="false">SUBSTITUTE(C66,"{1}",(slaHomeworkGrading_hours&amp;""))</f>
        <v>HV đã nộp bài, còn trong hạn chấm 48 giờ (cấu hình slaHomeworkGrading_hours). Việc cần làm: chấm bài sớm.</v>
      </c>
      <c r="H66" s="4"/>
      <c r="I66" s="4"/>
      <c r="J66" s="4"/>
      <c r="K66" s="4"/>
      <c r="L66" s="4"/>
      <c r="M66" s="4"/>
      <c r="N66" s="4"/>
      <c r="O66" s="4"/>
      <c r="P66" s="4"/>
      <c r="Q66" s="4"/>
      <c r="R66" s="4"/>
      <c r="S66" s="4"/>
      <c r="T66" s="4"/>
      <c r="U66" s="4"/>
      <c r="V66" s="4"/>
      <c r="W66" s="4"/>
      <c r="X66" s="4"/>
      <c r="Y66" s="4"/>
      <c r="Z66" s="4"/>
    </row>
    <row r="67" customFormat="false" ht="53.25" hidden="false" customHeight="true" outlineLevel="0" collapsed="false">
      <c r="A67" s="157" t="s">
        <v>673</v>
      </c>
      <c r="B67" s="128" t="s">
        <v>1937</v>
      </c>
      <c r="C67" s="158" t="s">
        <v>1945</v>
      </c>
      <c r="D67" s="159" t="s">
        <v>671</v>
      </c>
      <c r="E67" s="44" t="s">
        <v>220</v>
      </c>
      <c r="F67" s="33" t="s">
        <v>220</v>
      </c>
      <c r="G67" s="160" t="str">
        <f aca="false">C67</f>
        <v>Đã giao bài, HV chưa tới hạn nộp. Chờ HV nộp bài.</v>
      </c>
      <c r="H67" s="4"/>
      <c r="I67" s="4"/>
      <c r="J67" s="4"/>
      <c r="K67" s="4"/>
      <c r="L67" s="4"/>
      <c r="M67" s="4"/>
      <c r="N67" s="4"/>
      <c r="O67" s="4"/>
      <c r="P67" s="4"/>
      <c r="Q67" s="4"/>
      <c r="R67" s="4"/>
      <c r="S67" s="4"/>
      <c r="T67" s="4"/>
      <c r="U67" s="4"/>
      <c r="V67" s="4"/>
      <c r="W67" s="4"/>
      <c r="X67" s="4"/>
      <c r="Y67" s="4"/>
      <c r="Z67" s="4"/>
    </row>
    <row r="68" customFormat="false" ht="53.25" hidden="false" customHeight="true" outlineLevel="0" collapsed="false">
      <c r="A68" s="157" t="s">
        <v>683</v>
      </c>
      <c r="B68" s="128" t="s">
        <v>1946</v>
      </c>
      <c r="C68" s="158" t="s">
        <v>1947</v>
      </c>
      <c r="D68" s="159" t="s">
        <v>1948</v>
      </c>
      <c r="E68" s="44" t="s">
        <v>276</v>
      </c>
      <c r="F68" s="33" t="s">
        <v>220</v>
      </c>
      <c r="G68" s="160" t="str">
        <f aca="false">C68</f>
        <v>Buổi WOW vừa được đặt. Việc cần làm: học vụ xác nhận lịch với HV sớm.</v>
      </c>
      <c r="H68" s="4"/>
      <c r="I68" s="4"/>
      <c r="J68" s="4"/>
      <c r="K68" s="4"/>
      <c r="L68" s="4"/>
      <c r="M68" s="4"/>
      <c r="N68" s="4"/>
      <c r="O68" s="4"/>
      <c r="P68" s="4"/>
      <c r="Q68" s="4"/>
      <c r="R68" s="4"/>
      <c r="S68" s="4"/>
      <c r="T68" s="4"/>
      <c r="U68" s="4"/>
      <c r="V68" s="4"/>
      <c r="W68" s="4"/>
      <c r="X68" s="4"/>
      <c r="Y68" s="4"/>
      <c r="Z68" s="4"/>
    </row>
    <row r="69" customFormat="false" ht="53.25" hidden="false" customHeight="true" outlineLevel="0" collapsed="false">
      <c r="A69" s="157" t="s">
        <v>686</v>
      </c>
      <c r="B69" s="128" t="s">
        <v>1946</v>
      </c>
      <c r="C69" s="158" t="s">
        <v>1949</v>
      </c>
      <c r="D69" s="159" t="s">
        <v>1950</v>
      </c>
      <c r="E69" s="44" t="s">
        <v>96</v>
      </c>
      <c r="F69" s="33" t="s">
        <v>220</v>
      </c>
      <c r="G69" s="160" t="str">
        <f aca="false">C69</f>
        <v>Đã qua giờ hẹn buổi WOW. Việc cần làm: cập nhật trạng thái buổi (đã diễn ra hoặc HV vắng).</v>
      </c>
      <c r="H69" s="4"/>
      <c r="I69" s="4"/>
      <c r="J69" s="4"/>
      <c r="K69" s="4"/>
      <c r="L69" s="4"/>
      <c r="M69" s="4"/>
      <c r="N69" s="4"/>
      <c r="O69" s="4"/>
      <c r="P69" s="4"/>
      <c r="Q69" s="4"/>
      <c r="R69" s="4"/>
      <c r="S69" s="4"/>
      <c r="T69" s="4"/>
      <c r="U69" s="4"/>
      <c r="V69" s="4"/>
      <c r="W69" s="4"/>
      <c r="X69" s="4"/>
      <c r="Y69" s="4"/>
      <c r="Z69" s="4"/>
    </row>
    <row r="70" customFormat="false" ht="53.25" hidden="false" customHeight="true" outlineLevel="0" collapsed="false">
      <c r="A70" s="157" t="s">
        <v>689</v>
      </c>
      <c r="B70" s="128" t="s">
        <v>1946</v>
      </c>
      <c r="C70" s="158" t="s">
        <v>1951</v>
      </c>
      <c r="D70" s="159" t="s">
        <v>1952</v>
      </c>
      <c r="E70" s="44" t="s">
        <v>96</v>
      </c>
      <c r="F70" s="33" t="s">
        <v>220</v>
      </c>
      <c r="G70" s="160" t="str">
        <f aca="false">C70</f>
        <v>Buổi WOW sắp tới. Việc cần làm: chuẩn bị nội dung buổi.</v>
      </c>
      <c r="H70" s="4"/>
      <c r="I70" s="4"/>
      <c r="J70" s="4"/>
      <c r="K70" s="4"/>
      <c r="L70" s="4"/>
      <c r="M70" s="4"/>
      <c r="N70" s="4"/>
      <c r="O70" s="4"/>
      <c r="P70" s="4"/>
      <c r="Q70" s="4"/>
      <c r="R70" s="4"/>
      <c r="S70" s="4"/>
      <c r="T70" s="4"/>
      <c r="U70" s="4"/>
      <c r="V70" s="4"/>
      <c r="W70" s="4"/>
      <c r="X70" s="4"/>
      <c r="Y70" s="4"/>
      <c r="Z70" s="4"/>
    </row>
    <row r="71" customFormat="false" ht="53.25" hidden="false" customHeight="true" outlineLevel="0" collapsed="false">
      <c r="A71" s="157" t="s">
        <v>698</v>
      </c>
      <c r="B71" s="128" t="s">
        <v>1946</v>
      </c>
      <c r="C71" s="158" t="s">
        <v>1953</v>
      </c>
      <c r="D71" s="159" t="s">
        <v>1954</v>
      </c>
      <c r="E71" s="44" t="s">
        <v>96</v>
      </c>
      <c r="F71" s="33" t="s">
        <v>220</v>
      </c>
      <c r="G71" s="160" t="str">
        <f aca="false">C71</f>
        <v>Buổi WOW đã xong. Việc cần làm: đánh giá kết quả buổi (tiến bộ / không đổi / cần thêm).</v>
      </c>
      <c r="H71" s="4"/>
      <c r="I71" s="4"/>
      <c r="J71" s="4"/>
      <c r="K71" s="4"/>
      <c r="L71" s="4"/>
      <c r="M71" s="4"/>
      <c r="N71" s="4"/>
      <c r="O71" s="4"/>
      <c r="P71" s="4"/>
      <c r="Q71" s="4"/>
      <c r="R71" s="4"/>
      <c r="S71" s="4"/>
      <c r="T71" s="4"/>
      <c r="U71" s="4"/>
      <c r="V71" s="4"/>
      <c r="W71" s="4"/>
      <c r="X71" s="4"/>
      <c r="Y71" s="4"/>
      <c r="Z71" s="4"/>
    </row>
    <row r="72" customFormat="false" ht="53.25" hidden="false" customHeight="true" outlineLevel="0" collapsed="false">
      <c r="A72" s="157" t="s">
        <v>703</v>
      </c>
      <c r="B72" s="128" t="s">
        <v>1946</v>
      </c>
      <c r="C72" s="158" t="s">
        <v>1955</v>
      </c>
      <c r="D72" s="159" t="s">
        <v>1956</v>
      </c>
      <c r="E72" s="44" t="s">
        <v>96</v>
      </c>
      <c r="F72" s="33" t="s">
        <v>220</v>
      </c>
      <c r="G72" s="160" t="str">
        <f aca="false">C72</f>
        <v>HV vắng buổi WOW. Việc cần làm: trừ lượt WOW và ghi lý do.</v>
      </c>
      <c r="H72" s="4"/>
      <c r="I72" s="4"/>
      <c r="J72" s="4"/>
      <c r="K72" s="4"/>
      <c r="L72" s="4"/>
      <c r="M72" s="4"/>
      <c r="N72" s="4"/>
      <c r="O72" s="4"/>
      <c r="P72" s="4"/>
      <c r="Q72" s="4"/>
      <c r="R72" s="4"/>
      <c r="S72" s="4"/>
      <c r="T72" s="4"/>
      <c r="U72" s="4"/>
      <c r="V72" s="4"/>
      <c r="W72" s="4"/>
      <c r="X72" s="4"/>
      <c r="Y72" s="4"/>
      <c r="Z72" s="4"/>
    </row>
    <row r="73" customFormat="false" ht="53.25" hidden="false" customHeight="true" outlineLevel="0" collapsed="false">
      <c r="A73" s="157" t="s">
        <v>680</v>
      </c>
      <c r="B73" s="128" t="s">
        <v>1946</v>
      </c>
      <c r="C73" s="158" t="s">
        <v>1957</v>
      </c>
      <c r="D73" s="159" t="s">
        <v>1958</v>
      </c>
      <c r="E73" s="44" t="s">
        <v>1959</v>
      </c>
      <c r="F73" s="34" t="str">
        <f aca="false">HYPERLINK("#'DL14. Buổi WOW 1-1'!A"&amp;MATCH("slaWowQuotaCheck_hours",'CH2. Tham số &amp; Quy tắc'!$A:$A,0),"{1} = slaWowQuotaCheck_hours")</f>
        <v>{1} = slaWowQuotaCheck_hours</v>
      </c>
      <c r="G73" s="160" t="str">
        <f aca="false">SUBSTITUTE(C73,"{1}",(slaWowQuotaCheck_hours&amp;""))</f>
        <v>Buổi WOW đã xong nhưng quá 24 giờ (cấu hình slaWowQuotaCheck_hours) chưa trừ lượt. Việc cần làm: kiểm tra và trừ quota (quota_deducted) ngay.</v>
      </c>
      <c r="H73" s="4"/>
      <c r="I73" s="4"/>
      <c r="J73" s="4"/>
      <c r="K73" s="4"/>
      <c r="L73" s="4"/>
      <c r="M73" s="4"/>
      <c r="N73" s="4"/>
      <c r="O73" s="4"/>
      <c r="P73" s="4"/>
      <c r="Q73" s="4"/>
      <c r="R73" s="4"/>
      <c r="S73" s="4"/>
      <c r="T73" s="4"/>
      <c r="U73" s="4"/>
      <c r="V73" s="4"/>
      <c r="W73" s="4"/>
      <c r="X73" s="4"/>
      <c r="Y73" s="4"/>
      <c r="Z73" s="4"/>
    </row>
    <row r="74" customFormat="false" ht="53.25" hidden="false" customHeight="true" outlineLevel="0" collapsed="false">
      <c r="A74" s="157" t="s">
        <v>692</v>
      </c>
      <c r="B74" s="128" t="s">
        <v>1946</v>
      </c>
      <c r="C74" s="158" t="s">
        <v>1960</v>
      </c>
      <c r="D74" s="159" t="s">
        <v>1961</v>
      </c>
      <c r="E74" s="44" t="s">
        <v>276</v>
      </c>
      <c r="F74" s="34" t="str">
        <f aca="false">HYPERLINK("#'DL14. Buổi WOW 1-1'!A"&amp;MATCH("slaWowOutcomeRead_hours",'CH2. Tham số &amp; Quy tắc'!$A:$A,0),"{1} = slaWowOutcomeRead_hours")</f>
        <v>{1} = slaWowOutcomeRead_hours</v>
      </c>
      <c r="G74" s="160" t="str">
        <f aca="false">SUBSTITUTE(C74,"{1}",(slaWowOutcomeRead_hours&amp;""))</f>
        <v>Buổi WOW đã xong nhưng quá 24 giờ (cấu hình slaWowOutcomeRead_hours) chưa ghi kết quả. Việc cần làm: viết content_note ngay.</v>
      </c>
      <c r="H74" s="4"/>
      <c r="I74" s="4"/>
      <c r="J74" s="4"/>
      <c r="K74" s="4"/>
      <c r="L74" s="4"/>
      <c r="M74" s="4"/>
      <c r="N74" s="4"/>
      <c r="O74" s="4"/>
      <c r="P74" s="4"/>
      <c r="Q74" s="4"/>
      <c r="R74" s="4"/>
      <c r="S74" s="4"/>
      <c r="T74" s="4"/>
      <c r="U74" s="4"/>
      <c r="V74" s="4"/>
      <c r="W74" s="4"/>
      <c r="X74" s="4"/>
      <c r="Y74" s="4"/>
      <c r="Z74" s="4"/>
    </row>
    <row r="75" customFormat="false" ht="53.25" hidden="false" customHeight="true" outlineLevel="0" collapsed="false">
      <c r="A75" s="157" t="s">
        <v>695</v>
      </c>
      <c r="B75" s="128" t="s">
        <v>1946</v>
      </c>
      <c r="C75" s="158" t="s">
        <v>1962</v>
      </c>
      <c r="D75" s="159" t="s">
        <v>1963</v>
      </c>
      <c r="E75" s="44" t="s">
        <v>276</v>
      </c>
      <c r="F75" s="34" t="str">
        <f aca="false">HYPERLINK("#'DL14. Buổi WOW 1-1'!A"&amp;MATCH("slaWowOutcomeRead_hours",'CH2. Tham số &amp; Quy tắc'!$A:$A,0),"{1} = slaWowOutcomeRead_hours")</f>
        <v>{1} = slaWowOutcomeRead_hours</v>
      </c>
      <c r="G75" s="160" t="str">
        <f aca="false">SUBSTITUTE(C75,"{1}",(slaWowOutcomeRead_hours&amp;""))</f>
        <v>Buổi WOW đã xong, cần ghi kết quả (content_note) trong hạn 24 giờ (cấu hình slaWowOutcomeRead_hours). Việc cần làm: viết content_note.</v>
      </c>
      <c r="H75" s="4"/>
      <c r="I75" s="4"/>
      <c r="J75" s="4"/>
      <c r="K75" s="4"/>
      <c r="L75" s="4"/>
      <c r="M75" s="4"/>
      <c r="N75" s="4"/>
      <c r="O75" s="4"/>
      <c r="P75" s="4"/>
      <c r="Q75" s="4"/>
      <c r="R75" s="4"/>
      <c r="S75" s="4"/>
      <c r="T75" s="4"/>
      <c r="U75" s="4"/>
      <c r="V75" s="4"/>
      <c r="W75" s="4"/>
      <c r="X75" s="4"/>
      <c r="Y75" s="4"/>
      <c r="Z75" s="4"/>
    </row>
    <row r="76" customFormat="false" ht="53.25" hidden="false" customHeight="true" outlineLevel="0" collapsed="false">
      <c r="A76" s="157" t="s">
        <v>706</v>
      </c>
      <c r="B76" s="128" t="s">
        <v>1946</v>
      </c>
      <c r="C76" s="158" t="s">
        <v>1964</v>
      </c>
      <c r="D76" s="159" t="s">
        <v>704</v>
      </c>
      <c r="E76" s="44" t="s">
        <v>220</v>
      </c>
      <c r="F76" s="33" t="s">
        <v>220</v>
      </c>
      <c r="G76" s="160" t="str">
        <f aca="false">C76</f>
        <v>Buổi WOW đã hủy. Không cần làm gì thêm.</v>
      </c>
      <c r="H76" s="4"/>
      <c r="I76" s="4"/>
      <c r="J76" s="4"/>
      <c r="K76" s="4"/>
      <c r="L76" s="4"/>
      <c r="M76" s="4"/>
      <c r="N76" s="4"/>
      <c r="O76" s="4"/>
      <c r="P76" s="4"/>
      <c r="Q76" s="4"/>
      <c r="R76" s="4"/>
      <c r="S76" s="4"/>
      <c r="T76" s="4"/>
      <c r="U76" s="4"/>
      <c r="V76" s="4"/>
      <c r="W76" s="4"/>
      <c r="X76" s="4"/>
      <c r="Y76" s="4"/>
      <c r="Z76" s="4"/>
    </row>
    <row r="77" customFormat="false" ht="53.25" hidden="false" customHeight="true" outlineLevel="0" collapsed="false">
      <c r="A77" s="157" t="s">
        <v>713</v>
      </c>
      <c r="B77" s="128" t="s">
        <v>1965</v>
      </c>
      <c r="C77" s="158" t="s">
        <v>1966</v>
      </c>
      <c r="D77" s="159" t="s">
        <v>1967</v>
      </c>
      <c r="E77" s="44" t="s">
        <v>276</v>
      </c>
      <c r="F77" s="33" t="s">
        <v>220</v>
      </c>
      <c r="G77" s="160" t="str">
        <f aca="false">C77</f>
        <v>Đã gửi khảo sát nhưng HV chưa làm. Việc cần làm: nhắc HV làm khảo sát.</v>
      </c>
      <c r="H77" s="4"/>
      <c r="I77" s="4"/>
      <c r="J77" s="4"/>
      <c r="K77" s="4"/>
      <c r="L77" s="4"/>
      <c r="M77" s="4"/>
      <c r="N77" s="4"/>
      <c r="O77" s="4"/>
      <c r="P77" s="4"/>
      <c r="Q77" s="4"/>
      <c r="R77" s="4"/>
      <c r="S77" s="4"/>
      <c r="T77" s="4"/>
      <c r="U77" s="4"/>
      <c r="V77" s="4"/>
      <c r="W77" s="4"/>
      <c r="X77" s="4"/>
      <c r="Y77" s="4"/>
      <c r="Z77" s="4"/>
    </row>
    <row r="78" customFormat="false" ht="53.25" hidden="false" customHeight="true" outlineLevel="0" collapsed="false">
      <c r="A78" s="157" t="s">
        <v>719</v>
      </c>
      <c r="B78" s="128" t="s">
        <v>1965</v>
      </c>
      <c r="C78" s="158" t="s">
        <v>1968</v>
      </c>
      <c r="D78" s="159" t="s">
        <v>1969</v>
      </c>
      <c r="E78" s="44" t="s">
        <v>220</v>
      </c>
      <c r="F78" s="33" t="s">
        <v>220</v>
      </c>
      <c r="G78" s="160" t="str">
        <f aca="false">C78</f>
        <v>HV đã làm khảo sát. Không cần làm gì thêm.</v>
      </c>
      <c r="H78" s="4"/>
      <c r="I78" s="4"/>
      <c r="J78" s="4"/>
      <c r="K78" s="4"/>
      <c r="L78" s="4"/>
      <c r="M78" s="4"/>
      <c r="N78" s="4"/>
      <c r="O78" s="4"/>
      <c r="P78" s="4"/>
      <c r="Q78" s="4"/>
      <c r="R78" s="4"/>
      <c r="S78" s="4"/>
      <c r="T78" s="4"/>
      <c r="U78" s="4"/>
      <c r="V78" s="4"/>
      <c r="W78" s="4"/>
      <c r="X78" s="4"/>
      <c r="Y78" s="4"/>
      <c r="Z78" s="4"/>
    </row>
    <row r="79" customFormat="false" ht="53.25" hidden="false" customHeight="true" outlineLevel="0" collapsed="false">
      <c r="A79" s="157" t="s">
        <v>710</v>
      </c>
      <c r="B79" s="128" t="s">
        <v>1965</v>
      </c>
      <c r="C79" s="158" t="s">
        <v>1970</v>
      </c>
      <c r="D79" s="159" t="s">
        <v>1971</v>
      </c>
      <c r="E79" s="44" t="s">
        <v>276</v>
      </c>
      <c r="F79" s="34" t="str">
        <f aca="false">HYPERLINK("#'DL15. Khảo sát'!A"&amp;MATCH("slaSurveyReport_hours",'CH2. Tham số &amp; Quy tắc'!$A:$A,0),"{1} = slaSurveyReport_hours")</f>
        <v>{1} = slaSurveyReport_hours</v>
      </c>
      <c r="G79" s="160" t="str">
        <f aca="false">SUBSTITUTE(C79,"{1}",(slaSurveyReport_hours&amp;""))</f>
        <v>HV đã nộp khảo sát nhưng quá 48 giờ (cấu hình slaSurveyReport_hours) chưa xử lý. Việc cần làm: phân công đọc và báo cáo khảo sát ngay.</v>
      </c>
      <c r="H79" s="4"/>
      <c r="I79" s="4"/>
      <c r="J79" s="4"/>
      <c r="K79" s="4"/>
      <c r="L79" s="4"/>
      <c r="M79" s="4"/>
      <c r="N79" s="4"/>
      <c r="O79" s="4"/>
      <c r="P79" s="4"/>
      <c r="Q79" s="4"/>
      <c r="R79" s="4"/>
      <c r="S79" s="4"/>
      <c r="T79" s="4"/>
      <c r="U79" s="4"/>
      <c r="V79" s="4"/>
      <c r="W79" s="4"/>
      <c r="X79" s="4"/>
      <c r="Y79" s="4"/>
      <c r="Z79" s="4"/>
    </row>
    <row r="80" customFormat="false" ht="53.25" hidden="false" customHeight="true" outlineLevel="0" collapsed="false">
      <c r="A80" s="157" t="s">
        <v>716</v>
      </c>
      <c r="B80" s="128" t="s">
        <v>1965</v>
      </c>
      <c r="C80" s="158" t="s">
        <v>1972</v>
      </c>
      <c r="D80" s="159" t="s">
        <v>1973</v>
      </c>
      <c r="E80" s="44" t="s">
        <v>276</v>
      </c>
      <c r="F80" s="33" t="s">
        <v>220</v>
      </c>
      <c r="G80" s="160" t="str">
        <f aca="false">C80</f>
        <v>Khảo sát cho thấy cần theo dõi thêm HV. Việc cần làm: học vụ liên hệ HV.</v>
      </c>
      <c r="H80" s="4"/>
      <c r="I80" s="4"/>
      <c r="J80" s="4"/>
      <c r="K80" s="4"/>
      <c r="L80" s="4"/>
      <c r="M80" s="4"/>
      <c r="N80" s="4"/>
      <c r="O80" s="4"/>
      <c r="P80" s="4"/>
      <c r="Q80" s="4"/>
      <c r="R80" s="4"/>
      <c r="S80" s="4"/>
      <c r="T80" s="4"/>
      <c r="U80" s="4"/>
      <c r="V80" s="4"/>
      <c r="W80" s="4"/>
      <c r="X80" s="4"/>
      <c r="Y80" s="4"/>
      <c r="Z80" s="4"/>
    </row>
    <row r="81" customFormat="false" ht="53.25" hidden="false" customHeight="true" outlineLevel="0" collapsed="false">
      <c r="A81" s="157" t="s">
        <v>723</v>
      </c>
      <c r="B81" s="128" t="s">
        <v>1974</v>
      </c>
      <c r="C81" s="158" t="s">
        <v>1975</v>
      </c>
      <c r="D81" s="159" t="s">
        <v>721</v>
      </c>
      <c r="E81" s="44" t="s">
        <v>276</v>
      </c>
      <c r="F81" s="34" t="str">
        <f aca="false">HYPERLINK("#'DL16. Phản hồi'!A"&amp;MATCH("slaFB_classify_hours",'CH2. Tham số &amp; Quy tắc'!$A:$A,0),"{1} = slaFB_classify_hours")</f>
        <v>{1} = slaFB_classify_hours</v>
      </c>
      <c r="G81" s="160" t="str">
        <f aca="false">SUBSTITUTE(C81,"{1}",(slaFB_classify_hours&amp;""))</f>
        <v>Phản hồi mới đã quá 24 giờ (cấu hình slaFB_classify_hours) chưa phân loại. Việc cần làm: phân loại ngay.</v>
      </c>
      <c r="H81" s="4"/>
      <c r="I81" s="4"/>
      <c r="J81" s="4"/>
      <c r="K81" s="4"/>
      <c r="L81" s="4"/>
      <c r="M81" s="4"/>
      <c r="N81" s="4"/>
      <c r="O81" s="4"/>
      <c r="P81" s="4"/>
      <c r="Q81" s="4"/>
      <c r="R81" s="4"/>
      <c r="S81" s="4"/>
      <c r="T81" s="4"/>
      <c r="U81" s="4"/>
      <c r="V81" s="4"/>
      <c r="W81" s="4"/>
      <c r="X81" s="4"/>
      <c r="Y81" s="4"/>
      <c r="Z81" s="4"/>
    </row>
    <row r="82" customFormat="false" ht="53.25" hidden="false" customHeight="true" outlineLevel="0" collapsed="false">
      <c r="A82" s="157" t="s">
        <v>726</v>
      </c>
      <c r="B82" s="128" t="s">
        <v>1974</v>
      </c>
      <c r="C82" s="158" t="s">
        <v>1976</v>
      </c>
      <c r="D82" s="159" t="s">
        <v>724</v>
      </c>
      <c r="E82" s="44" t="s">
        <v>276</v>
      </c>
      <c r="F82" s="34" t="str">
        <f aca="false">HYPERLINK("#'DL16. Phản hồi'!A"&amp;MATCH("slaFB_classify_hours",'CH2. Tham số &amp; Quy tắc'!$A:$A,0),"{1} = slaFB_classify_hours")</f>
        <v>{1} = slaFB_classify_hours</v>
      </c>
      <c r="G82" s="160" t="str">
        <f aca="false">SUBSTITUTE(C82,"{1}",(slaFB_classify_hours&amp;""))</f>
        <v>Phản hồi mới, còn trong hạn phân loại 24 giờ (cấu hình slaFB_classify_hours). Việc cần làm: phân loại sớm.</v>
      </c>
      <c r="H82" s="4"/>
      <c r="I82" s="4"/>
      <c r="J82" s="4"/>
      <c r="K82" s="4"/>
      <c r="L82" s="4"/>
      <c r="M82" s="4"/>
      <c r="N82" s="4"/>
      <c r="O82" s="4"/>
      <c r="P82" s="4"/>
      <c r="Q82" s="4"/>
      <c r="R82" s="4"/>
      <c r="S82" s="4"/>
      <c r="T82" s="4"/>
      <c r="U82" s="4"/>
      <c r="V82" s="4"/>
      <c r="W82" s="4"/>
      <c r="X82" s="4"/>
      <c r="Y82" s="4"/>
      <c r="Z82" s="4"/>
    </row>
    <row r="83" customFormat="false" ht="53.25" hidden="false" customHeight="true" outlineLevel="0" collapsed="false">
      <c r="A83" s="157" t="s">
        <v>729</v>
      </c>
      <c r="B83" s="128" t="s">
        <v>1974</v>
      </c>
      <c r="C83" s="158" t="s">
        <v>1977</v>
      </c>
      <c r="D83" s="159" t="s">
        <v>1978</v>
      </c>
      <c r="E83" s="44" t="s">
        <v>276</v>
      </c>
      <c r="F83" s="33" t="s">
        <v>220</v>
      </c>
      <c r="G83" s="160" t="str">
        <f aca="false">C83</f>
        <v>Phản hồi tiêu cực chưa xử lý xong. Việc cần làm: xử lý ngay và cân nhắc tạo khiếu nại (sheet DL17).</v>
      </c>
      <c r="H83" s="4"/>
      <c r="I83" s="4"/>
      <c r="J83" s="4"/>
      <c r="K83" s="4"/>
      <c r="L83" s="4"/>
      <c r="M83" s="4"/>
      <c r="N83" s="4"/>
      <c r="O83" s="4"/>
      <c r="P83" s="4"/>
      <c r="Q83" s="4"/>
      <c r="R83" s="4"/>
      <c r="S83" s="4"/>
      <c r="T83" s="4"/>
      <c r="U83" s="4"/>
      <c r="V83" s="4"/>
      <c r="W83" s="4"/>
      <c r="X83" s="4"/>
      <c r="Y83" s="4"/>
      <c r="Z83" s="4"/>
    </row>
    <row r="84" customFormat="false" ht="53.25" hidden="false" customHeight="true" outlineLevel="0" collapsed="false">
      <c r="A84" s="157" t="s">
        <v>732</v>
      </c>
      <c r="B84" s="128" t="s">
        <v>1974</v>
      </c>
      <c r="C84" s="158" t="s">
        <v>1979</v>
      </c>
      <c r="D84" s="159" t="s">
        <v>730</v>
      </c>
      <c r="E84" s="44" t="s">
        <v>220</v>
      </c>
      <c r="F84" s="33" t="s">
        <v>220</v>
      </c>
      <c r="G84" s="160" t="str">
        <f aca="false">C84</f>
        <v>Đã xử lý xong phản hồi. Không cần làm gì thêm.</v>
      </c>
      <c r="H84" s="4"/>
      <c r="I84" s="4"/>
      <c r="J84" s="4"/>
      <c r="K84" s="4"/>
      <c r="L84" s="4"/>
      <c r="M84" s="4"/>
      <c r="N84" s="4"/>
      <c r="O84" s="4"/>
      <c r="P84" s="4"/>
      <c r="Q84" s="4"/>
      <c r="R84" s="4"/>
      <c r="S84" s="4"/>
      <c r="T84" s="4"/>
      <c r="U84" s="4"/>
      <c r="V84" s="4"/>
      <c r="W84" s="4"/>
      <c r="X84" s="4"/>
      <c r="Y84" s="4"/>
      <c r="Z84" s="4"/>
    </row>
    <row r="85" customFormat="false" ht="53.25" hidden="false" customHeight="true" outlineLevel="0" collapsed="false">
      <c r="A85" s="157" t="s">
        <v>742</v>
      </c>
      <c r="B85" s="128" t="s">
        <v>1980</v>
      </c>
      <c r="C85" s="158" t="s">
        <v>1981</v>
      </c>
      <c r="D85" s="159" t="s">
        <v>1982</v>
      </c>
      <c r="E85" s="44" t="s">
        <v>1894</v>
      </c>
      <c r="F85" s="34" t="str">
        <f aca="false">HYPERLINK("#'DL17. Khiếu nại'!A"&amp;MATCH("slaKN_high_hours",'CH2. Tham số &amp; Quy tắc'!$A:$A,0),"{1} = slaKN_high_hours")</f>
        <v>{1} = slaKN_high_hours</v>
      </c>
      <c r="G85" s="160" t="str">
        <f aca="false">SUBSTITUTE(C85,"{1}",(slaKN_high_hours&amp;""))</f>
        <v>Khiếu nại mức cao đã quá 4 giờ (cấu hình slaKN_high_hours) chưa xử lý xong. Việc cần làm: quản lý tham gia xử lý gấp.</v>
      </c>
      <c r="H85" s="4"/>
      <c r="I85" s="4"/>
      <c r="J85" s="4"/>
      <c r="K85" s="4"/>
      <c r="L85" s="4"/>
      <c r="M85" s="4"/>
      <c r="N85" s="4"/>
      <c r="O85" s="4"/>
      <c r="P85" s="4"/>
      <c r="Q85" s="4"/>
      <c r="R85" s="4"/>
      <c r="S85" s="4"/>
      <c r="T85" s="4"/>
      <c r="U85" s="4"/>
      <c r="V85" s="4"/>
      <c r="W85" s="4"/>
      <c r="X85" s="4"/>
      <c r="Y85" s="4"/>
      <c r="Z85" s="4"/>
    </row>
    <row r="86" customFormat="false" ht="53.25" hidden="false" customHeight="true" outlineLevel="0" collapsed="false">
      <c r="A86" s="157" t="s">
        <v>745</v>
      </c>
      <c r="B86" s="128" t="s">
        <v>1980</v>
      </c>
      <c r="C86" s="158" t="s">
        <v>1983</v>
      </c>
      <c r="D86" s="159" t="s">
        <v>1984</v>
      </c>
      <c r="E86" s="44" t="s">
        <v>276</v>
      </c>
      <c r="F86" s="34" t="str">
        <f aca="false">HYPERLINK("#'DL17. Khiếu nại'!A"&amp;MATCH("slaKN_medium_hours",'CH2. Tham số &amp; Quy tắc'!$A:$A,0),"{1} = slaKN_medium_hours")</f>
        <v>{1} = slaKN_medium_hours</v>
      </c>
      <c r="G86" s="160" t="str">
        <f aca="false">SUBSTITUTE(C86,"{1}",(slaKN_medium_hours&amp;""))</f>
        <v>Khiếu nại mức trung bình đã quá 48 giờ (cấu hình slaKN_medium_hours) chưa xử lý. Việc cần làm: xử lý ngay.</v>
      </c>
      <c r="H86" s="4"/>
      <c r="I86" s="4"/>
      <c r="J86" s="4"/>
      <c r="K86" s="4"/>
      <c r="L86" s="4"/>
      <c r="M86" s="4"/>
      <c r="N86" s="4"/>
      <c r="O86" s="4"/>
      <c r="P86" s="4"/>
      <c r="Q86" s="4"/>
      <c r="R86" s="4"/>
      <c r="S86" s="4"/>
      <c r="T86" s="4"/>
      <c r="U86" s="4"/>
      <c r="V86" s="4"/>
      <c r="W86" s="4"/>
      <c r="X86" s="4"/>
      <c r="Y86" s="4"/>
      <c r="Z86" s="4"/>
    </row>
    <row r="87" customFormat="false" ht="53.25" hidden="false" customHeight="true" outlineLevel="0" collapsed="false">
      <c r="A87" s="157" t="s">
        <v>748</v>
      </c>
      <c r="B87" s="128" t="s">
        <v>1980</v>
      </c>
      <c r="C87" s="158" t="s">
        <v>1985</v>
      </c>
      <c r="D87" s="159" t="s">
        <v>1986</v>
      </c>
      <c r="E87" s="44" t="s">
        <v>1987</v>
      </c>
      <c r="F87" s="33" t="s">
        <v>220</v>
      </c>
      <c r="G87" s="160" t="str">
        <f aca="false">C87</f>
        <v>Khiếu nại đã đẩy lên cấp cao. Việc cần làm: chờ CEO/quản lý cấp cao xử lý.</v>
      </c>
      <c r="H87" s="4"/>
      <c r="I87" s="4"/>
      <c r="J87" s="4"/>
      <c r="K87" s="4"/>
      <c r="L87" s="4"/>
      <c r="M87" s="4"/>
      <c r="N87" s="4"/>
      <c r="O87" s="4"/>
      <c r="P87" s="4"/>
      <c r="Q87" s="4"/>
      <c r="R87" s="4"/>
      <c r="S87" s="4"/>
      <c r="T87" s="4"/>
      <c r="U87" s="4"/>
      <c r="V87" s="4"/>
      <c r="W87" s="4"/>
      <c r="X87" s="4"/>
      <c r="Y87" s="4"/>
      <c r="Z87" s="4"/>
    </row>
    <row r="88" customFormat="false" ht="53.25" hidden="false" customHeight="true" outlineLevel="0" collapsed="false">
      <c r="A88" s="157" t="s">
        <v>751</v>
      </c>
      <c r="B88" s="128" t="s">
        <v>1980</v>
      </c>
      <c r="C88" s="158" t="s">
        <v>1988</v>
      </c>
      <c r="D88" s="159" t="s">
        <v>1989</v>
      </c>
      <c r="E88" s="44" t="s">
        <v>220</v>
      </c>
      <c r="F88" s="33" t="s">
        <v>220</v>
      </c>
      <c r="G88" s="160" t="str">
        <f aca="false">C88</f>
        <v>Đã giải quyết khiếu nại và HV chấp nhận. Không cần làm gì thêm.</v>
      </c>
      <c r="H88" s="4"/>
      <c r="I88" s="4"/>
      <c r="J88" s="4"/>
      <c r="K88" s="4"/>
      <c r="L88" s="4"/>
      <c r="M88" s="4"/>
      <c r="N88" s="4"/>
      <c r="O88" s="4"/>
      <c r="P88" s="4"/>
      <c r="Q88" s="4"/>
      <c r="R88" s="4"/>
      <c r="S88" s="4"/>
      <c r="T88" s="4"/>
      <c r="U88" s="4"/>
      <c r="V88" s="4"/>
      <c r="W88" s="4"/>
      <c r="X88" s="4"/>
      <c r="Y88" s="4"/>
      <c r="Z88" s="4"/>
    </row>
    <row r="89" customFormat="false" ht="53.25" hidden="false" customHeight="true" outlineLevel="0" collapsed="false">
      <c r="A89" s="157" t="s">
        <v>736</v>
      </c>
      <c r="B89" s="128" t="s">
        <v>1980</v>
      </c>
      <c r="C89" s="158" t="s">
        <v>1990</v>
      </c>
      <c r="D89" s="159" t="s">
        <v>1991</v>
      </c>
      <c r="E89" s="44" t="s">
        <v>276</v>
      </c>
      <c r="F89" s="34" t="str">
        <f aca="false">HYPERLINK("#'DL17. Khiếu nại'!A"&amp;MATCH("slaKN_low_hours",'CH2. Tham số &amp; Quy tắc'!$A:$A,0),"{1} = slaKN_low_hours (đổi ra ngày)")</f>
        <v>{1} = slaKN_low_hours (đổi ra ngày)</v>
      </c>
      <c r="G89" s="160" t="str">
        <f aca="false">SUBSTITUTE(C89,"{1}",(ROUND(slaKN_low_hours/24,0)&amp;""))</f>
        <v>Khiếu nại ưu tiên thấp đã quá 7 ngày (cấu hình slaKN_low_hours) chưa xử lý. Việc cần làm: phản hồi và xử lý cho HV ngay.</v>
      </c>
      <c r="H89" s="4"/>
      <c r="I89" s="4"/>
      <c r="J89" s="4"/>
      <c r="K89" s="4"/>
      <c r="L89" s="4"/>
      <c r="M89" s="4"/>
      <c r="N89" s="4"/>
      <c r="O89" s="4"/>
      <c r="P89" s="4"/>
      <c r="Q89" s="4"/>
      <c r="R89" s="4"/>
      <c r="S89" s="4"/>
      <c r="T89" s="4"/>
      <c r="U89" s="4"/>
      <c r="V89" s="4"/>
      <c r="W89" s="4"/>
      <c r="X89" s="4"/>
      <c r="Y89" s="4"/>
      <c r="Z89" s="4"/>
    </row>
    <row r="90" customFormat="false" ht="53.25" hidden="false" customHeight="true" outlineLevel="0" collapsed="false">
      <c r="A90" s="157" t="s">
        <v>739</v>
      </c>
      <c r="B90" s="128" t="s">
        <v>1980</v>
      </c>
      <c r="C90" s="158" t="s">
        <v>1992</v>
      </c>
      <c r="D90" s="159" t="s">
        <v>1993</v>
      </c>
      <c r="E90" s="44" t="s">
        <v>276</v>
      </c>
      <c r="F90" s="34" t="str">
        <f aca="false">HYPERLINK("#'DL17. Khiếu nại'!A"&amp;MATCH("slaKN_assignment_hours",'CH2. Tham số &amp; Quy tắc'!$A:$A,0),"{1} = slaKN_assignment_hours")</f>
        <v>{1} = slaKN_assignment_hours</v>
      </c>
      <c r="G90" s="160" t="str">
        <f aca="false">SUBSTITUTE(C90,"{1}",(slaKN_assignment_hours&amp;""))</f>
        <v>Khiếu nại mới đã quá 2 giờ (cấu hình slaKN_assignment_hours) chưa phân công người xử lý. Việc cần làm: phân công gấp.</v>
      </c>
      <c r="H90" s="4"/>
      <c r="I90" s="4"/>
      <c r="J90" s="4"/>
      <c r="K90" s="4"/>
      <c r="L90" s="4"/>
      <c r="M90" s="4"/>
      <c r="N90" s="4"/>
      <c r="O90" s="4"/>
      <c r="P90" s="4"/>
      <c r="Q90" s="4"/>
      <c r="R90" s="4"/>
      <c r="S90" s="4"/>
      <c r="T90" s="4"/>
      <c r="U90" s="4"/>
      <c r="V90" s="4"/>
      <c r="W90" s="4"/>
      <c r="X90" s="4"/>
      <c r="Y90" s="4"/>
      <c r="Z90" s="4"/>
    </row>
    <row r="91" customFormat="false" ht="53.25" hidden="false" customHeight="true" outlineLevel="0" collapsed="false">
      <c r="A91" s="157" t="s">
        <v>762</v>
      </c>
      <c r="B91" s="128" t="s">
        <v>1994</v>
      </c>
      <c r="C91" s="158" t="s">
        <v>1995</v>
      </c>
      <c r="D91" s="159" t="s">
        <v>1996</v>
      </c>
      <c r="E91" s="44" t="s">
        <v>84</v>
      </c>
      <c r="F91" s="34" t="str">
        <f aca="false">HYPERLINK("#'DL18. Kết thúc khóa'!A"&amp;MATCH("slaReenroll_contact_days",'CH2. Tham số &amp; Quy tắc'!$A:$A,0),"{1} = slaReenroll_contact_days")</f>
        <v>{1} = slaReenroll_contact_days</v>
      </c>
      <c r="G91" s="160" t="str">
        <f aca="false">SUBSTITUTE(C91,"{1}",(slaReenroll_contact_days&amp;""))</f>
        <v>HV đã hoàn thành khóa nhưng quá 3 ngày (cấu hình slaReenroll_contact_days) chưa liên hệ mời học tiếp. Việc cần làm: liên hệ mời tái ghi danh gấp.</v>
      </c>
      <c r="H91" s="4"/>
      <c r="I91" s="4"/>
      <c r="J91" s="4"/>
      <c r="K91" s="4"/>
      <c r="L91" s="4"/>
      <c r="M91" s="4"/>
      <c r="N91" s="4"/>
      <c r="O91" s="4"/>
      <c r="P91" s="4"/>
      <c r="Q91" s="4"/>
      <c r="R91" s="4"/>
      <c r="S91" s="4"/>
      <c r="T91" s="4"/>
      <c r="U91" s="4"/>
      <c r="V91" s="4"/>
      <c r="W91" s="4"/>
      <c r="X91" s="4"/>
      <c r="Y91" s="4"/>
      <c r="Z91" s="4"/>
    </row>
    <row r="92" customFormat="false" ht="53.25" hidden="false" customHeight="true" outlineLevel="0" collapsed="false">
      <c r="A92" s="157" t="s">
        <v>765</v>
      </c>
      <c r="B92" s="128" t="s">
        <v>1994</v>
      </c>
      <c r="C92" s="158" t="s">
        <v>1997</v>
      </c>
      <c r="D92" s="159" t="s">
        <v>1998</v>
      </c>
      <c r="E92" s="44" t="s">
        <v>84</v>
      </c>
      <c r="F92" s="33" t="s">
        <v>220</v>
      </c>
      <c r="G92" s="160" t="str">
        <f aca="false">C92</f>
        <v>HV đã nghỉ giữa khóa. Việc cần làm: phân tích lý do HV nghỉ để rút kinh nghiệm.</v>
      </c>
      <c r="H92" s="4"/>
      <c r="I92" s="4"/>
      <c r="J92" s="4"/>
      <c r="K92" s="4"/>
      <c r="L92" s="4"/>
      <c r="M92" s="4"/>
      <c r="N92" s="4"/>
      <c r="O92" s="4"/>
      <c r="P92" s="4"/>
      <c r="Q92" s="4"/>
      <c r="R92" s="4"/>
      <c r="S92" s="4"/>
      <c r="T92" s="4"/>
      <c r="U92" s="4"/>
      <c r="V92" s="4"/>
      <c r="W92" s="4"/>
      <c r="X92" s="4"/>
      <c r="Y92" s="4"/>
      <c r="Z92" s="4"/>
    </row>
    <row r="93" customFormat="false" ht="53.25" hidden="false" customHeight="true" outlineLevel="0" collapsed="false">
      <c r="A93" s="157" t="s">
        <v>768</v>
      </c>
      <c r="B93" s="128" t="s">
        <v>1994</v>
      </c>
      <c r="C93" s="158" t="s">
        <v>1999</v>
      </c>
      <c r="D93" s="159" t="s">
        <v>2000</v>
      </c>
      <c r="E93" s="44" t="s">
        <v>220</v>
      </c>
      <c r="F93" s="33" t="s">
        <v>220</v>
      </c>
      <c r="G93" s="160" t="str">
        <f aca="false">C93</f>
        <v>HV đã đăng ký học khóa tiếp theo. Không cần làm gì thêm.</v>
      </c>
      <c r="H93" s="4"/>
      <c r="I93" s="4"/>
      <c r="J93" s="4"/>
      <c r="K93" s="4"/>
      <c r="L93" s="4"/>
      <c r="M93" s="4"/>
      <c r="N93" s="4"/>
      <c r="O93" s="4"/>
      <c r="P93" s="4"/>
      <c r="Q93" s="4"/>
      <c r="R93" s="4"/>
      <c r="S93" s="4"/>
      <c r="T93" s="4"/>
      <c r="U93" s="4"/>
      <c r="V93" s="4"/>
      <c r="W93" s="4"/>
      <c r="X93" s="4"/>
      <c r="Y93" s="4"/>
      <c r="Z93" s="4"/>
    </row>
    <row r="94" customFormat="false" ht="53.25" hidden="false" customHeight="true" outlineLevel="0" collapsed="false">
      <c r="A94" s="157" t="s">
        <v>774</v>
      </c>
      <c r="B94" s="128" t="s">
        <v>1994</v>
      </c>
      <c r="C94" s="158" t="s">
        <v>2001</v>
      </c>
      <c r="D94" s="159" t="s">
        <v>2002</v>
      </c>
      <c r="E94" s="44" t="s">
        <v>84</v>
      </c>
      <c r="F94" s="33" t="s">
        <v>220</v>
      </c>
      <c r="G94" s="160" t="str">
        <f aca="false">C94</f>
        <v>HV quan tâm học tiếp. Việc cần làm: liên hệ chốt đăng ký khóa mới.</v>
      </c>
      <c r="H94" s="4"/>
      <c r="I94" s="4"/>
      <c r="J94" s="4"/>
      <c r="K94" s="4"/>
      <c r="L94" s="4"/>
      <c r="M94" s="4"/>
      <c r="N94" s="4"/>
      <c r="O94" s="4"/>
      <c r="P94" s="4"/>
      <c r="Q94" s="4"/>
      <c r="R94" s="4"/>
      <c r="S94" s="4"/>
      <c r="T94" s="4"/>
      <c r="U94" s="4"/>
      <c r="V94" s="4"/>
      <c r="W94" s="4"/>
      <c r="X94" s="4"/>
      <c r="Y94" s="4"/>
      <c r="Z94" s="4"/>
    </row>
    <row r="95" customFormat="false" ht="53.25" hidden="false" customHeight="true" outlineLevel="0" collapsed="false">
      <c r="A95" s="157" t="s">
        <v>756</v>
      </c>
      <c r="B95" s="128" t="s">
        <v>1994</v>
      </c>
      <c r="C95" s="158" t="s">
        <v>2003</v>
      </c>
      <c r="D95" s="159" t="s">
        <v>2004</v>
      </c>
      <c r="E95" s="44" t="s">
        <v>276</v>
      </c>
      <c r="F95" s="34" t="str">
        <f aca="false">HYPERLINK("#'DL18. Kết thúc khóa'!A"&amp;MATCH("slaFinalTest_days",'CH2. Tham số &amp; Quy tắc'!$A:$A,0),"{1} = slaFinalTest_days")</f>
        <v>{1} = slaFinalTest_days</v>
      </c>
      <c r="G95" s="160" t="str">
        <f aca="false">SUBSTITUTE(C95,"{1}",(slaFinalTest_days&amp;""))</f>
        <v>HV hoàn thành khóa nhưng quá 3 ngày (cấu hình slaFinalTest_days) chưa có điểm test cuối. Việc cần làm: nhập điểm test cuối ngay.</v>
      </c>
      <c r="H95" s="4"/>
      <c r="I95" s="4"/>
      <c r="J95" s="4"/>
      <c r="K95" s="4"/>
      <c r="L95" s="4"/>
      <c r="M95" s="4"/>
      <c r="N95" s="4"/>
      <c r="O95" s="4"/>
      <c r="P95" s="4"/>
      <c r="Q95" s="4"/>
      <c r="R95" s="4"/>
      <c r="S95" s="4"/>
      <c r="T95" s="4"/>
      <c r="U95" s="4"/>
      <c r="V95" s="4"/>
      <c r="W95" s="4"/>
      <c r="X95" s="4"/>
      <c r="Y95" s="4"/>
      <c r="Z95" s="4"/>
    </row>
    <row r="96" customFormat="false" ht="53.25" hidden="false" customHeight="true" outlineLevel="0" collapsed="false">
      <c r="A96" s="157" t="s">
        <v>759</v>
      </c>
      <c r="B96" s="128" t="s">
        <v>1994</v>
      </c>
      <c r="C96" s="158" t="s">
        <v>2005</v>
      </c>
      <c r="D96" s="159" t="s">
        <v>2006</v>
      </c>
      <c r="E96" s="44" t="s">
        <v>2007</v>
      </c>
      <c r="F96" s="34" t="str">
        <f aca="false">HYPERLINK("#'DL18. Kết thúc khóa'!A"&amp;MATCH("slaReenrollSchedule_days",'CH2. Tham số &amp; Quy tắc'!$A:$A,0),"{1} = slaReenrollSchedule_days")</f>
        <v>{1} = slaReenrollSchedule_days</v>
      </c>
      <c r="G96" s="160" t="str">
        <f aca="false">SUBSTITUTE(C96,"{1}",(slaReenrollSchedule_days&amp;""))</f>
        <v>HV quan tâm tái ghi danh nhưng quá 14 ngày (cấu hình slaReenrollSchedule_days) chưa xếp khóa mới. Việc cần làm: chốt lịch khóa mới cho HV gấp.</v>
      </c>
      <c r="H96" s="4"/>
      <c r="I96" s="4"/>
      <c r="J96" s="4"/>
      <c r="K96" s="4"/>
      <c r="L96" s="4"/>
      <c r="M96" s="4"/>
      <c r="N96" s="4"/>
      <c r="O96" s="4"/>
      <c r="P96" s="4"/>
      <c r="Q96" s="4"/>
      <c r="R96" s="4"/>
      <c r="S96" s="4"/>
      <c r="T96" s="4"/>
      <c r="U96" s="4"/>
      <c r="V96" s="4"/>
      <c r="W96" s="4"/>
      <c r="X96" s="4"/>
      <c r="Y96" s="4"/>
      <c r="Z96" s="4"/>
    </row>
    <row r="97" customFormat="false" ht="53.25" hidden="false" customHeight="true" outlineLevel="0" collapsed="false">
      <c r="A97" s="157" t="s">
        <v>771</v>
      </c>
      <c r="B97" s="128" t="s">
        <v>1994</v>
      </c>
      <c r="C97" s="158" t="s">
        <v>2008</v>
      </c>
      <c r="D97" s="159" t="s">
        <v>2009</v>
      </c>
      <c r="E97" s="44" t="s">
        <v>220</v>
      </c>
      <c r="F97" s="33" t="s">
        <v>220</v>
      </c>
      <c r="G97" s="160" t="str">
        <f aca="false">C97</f>
        <v>HV từ chối học tiếp. Không cần làm gì thêm.</v>
      </c>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3226"/>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4" min="2" style="1" width="47"/>
    <col collapsed="false" customWidth="true" hidden="false" outlineLevel="0" max="26" min="5" style="1" width="8.71"/>
  </cols>
  <sheetData>
    <row r="1" customFormat="false" ht="17.25" hidden="false" customHeight="true" outlineLevel="0" collapsed="false">
      <c r="A1" s="161" t="s">
        <v>2010</v>
      </c>
      <c r="B1" s="161"/>
      <c r="C1" s="161"/>
      <c r="D1" s="161"/>
      <c r="E1" s="4"/>
      <c r="F1" s="4"/>
      <c r="G1" s="4"/>
      <c r="H1" s="4"/>
      <c r="I1" s="4"/>
      <c r="J1" s="4"/>
      <c r="K1" s="4"/>
      <c r="L1" s="4"/>
      <c r="M1" s="4"/>
      <c r="N1" s="4"/>
      <c r="O1" s="4"/>
      <c r="P1" s="4"/>
      <c r="Q1" s="4"/>
      <c r="R1" s="4"/>
      <c r="S1" s="4"/>
      <c r="T1" s="4"/>
      <c r="U1" s="4"/>
      <c r="V1" s="4"/>
      <c r="W1" s="4"/>
      <c r="X1" s="4"/>
      <c r="Y1" s="4"/>
      <c r="Z1" s="4"/>
    </row>
    <row r="2" customFormat="false" ht="15" hidden="false" customHeight="true" outlineLevel="0" collapsed="false">
      <c r="A2" s="162" t="s">
        <v>2011</v>
      </c>
      <c r="B2" s="162"/>
      <c r="C2" s="162"/>
      <c r="D2" s="162"/>
      <c r="E2" s="4"/>
      <c r="F2" s="4"/>
      <c r="G2" s="4"/>
      <c r="H2" s="4"/>
      <c r="I2" s="4"/>
      <c r="J2" s="4"/>
      <c r="K2" s="4"/>
      <c r="L2" s="4"/>
      <c r="M2" s="4"/>
      <c r="N2" s="4"/>
      <c r="O2" s="4"/>
      <c r="P2" s="4"/>
      <c r="Q2" s="4"/>
      <c r="R2" s="4"/>
      <c r="S2" s="4"/>
      <c r="T2" s="4"/>
      <c r="U2" s="4"/>
      <c r="V2" s="4"/>
      <c r="W2" s="4"/>
      <c r="X2" s="4"/>
      <c r="Y2" s="4"/>
      <c r="Z2" s="4"/>
    </row>
    <row r="3" customFormat="false" ht="15" hidden="false" customHeight="true" outlineLevel="0" collapsed="false">
      <c r="A3" s="4"/>
      <c r="B3" s="4"/>
      <c r="C3" s="4"/>
      <c r="D3" s="4"/>
      <c r="E3" s="4"/>
      <c r="F3" s="4"/>
      <c r="G3" s="4"/>
      <c r="H3" s="4"/>
      <c r="I3" s="4"/>
      <c r="J3" s="4"/>
      <c r="K3" s="4"/>
      <c r="L3" s="4"/>
      <c r="M3" s="4"/>
      <c r="N3" s="4"/>
      <c r="O3" s="4"/>
      <c r="P3" s="4"/>
      <c r="Q3" s="4"/>
      <c r="R3" s="4"/>
      <c r="S3" s="4"/>
      <c r="T3" s="4"/>
      <c r="U3" s="4"/>
      <c r="V3" s="4"/>
      <c r="W3" s="4"/>
      <c r="X3" s="4"/>
      <c r="Y3" s="4"/>
      <c r="Z3" s="4"/>
    </row>
    <row r="4" customFormat="false" ht="26.25" hidden="false" customHeight="true" outlineLevel="0" collapsed="false">
      <c r="A4" s="163" t="s">
        <v>2012</v>
      </c>
      <c r="B4" s="163" t="s">
        <v>2013</v>
      </c>
      <c r="C4" s="163" t="s">
        <v>2014</v>
      </c>
      <c r="D4" s="163" t="s">
        <v>2015</v>
      </c>
      <c r="E4" s="4"/>
      <c r="F4" s="4"/>
      <c r="G4" s="4"/>
      <c r="H4" s="4"/>
      <c r="I4" s="4"/>
      <c r="J4" s="4"/>
      <c r="K4" s="4"/>
      <c r="L4" s="4"/>
      <c r="M4" s="4"/>
      <c r="N4" s="4"/>
      <c r="O4" s="4"/>
      <c r="P4" s="4"/>
      <c r="Q4" s="4"/>
      <c r="R4" s="4"/>
      <c r="S4" s="4"/>
      <c r="T4" s="4"/>
      <c r="U4" s="4"/>
      <c r="V4" s="4"/>
      <c r="W4" s="4"/>
      <c r="X4" s="4"/>
      <c r="Y4" s="4"/>
      <c r="Z4" s="4"/>
    </row>
    <row r="5" customFormat="false" ht="23.25" hidden="false" customHeight="true" outlineLevel="0" collapsed="false">
      <c r="A5" s="164" t="s">
        <v>2016</v>
      </c>
      <c r="B5" s="164"/>
      <c r="C5" s="164"/>
      <c r="D5" s="164"/>
      <c r="E5" s="4"/>
      <c r="F5" s="4"/>
      <c r="G5" s="4"/>
      <c r="H5" s="4"/>
      <c r="I5" s="4"/>
      <c r="J5" s="4"/>
      <c r="K5" s="4"/>
      <c r="L5" s="4"/>
      <c r="M5" s="4"/>
      <c r="N5" s="4"/>
      <c r="O5" s="4"/>
      <c r="P5" s="4"/>
      <c r="Q5" s="4"/>
      <c r="R5" s="4"/>
      <c r="S5" s="4"/>
      <c r="T5" s="4"/>
      <c r="U5" s="4"/>
      <c r="V5" s="4"/>
      <c r="W5" s="4"/>
      <c r="X5" s="4"/>
      <c r="Y5" s="4"/>
      <c r="Z5" s="4"/>
    </row>
    <row r="6" customFormat="false" ht="23.25" hidden="false" customHeight="true" outlineLevel="0" collapsed="false">
      <c r="A6" s="165" t="s">
        <v>2017</v>
      </c>
      <c r="B6" s="166"/>
      <c r="C6" s="166" t="s">
        <v>2018</v>
      </c>
      <c r="D6" s="166" t="s">
        <v>2019</v>
      </c>
      <c r="E6" s="4"/>
      <c r="F6" s="4"/>
      <c r="G6" s="4"/>
      <c r="H6" s="4"/>
      <c r="I6" s="4"/>
      <c r="J6" s="4"/>
      <c r="K6" s="4"/>
      <c r="L6" s="4"/>
      <c r="M6" s="4"/>
      <c r="N6" s="4"/>
      <c r="O6" s="4"/>
      <c r="P6" s="4"/>
      <c r="Q6" s="4"/>
      <c r="R6" s="4"/>
      <c r="S6" s="4"/>
      <c r="T6" s="4"/>
      <c r="U6" s="4"/>
      <c r="V6" s="4"/>
      <c r="W6" s="4"/>
      <c r="X6" s="4"/>
      <c r="Y6" s="4"/>
      <c r="Z6" s="4"/>
    </row>
    <row r="7" customFormat="false" ht="23.25" hidden="false" customHeight="true" outlineLevel="0" collapsed="false">
      <c r="A7" s="165" t="s">
        <v>2020</v>
      </c>
      <c r="B7" s="166"/>
      <c r="C7" s="166" t="s">
        <v>58</v>
      </c>
      <c r="D7" s="166" t="s">
        <v>2021</v>
      </c>
      <c r="E7" s="4"/>
      <c r="F7" s="4"/>
      <c r="G7" s="4"/>
      <c r="H7" s="4"/>
      <c r="I7" s="4"/>
      <c r="J7" s="4"/>
      <c r="K7" s="4"/>
      <c r="L7" s="4"/>
      <c r="M7" s="4"/>
      <c r="N7" s="4"/>
      <c r="O7" s="4"/>
      <c r="P7" s="4"/>
      <c r="Q7" s="4"/>
      <c r="R7" s="4"/>
      <c r="S7" s="4"/>
      <c r="T7" s="4"/>
      <c r="U7" s="4"/>
      <c r="V7" s="4"/>
      <c r="W7" s="4"/>
      <c r="X7" s="4"/>
      <c r="Y7" s="4"/>
      <c r="Z7" s="4"/>
    </row>
    <row r="8" customFormat="false" ht="23.25" hidden="false" customHeight="true" outlineLevel="0" collapsed="false">
      <c r="A8" s="165" t="s">
        <v>313</v>
      </c>
      <c r="B8" s="166"/>
      <c r="C8" s="166" t="s">
        <v>1912</v>
      </c>
      <c r="D8" s="166" t="s">
        <v>2022</v>
      </c>
      <c r="E8" s="4"/>
      <c r="F8" s="4"/>
      <c r="G8" s="4"/>
      <c r="H8" s="4"/>
      <c r="I8" s="4"/>
      <c r="J8" s="4"/>
      <c r="K8" s="4"/>
      <c r="L8" s="4"/>
      <c r="M8" s="4"/>
      <c r="N8" s="4"/>
      <c r="O8" s="4"/>
      <c r="P8" s="4"/>
      <c r="Q8" s="4"/>
      <c r="R8" s="4"/>
      <c r="S8" s="4"/>
      <c r="T8" s="4"/>
      <c r="U8" s="4"/>
      <c r="V8" s="4"/>
      <c r="W8" s="4"/>
      <c r="X8" s="4"/>
      <c r="Y8" s="4"/>
      <c r="Z8" s="4"/>
    </row>
    <row r="9" customFormat="false" ht="23.25" hidden="false" customHeight="true" outlineLevel="0" collapsed="false">
      <c r="A9" s="165" t="s">
        <v>2023</v>
      </c>
      <c r="B9" s="166"/>
      <c r="C9" s="166" t="s">
        <v>2024</v>
      </c>
      <c r="D9" s="166" t="s">
        <v>2025</v>
      </c>
      <c r="E9" s="4"/>
      <c r="F9" s="4"/>
      <c r="G9" s="4"/>
      <c r="H9" s="4"/>
      <c r="I9" s="4"/>
      <c r="J9" s="4"/>
      <c r="K9" s="4"/>
      <c r="L9" s="4"/>
      <c r="M9" s="4"/>
      <c r="N9" s="4"/>
      <c r="O9" s="4"/>
      <c r="P9" s="4"/>
      <c r="Q9" s="4"/>
      <c r="R9" s="4"/>
      <c r="S9" s="4"/>
      <c r="T9" s="4"/>
      <c r="U9" s="4"/>
      <c r="V9" s="4"/>
      <c r="W9" s="4"/>
      <c r="X9" s="4"/>
      <c r="Y9" s="4"/>
      <c r="Z9" s="4"/>
    </row>
    <row r="10" customFormat="false" ht="23.25" hidden="false" customHeight="true" outlineLevel="0" collapsed="false">
      <c r="A10" s="164" t="s">
        <v>2026</v>
      </c>
      <c r="B10" s="164"/>
      <c r="C10" s="164"/>
      <c r="D10" s="164"/>
      <c r="E10" s="4"/>
      <c r="F10" s="4"/>
      <c r="G10" s="4"/>
      <c r="H10" s="4"/>
      <c r="I10" s="4"/>
      <c r="J10" s="4"/>
      <c r="K10" s="4"/>
      <c r="L10" s="4"/>
      <c r="M10" s="4"/>
      <c r="N10" s="4"/>
      <c r="O10" s="4"/>
      <c r="P10" s="4"/>
      <c r="Q10" s="4"/>
      <c r="R10" s="4"/>
      <c r="S10" s="4"/>
      <c r="T10" s="4"/>
      <c r="U10" s="4"/>
      <c r="V10" s="4"/>
      <c r="W10" s="4"/>
      <c r="X10" s="4"/>
      <c r="Y10" s="4"/>
      <c r="Z10" s="4"/>
    </row>
    <row r="11" customFormat="false" ht="23.25" hidden="false" customHeight="true" outlineLevel="0" collapsed="false">
      <c r="A11" s="165" t="s">
        <v>2027</v>
      </c>
      <c r="B11" s="166"/>
      <c r="C11" s="166" t="s">
        <v>2028</v>
      </c>
      <c r="D11" s="166" t="s">
        <v>2029</v>
      </c>
      <c r="E11" s="4"/>
      <c r="F11" s="4"/>
      <c r="G11" s="4"/>
      <c r="H11" s="4"/>
      <c r="I11" s="4"/>
      <c r="J11" s="4"/>
      <c r="K11" s="4"/>
      <c r="L11" s="4"/>
      <c r="M11" s="4"/>
      <c r="N11" s="4"/>
      <c r="O11" s="4"/>
      <c r="P11" s="4"/>
      <c r="Q11" s="4"/>
      <c r="R11" s="4"/>
      <c r="S11" s="4"/>
      <c r="T11" s="4"/>
      <c r="U11" s="4"/>
      <c r="V11" s="4"/>
      <c r="W11" s="4"/>
      <c r="X11" s="4"/>
      <c r="Y11" s="4"/>
      <c r="Z11" s="4"/>
    </row>
    <row r="12" customFormat="false" ht="23.25" hidden="false" customHeight="true" outlineLevel="0" collapsed="false">
      <c r="A12" s="165" t="s">
        <v>2030</v>
      </c>
      <c r="B12" s="166" t="s">
        <v>2031</v>
      </c>
      <c r="C12" s="166" t="s">
        <v>2032</v>
      </c>
      <c r="D12" s="166" t="s">
        <v>2033</v>
      </c>
      <c r="E12" s="4"/>
      <c r="F12" s="4"/>
      <c r="G12" s="4"/>
      <c r="H12" s="4"/>
      <c r="I12" s="4"/>
      <c r="J12" s="4"/>
      <c r="K12" s="4"/>
      <c r="L12" s="4"/>
      <c r="M12" s="4"/>
      <c r="N12" s="4"/>
      <c r="O12" s="4"/>
      <c r="P12" s="4"/>
      <c r="Q12" s="4"/>
      <c r="R12" s="4"/>
      <c r="S12" s="4"/>
      <c r="T12" s="4"/>
      <c r="U12" s="4"/>
      <c r="V12" s="4"/>
      <c r="W12" s="4"/>
      <c r="X12" s="4"/>
      <c r="Y12" s="4"/>
      <c r="Z12" s="4"/>
    </row>
    <row r="13" customFormat="false" ht="23.25" hidden="false" customHeight="true" outlineLevel="0" collapsed="false">
      <c r="A13" s="165" t="s">
        <v>2034</v>
      </c>
      <c r="B13" s="166" t="s">
        <v>2035</v>
      </c>
      <c r="C13" s="166" t="s">
        <v>2036</v>
      </c>
      <c r="D13" s="166" t="s">
        <v>2037</v>
      </c>
      <c r="E13" s="4"/>
      <c r="F13" s="4"/>
      <c r="G13" s="4"/>
      <c r="H13" s="4"/>
      <c r="I13" s="4"/>
      <c r="J13" s="4"/>
      <c r="K13" s="4"/>
      <c r="L13" s="4"/>
      <c r="M13" s="4"/>
      <c r="N13" s="4"/>
      <c r="O13" s="4"/>
      <c r="P13" s="4"/>
      <c r="Q13" s="4"/>
      <c r="R13" s="4"/>
      <c r="S13" s="4"/>
      <c r="T13" s="4"/>
      <c r="U13" s="4"/>
      <c r="V13" s="4"/>
      <c r="W13" s="4"/>
      <c r="X13" s="4"/>
      <c r="Y13" s="4"/>
      <c r="Z13" s="4"/>
    </row>
    <row r="14" customFormat="false" ht="23.25" hidden="false" customHeight="true" outlineLevel="0" collapsed="false">
      <c r="A14" s="165" t="s">
        <v>2038</v>
      </c>
      <c r="B14" s="166"/>
      <c r="C14" s="166" t="s">
        <v>2039</v>
      </c>
      <c r="D14" s="166" t="s">
        <v>2040</v>
      </c>
      <c r="E14" s="4"/>
      <c r="F14" s="4"/>
      <c r="G14" s="4"/>
      <c r="H14" s="4"/>
      <c r="I14" s="4"/>
      <c r="J14" s="4"/>
      <c r="K14" s="4"/>
      <c r="L14" s="4"/>
      <c r="M14" s="4"/>
      <c r="N14" s="4"/>
      <c r="O14" s="4"/>
      <c r="P14" s="4"/>
      <c r="Q14" s="4"/>
      <c r="R14" s="4"/>
      <c r="S14" s="4"/>
      <c r="T14" s="4"/>
      <c r="U14" s="4"/>
      <c r="V14" s="4"/>
      <c r="W14" s="4"/>
      <c r="X14" s="4"/>
      <c r="Y14" s="4"/>
      <c r="Z14" s="4"/>
    </row>
    <row r="15" customFormat="false" ht="23.25" hidden="false" customHeight="true" outlineLevel="0" collapsed="false">
      <c r="A15" s="165" t="s">
        <v>2041</v>
      </c>
      <c r="B15" s="166"/>
      <c r="C15" s="166" t="s">
        <v>167</v>
      </c>
      <c r="D15" s="166" t="s">
        <v>2042</v>
      </c>
      <c r="E15" s="4"/>
      <c r="F15" s="4"/>
      <c r="G15" s="4"/>
      <c r="H15" s="4"/>
      <c r="I15" s="4"/>
      <c r="J15" s="4"/>
      <c r="K15" s="4"/>
      <c r="L15" s="4"/>
      <c r="M15" s="4"/>
      <c r="N15" s="4"/>
      <c r="O15" s="4"/>
      <c r="P15" s="4"/>
      <c r="Q15" s="4"/>
      <c r="R15" s="4"/>
      <c r="S15" s="4"/>
      <c r="T15" s="4"/>
      <c r="U15" s="4"/>
      <c r="V15" s="4"/>
      <c r="W15" s="4"/>
      <c r="X15" s="4"/>
      <c r="Y15" s="4"/>
      <c r="Z15" s="4"/>
    </row>
    <row r="16" customFormat="false" ht="23.25" hidden="false" customHeight="true" outlineLevel="0" collapsed="false">
      <c r="A16" s="165" t="s">
        <v>2043</v>
      </c>
      <c r="B16" s="166" t="s">
        <v>2044</v>
      </c>
      <c r="C16" s="166" t="s">
        <v>2045</v>
      </c>
      <c r="D16" s="166" t="s">
        <v>2046</v>
      </c>
      <c r="E16" s="4"/>
      <c r="F16" s="4"/>
      <c r="G16" s="4"/>
      <c r="H16" s="4"/>
      <c r="I16" s="4"/>
      <c r="J16" s="4"/>
      <c r="K16" s="4"/>
      <c r="L16" s="4"/>
      <c r="M16" s="4"/>
      <c r="N16" s="4"/>
      <c r="O16" s="4"/>
      <c r="P16" s="4"/>
      <c r="Q16" s="4"/>
      <c r="R16" s="4"/>
      <c r="S16" s="4"/>
      <c r="T16" s="4"/>
      <c r="U16" s="4"/>
      <c r="V16" s="4"/>
      <c r="W16" s="4"/>
      <c r="X16" s="4"/>
      <c r="Y16" s="4"/>
      <c r="Z16" s="4"/>
    </row>
    <row r="17" customFormat="false" ht="23.25" hidden="false" customHeight="true" outlineLevel="0" collapsed="false">
      <c r="A17" s="165" t="s">
        <v>206</v>
      </c>
      <c r="B17" s="166" t="s">
        <v>2047</v>
      </c>
      <c r="C17" s="166" t="s">
        <v>2048</v>
      </c>
      <c r="D17" s="166" t="s">
        <v>2049</v>
      </c>
      <c r="E17" s="4"/>
      <c r="F17" s="4"/>
      <c r="G17" s="4"/>
      <c r="H17" s="4"/>
      <c r="I17" s="4"/>
      <c r="J17" s="4"/>
      <c r="K17" s="4"/>
      <c r="L17" s="4"/>
      <c r="M17" s="4"/>
      <c r="N17" s="4"/>
      <c r="O17" s="4"/>
      <c r="P17" s="4"/>
      <c r="Q17" s="4"/>
      <c r="R17" s="4"/>
      <c r="S17" s="4"/>
      <c r="T17" s="4"/>
      <c r="U17" s="4"/>
      <c r="V17" s="4"/>
      <c r="W17" s="4"/>
      <c r="X17" s="4"/>
      <c r="Y17" s="4"/>
      <c r="Z17" s="4"/>
    </row>
    <row r="18" customFormat="false" ht="23.25" hidden="false" customHeight="true" outlineLevel="0" collapsed="false">
      <c r="A18" s="165" t="s">
        <v>2050</v>
      </c>
      <c r="B18" s="166" t="s">
        <v>2051</v>
      </c>
      <c r="C18" s="166" t="s">
        <v>2052</v>
      </c>
      <c r="D18" s="166" t="s">
        <v>2053</v>
      </c>
      <c r="E18" s="4"/>
      <c r="F18" s="4"/>
      <c r="G18" s="4"/>
      <c r="H18" s="4"/>
      <c r="I18" s="4"/>
      <c r="J18" s="4"/>
      <c r="K18" s="4"/>
      <c r="L18" s="4"/>
      <c r="M18" s="4"/>
      <c r="N18" s="4"/>
      <c r="O18" s="4"/>
      <c r="P18" s="4"/>
      <c r="Q18" s="4"/>
      <c r="R18" s="4"/>
      <c r="S18" s="4"/>
      <c r="T18" s="4"/>
      <c r="U18" s="4"/>
      <c r="V18" s="4"/>
      <c r="W18" s="4"/>
      <c r="X18" s="4"/>
      <c r="Y18" s="4"/>
      <c r="Z18" s="4"/>
    </row>
    <row r="19" customFormat="false" ht="23.25" hidden="false" customHeight="true" outlineLevel="0" collapsed="false">
      <c r="A19" s="164" t="s">
        <v>2054</v>
      </c>
      <c r="B19" s="164"/>
      <c r="C19" s="164"/>
      <c r="D19" s="164"/>
      <c r="E19" s="4"/>
      <c r="F19" s="4"/>
      <c r="G19" s="4"/>
      <c r="H19" s="4"/>
      <c r="I19" s="4"/>
      <c r="J19" s="4"/>
      <c r="K19" s="4"/>
      <c r="L19" s="4"/>
      <c r="M19" s="4"/>
      <c r="N19" s="4"/>
      <c r="O19" s="4"/>
      <c r="P19" s="4"/>
      <c r="Q19" s="4"/>
      <c r="R19" s="4"/>
      <c r="S19" s="4"/>
      <c r="T19" s="4"/>
      <c r="U19" s="4"/>
      <c r="V19" s="4"/>
      <c r="W19" s="4"/>
      <c r="X19" s="4"/>
      <c r="Y19" s="4"/>
      <c r="Z19" s="4"/>
    </row>
    <row r="20" customFormat="false" ht="23.25" hidden="false" customHeight="true" outlineLevel="0" collapsed="false">
      <c r="A20" s="165" t="s">
        <v>2055</v>
      </c>
      <c r="B20" s="166" t="s">
        <v>2056</v>
      </c>
      <c r="C20" s="166" t="s">
        <v>2057</v>
      </c>
      <c r="D20" s="166" t="s">
        <v>2058</v>
      </c>
      <c r="E20" s="4"/>
      <c r="F20" s="4"/>
      <c r="G20" s="4"/>
      <c r="H20" s="4"/>
      <c r="I20" s="4"/>
      <c r="J20" s="4"/>
      <c r="K20" s="4"/>
      <c r="L20" s="4"/>
      <c r="M20" s="4"/>
      <c r="N20" s="4"/>
      <c r="O20" s="4"/>
      <c r="P20" s="4"/>
      <c r="Q20" s="4"/>
      <c r="R20" s="4"/>
      <c r="S20" s="4"/>
      <c r="T20" s="4"/>
      <c r="U20" s="4"/>
      <c r="V20" s="4"/>
      <c r="W20" s="4"/>
      <c r="X20" s="4"/>
      <c r="Y20" s="4"/>
      <c r="Z20" s="4"/>
    </row>
    <row r="21" customFormat="false" ht="23.25" hidden="false" customHeight="true" outlineLevel="0" collapsed="false">
      <c r="A21" s="165" t="s">
        <v>2059</v>
      </c>
      <c r="B21" s="166"/>
      <c r="C21" s="166" t="s">
        <v>2060</v>
      </c>
      <c r="D21" s="166" t="s">
        <v>2061</v>
      </c>
      <c r="E21" s="4"/>
      <c r="F21" s="4"/>
      <c r="G21" s="4"/>
      <c r="H21" s="4"/>
      <c r="I21" s="4"/>
      <c r="J21" s="4"/>
      <c r="K21" s="4"/>
      <c r="L21" s="4"/>
      <c r="M21" s="4"/>
      <c r="N21" s="4"/>
      <c r="O21" s="4"/>
      <c r="P21" s="4"/>
      <c r="Q21" s="4"/>
      <c r="R21" s="4"/>
      <c r="S21" s="4"/>
      <c r="T21" s="4"/>
      <c r="U21" s="4"/>
      <c r="V21" s="4"/>
      <c r="W21" s="4"/>
      <c r="X21" s="4"/>
      <c r="Y21" s="4"/>
      <c r="Z21" s="4"/>
    </row>
    <row r="22" customFormat="false" ht="23.25" hidden="false" customHeight="true" outlineLevel="0" collapsed="false">
      <c r="A22" s="165" t="s">
        <v>2062</v>
      </c>
      <c r="B22" s="166" t="s">
        <v>2063</v>
      </c>
      <c r="C22" s="166" t="s">
        <v>2064</v>
      </c>
      <c r="D22" s="166" t="s">
        <v>2065</v>
      </c>
      <c r="E22" s="4"/>
      <c r="F22" s="4"/>
      <c r="G22" s="4"/>
      <c r="H22" s="4"/>
      <c r="I22" s="4"/>
      <c r="J22" s="4"/>
      <c r="K22" s="4"/>
      <c r="L22" s="4"/>
      <c r="M22" s="4"/>
      <c r="N22" s="4"/>
      <c r="O22" s="4"/>
      <c r="P22" s="4"/>
      <c r="Q22" s="4"/>
      <c r="R22" s="4"/>
      <c r="S22" s="4"/>
      <c r="T22" s="4"/>
      <c r="U22" s="4"/>
      <c r="V22" s="4"/>
      <c r="W22" s="4"/>
      <c r="X22" s="4"/>
      <c r="Y22" s="4"/>
      <c r="Z22" s="4"/>
    </row>
    <row r="23" customFormat="false" ht="23.25" hidden="false" customHeight="true" outlineLevel="0" collapsed="false">
      <c r="A23" s="165" t="s">
        <v>2066</v>
      </c>
      <c r="B23" s="166" t="s">
        <v>2067</v>
      </c>
      <c r="C23" s="166" t="s">
        <v>2068</v>
      </c>
      <c r="D23" s="167" t="str">
        <f aca="false">HYPERLINK("#'CH2. Tham số &amp; Quy tắc'!A"&amp;MATCH("slaPLR48_hours",'CH2. Tham số &amp; Quy tắc'!$A:$A,0),"Đăng ký xác nhận thì tối đa "&amp;slaPLR48_hours&amp;"h phải xếp lớp. Tham số slaPLR48_hours.")</f>
        <v>Đăng ký xác nhận thì tối đa 48h phải xếp lớp. Tham số slaPLR48_hours.</v>
      </c>
      <c r="E23" s="4"/>
      <c r="F23" s="4"/>
      <c r="G23" s="4"/>
      <c r="H23" s="4"/>
      <c r="I23" s="4"/>
      <c r="J23" s="4"/>
      <c r="K23" s="4"/>
      <c r="L23" s="4"/>
      <c r="M23" s="4"/>
      <c r="N23" s="4"/>
      <c r="O23" s="4"/>
      <c r="P23" s="4"/>
      <c r="Q23" s="4"/>
      <c r="R23" s="4"/>
      <c r="S23" s="4"/>
      <c r="T23" s="4"/>
      <c r="U23" s="4"/>
      <c r="V23" s="4"/>
      <c r="W23" s="4"/>
      <c r="X23" s="4"/>
      <c r="Y23" s="4"/>
      <c r="Z23" s="4"/>
    </row>
    <row r="24" customFormat="false" ht="23.25" hidden="false" customHeight="true" outlineLevel="0" collapsed="false">
      <c r="A24" s="165" t="s">
        <v>2069</v>
      </c>
      <c r="B24" s="166" t="s">
        <v>2070</v>
      </c>
      <c r="C24" s="166" t="s">
        <v>2071</v>
      </c>
      <c r="D24" s="166" t="s">
        <v>2072</v>
      </c>
      <c r="E24" s="4"/>
      <c r="F24" s="4"/>
      <c r="G24" s="4"/>
      <c r="H24" s="4"/>
      <c r="I24" s="4"/>
      <c r="J24" s="4"/>
      <c r="K24" s="4"/>
      <c r="L24" s="4"/>
      <c r="M24" s="4"/>
      <c r="N24" s="4"/>
      <c r="O24" s="4"/>
      <c r="P24" s="4"/>
      <c r="Q24" s="4"/>
      <c r="R24" s="4"/>
      <c r="S24" s="4"/>
      <c r="T24" s="4"/>
      <c r="U24" s="4"/>
      <c r="V24" s="4"/>
      <c r="W24" s="4"/>
      <c r="X24" s="4"/>
      <c r="Y24" s="4"/>
      <c r="Z24" s="4"/>
    </row>
    <row r="25" customFormat="false" ht="23.25" hidden="false" customHeight="true" outlineLevel="0" collapsed="false">
      <c r="A25" s="164" t="s">
        <v>2073</v>
      </c>
      <c r="B25" s="164"/>
      <c r="C25" s="164"/>
      <c r="D25" s="164"/>
      <c r="E25" s="4"/>
      <c r="F25" s="4"/>
      <c r="G25" s="4"/>
      <c r="H25" s="4"/>
      <c r="I25" s="4"/>
      <c r="J25" s="4"/>
      <c r="K25" s="4"/>
      <c r="L25" s="4"/>
      <c r="M25" s="4"/>
      <c r="N25" s="4"/>
      <c r="O25" s="4"/>
      <c r="P25" s="4"/>
      <c r="Q25" s="4"/>
      <c r="R25" s="4"/>
      <c r="S25" s="4"/>
      <c r="T25" s="4"/>
      <c r="U25" s="4"/>
      <c r="V25" s="4"/>
      <c r="W25" s="4"/>
      <c r="X25" s="4"/>
      <c r="Y25" s="4"/>
      <c r="Z25" s="4"/>
    </row>
    <row r="26" customFormat="false" ht="23.25" hidden="false" customHeight="true" outlineLevel="0" collapsed="false">
      <c r="A26" s="165" t="s">
        <v>2074</v>
      </c>
      <c r="B26" s="166" t="s">
        <v>2075</v>
      </c>
      <c r="C26" s="166" t="s">
        <v>2076</v>
      </c>
      <c r="D26" s="166" t="s">
        <v>2077</v>
      </c>
      <c r="E26" s="4"/>
      <c r="F26" s="4"/>
      <c r="G26" s="4"/>
      <c r="H26" s="4"/>
      <c r="I26" s="4"/>
      <c r="J26" s="4"/>
      <c r="K26" s="4"/>
      <c r="L26" s="4"/>
      <c r="M26" s="4"/>
      <c r="N26" s="4"/>
      <c r="O26" s="4"/>
      <c r="P26" s="4"/>
      <c r="Q26" s="4"/>
      <c r="R26" s="4"/>
      <c r="S26" s="4"/>
      <c r="T26" s="4"/>
      <c r="U26" s="4"/>
      <c r="V26" s="4"/>
      <c r="W26" s="4"/>
      <c r="X26" s="4"/>
      <c r="Y26" s="4"/>
      <c r="Z26" s="4"/>
    </row>
    <row r="27" customFormat="false" ht="23.25" hidden="false" customHeight="true" outlineLevel="0" collapsed="false">
      <c r="A27" s="165" t="s">
        <v>2078</v>
      </c>
      <c r="B27" s="166" t="s">
        <v>2079</v>
      </c>
      <c r="C27" s="166" t="s">
        <v>2080</v>
      </c>
      <c r="D27" s="166" t="s">
        <v>2081</v>
      </c>
      <c r="E27" s="4"/>
      <c r="F27" s="4"/>
      <c r="G27" s="4"/>
      <c r="H27" s="4"/>
      <c r="I27" s="4"/>
      <c r="J27" s="4"/>
      <c r="K27" s="4"/>
      <c r="L27" s="4"/>
      <c r="M27" s="4"/>
      <c r="N27" s="4"/>
      <c r="O27" s="4"/>
      <c r="P27" s="4"/>
      <c r="Q27" s="4"/>
      <c r="R27" s="4"/>
      <c r="S27" s="4"/>
      <c r="T27" s="4"/>
      <c r="U27" s="4"/>
      <c r="V27" s="4"/>
      <c r="W27" s="4"/>
      <c r="X27" s="4"/>
      <c r="Y27" s="4"/>
      <c r="Z27" s="4"/>
    </row>
    <row r="28" customFormat="false" ht="23.25" hidden="false" customHeight="true" outlineLevel="0" collapsed="false">
      <c r="A28" s="165" t="s">
        <v>2082</v>
      </c>
      <c r="B28" s="166" t="s">
        <v>2083</v>
      </c>
      <c r="C28" s="166" t="s">
        <v>2084</v>
      </c>
      <c r="D28" s="166" t="s">
        <v>2085</v>
      </c>
      <c r="E28" s="4"/>
      <c r="F28" s="4"/>
      <c r="G28" s="4"/>
      <c r="H28" s="4"/>
      <c r="I28" s="4"/>
      <c r="J28" s="4"/>
      <c r="K28" s="4"/>
      <c r="L28" s="4"/>
      <c r="M28" s="4"/>
      <c r="N28" s="4"/>
      <c r="O28" s="4"/>
      <c r="P28" s="4"/>
      <c r="Q28" s="4"/>
      <c r="R28" s="4"/>
      <c r="S28" s="4"/>
      <c r="T28" s="4"/>
      <c r="U28" s="4"/>
      <c r="V28" s="4"/>
      <c r="W28" s="4"/>
      <c r="X28" s="4"/>
      <c r="Y28" s="4"/>
      <c r="Z28" s="4"/>
    </row>
    <row r="29" customFormat="false" ht="23.25" hidden="false" customHeight="true" outlineLevel="0" collapsed="false">
      <c r="A29" s="165" t="s">
        <v>2086</v>
      </c>
      <c r="B29" s="166" t="s">
        <v>2087</v>
      </c>
      <c r="C29" s="166" t="s">
        <v>2088</v>
      </c>
      <c r="D29" s="166" t="s">
        <v>2089</v>
      </c>
      <c r="E29" s="4"/>
      <c r="F29" s="4"/>
      <c r="G29" s="4"/>
      <c r="H29" s="4"/>
      <c r="I29" s="4"/>
      <c r="J29" s="4"/>
      <c r="K29" s="4"/>
      <c r="L29" s="4"/>
      <c r="M29" s="4"/>
      <c r="N29" s="4"/>
      <c r="O29" s="4"/>
      <c r="P29" s="4"/>
      <c r="Q29" s="4"/>
      <c r="R29" s="4"/>
      <c r="S29" s="4"/>
      <c r="T29" s="4"/>
      <c r="U29" s="4"/>
      <c r="V29" s="4"/>
      <c r="W29" s="4"/>
      <c r="X29" s="4"/>
      <c r="Y29" s="4"/>
      <c r="Z29" s="4"/>
    </row>
    <row r="30" customFormat="false" ht="23.25" hidden="false" customHeight="true" outlineLevel="0" collapsed="false">
      <c r="A30" s="165" t="s">
        <v>2090</v>
      </c>
      <c r="B30" s="166" t="s">
        <v>2091</v>
      </c>
      <c r="C30" s="166" t="s">
        <v>2092</v>
      </c>
      <c r="D30" s="166" t="s">
        <v>2093</v>
      </c>
      <c r="E30" s="4"/>
      <c r="F30" s="4"/>
      <c r="G30" s="4"/>
      <c r="H30" s="4"/>
      <c r="I30" s="4"/>
      <c r="J30" s="4"/>
      <c r="K30" s="4"/>
      <c r="L30" s="4"/>
      <c r="M30" s="4"/>
      <c r="N30" s="4"/>
      <c r="O30" s="4"/>
      <c r="P30" s="4"/>
      <c r="Q30" s="4"/>
      <c r="R30" s="4"/>
      <c r="S30" s="4"/>
      <c r="T30" s="4"/>
      <c r="U30" s="4"/>
      <c r="V30" s="4"/>
      <c r="W30" s="4"/>
      <c r="X30" s="4"/>
      <c r="Y30" s="4"/>
      <c r="Z30" s="4"/>
    </row>
    <row r="31" customFormat="false" ht="23.25" hidden="false" customHeight="true" outlineLevel="0" collapsed="false">
      <c r="A31" s="165" t="s">
        <v>2094</v>
      </c>
      <c r="B31" s="166" t="s">
        <v>2095</v>
      </c>
      <c r="C31" s="166" t="s">
        <v>2096</v>
      </c>
      <c r="D31" s="166" t="s">
        <v>2097</v>
      </c>
      <c r="E31" s="4"/>
      <c r="F31" s="4"/>
      <c r="G31" s="4"/>
      <c r="H31" s="4"/>
      <c r="I31" s="4"/>
      <c r="J31" s="4"/>
      <c r="K31" s="4"/>
      <c r="L31" s="4"/>
      <c r="M31" s="4"/>
      <c r="N31" s="4"/>
      <c r="O31" s="4"/>
      <c r="P31" s="4"/>
      <c r="Q31" s="4"/>
      <c r="R31" s="4"/>
      <c r="S31" s="4"/>
      <c r="T31" s="4"/>
      <c r="U31" s="4"/>
      <c r="V31" s="4"/>
      <c r="W31" s="4"/>
      <c r="X31" s="4"/>
      <c r="Y31" s="4"/>
      <c r="Z31" s="4"/>
    </row>
    <row r="32" customFormat="false" ht="23.25" hidden="false" customHeight="true" outlineLevel="0" collapsed="false">
      <c r="A32" s="165" t="s">
        <v>2098</v>
      </c>
      <c r="B32" s="166" t="s">
        <v>2099</v>
      </c>
      <c r="C32" s="166" t="s">
        <v>2100</v>
      </c>
      <c r="D32" s="166" t="s">
        <v>2101</v>
      </c>
      <c r="E32" s="4"/>
      <c r="F32" s="4"/>
      <c r="G32" s="4"/>
      <c r="H32" s="4"/>
      <c r="I32" s="4"/>
      <c r="J32" s="4"/>
      <c r="K32" s="4"/>
      <c r="L32" s="4"/>
      <c r="M32" s="4"/>
      <c r="N32" s="4"/>
      <c r="O32" s="4"/>
      <c r="P32" s="4"/>
      <c r="Q32" s="4"/>
      <c r="R32" s="4"/>
      <c r="S32" s="4"/>
      <c r="T32" s="4"/>
      <c r="U32" s="4"/>
      <c r="V32" s="4"/>
      <c r="W32" s="4"/>
      <c r="X32" s="4"/>
      <c r="Y32" s="4"/>
      <c r="Z32" s="4"/>
    </row>
    <row r="33" customFormat="false" ht="23.25" hidden="false" customHeight="true" outlineLevel="0" collapsed="false">
      <c r="A33" s="165" t="s">
        <v>2102</v>
      </c>
      <c r="B33" s="166" t="s">
        <v>2103</v>
      </c>
      <c r="C33" s="166" t="s">
        <v>2104</v>
      </c>
      <c r="D33" s="166" t="s">
        <v>2105</v>
      </c>
      <c r="E33" s="4"/>
      <c r="F33" s="4"/>
      <c r="G33" s="4"/>
      <c r="H33" s="4"/>
      <c r="I33" s="4"/>
      <c r="J33" s="4"/>
      <c r="K33" s="4"/>
      <c r="L33" s="4"/>
      <c r="M33" s="4"/>
      <c r="N33" s="4"/>
      <c r="O33" s="4"/>
      <c r="P33" s="4"/>
      <c r="Q33" s="4"/>
      <c r="R33" s="4"/>
      <c r="S33" s="4"/>
      <c r="T33" s="4"/>
      <c r="U33" s="4"/>
      <c r="V33" s="4"/>
      <c r="W33" s="4"/>
      <c r="X33" s="4"/>
      <c r="Y33" s="4"/>
      <c r="Z33" s="4"/>
    </row>
    <row r="34" customFormat="false" ht="23.25" hidden="false" customHeight="true" outlineLevel="0" collapsed="false">
      <c r="A34" s="165" t="s">
        <v>2106</v>
      </c>
      <c r="B34" s="166" t="s">
        <v>2107</v>
      </c>
      <c r="C34" s="166" t="s">
        <v>2108</v>
      </c>
      <c r="D34" s="166" t="s">
        <v>2109</v>
      </c>
      <c r="E34" s="4"/>
      <c r="F34" s="4"/>
      <c r="G34" s="4"/>
      <c r="H34" s="4"/>
      <c r="I34" s="4"/>
      <c r="J34" s="4"/>
      <c r="K34" s="4"/>
      <c r="L34" s="4"/>
      <c r="M34" s="4"/>
      <c r="N34" s="4"/>
      <c r="O34" s="4"/>
      <c r="P34" s="4"/>
      <c r="Q34" s="4"/>
      <c r="R34" s="4"/>
      <c r="S34" s="4"/>
      <c r="T34" s="4"/>
      <c r="U34" s="4"/>
      <c r="V34" s="4"/>
      <c r="W34" s="4"/>
      <c r="X34" s="4"/>
      <c r="Y34" s="4"/>
      <c r="Z34" s="4"/>
    </row>
    <row r="35" customFormat="false" ht="23.25" hidden="false" customHeight="true" outlineLevel="0" collapsed="false">
      <c r="A35" s="165" t="s">
        <v>2110</v>
      </c>
      <c r="B35" s="166" t="s">
        <v>2111</v>
      </c>
      <c r="C35" s="166" t="s">
        <v>2112</v>
      </c>
      <c r="D35" s="166" t="s">
        <v>2113</v>
      </c>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D1"/>
    <mergeCell ref="A2:D2"/>
    <mergeCell ref="A5:D5"/>
    <mergeCell ref="A10:D10"/>
    <mergeCell ref="A19:D19"/>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3226"/>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2.43"/>
    <col collapsed="false" customWidth="true" hidden="false" outlineLevel="0" max="2" min="2" style="1" width="48"/>
    <col collapsed="false" customWidth="true" hidden="false" outlineLevel="0" max="3" min="3" style="1" width="25"/>
    <col collapsed="false" customWidth="true" hidden="false" outlineLevel="0" max="4" min="4" style="1" width="13.15"/>
    <col collapsed="false" customWidth="true" hidden="false" outlineLevel="0" max="5" min="5" style="1" width="10.57"/>
    <col collapsed="false" customWidth="true" hidden="false" outlineLevel="0" max="6" min="6" style="1" width="60"/>
    <col collapsed="false" customWidth="true" hidden="false" outlineLevel="0" max="7" min="7" style="1" width="18.57"/>
    <col collapsed="false" customWidth="true" hidden="false" outlineLevel="0" max="26" min="8" style="1" width="8.71"/>
  </cols>
  <sheetData>
    <row r="1" customFormat="false" ht="25.5" hidden="false" customHeight="true" outlineLevel="0" collapsed="false">
      <c r="A1" s="168" t="s">
        <v>2114</v>
      </c>
      <c r="B1" s="168"/>
      <c r="C1" s="168"/>
      <c r="D1" s="168"/>
      <c r="E1" s="168"/>
      <c r="F1" s="168"/>
      <c r="G1" s="168"/>
    </row>
    <row r="2" customFormat="false" ht="30" hidden="false" customHeight="true" outlineLevel="0" collapsed="false">
      <c r="A2" s="29" t="s">
        <v>2115</v>
      </c>
      <c r="B2" s="29"/>
      <c r="C2" s="29"/>
      <c r="D2" s="29"/>
      <c r="E2" s="29"/>
      <c r="F2" s="29"/>
      <c r="G2" s="29"/>
    </row>
    <row r="3" customFormat="false" ht="23.25" hidden="false" customHeight="true" outlineLevel="0" collapsed="false">
      <c r="A3" s="169" t="s">
        <v>472</v>
      </c>
      <c r="B3" s="169" t="s">
        <v>2116</v>
      </c>
      <c r="C3" s="169" t="s">
        <v>2117</v>
      </c>
      <c r="D3" s="169" t="s">
        <v>2118</v>
      </c>
      <c r="E3" s="169" t="s">
        <v>2119</v>
      </c>
      <c r="F3" s="169" t="s">
        <v>2120</v>
      </c>
      <c r="G3" s="169" t="s">
        <v>2121</v>
      </c>
    </row>
    <row r="4" customFormat="false" ht="39" hidden="false" customHeight="true" outlineLevel="0" collapsed="false">
      <c r="A4" s="170" t="s">
        <v>2055</v>
      </c>
      <c r="B4" s="116" t="s">
        <v>2122</v>
      </c>
      <c r="C4" s="171" t="n">
        <f aca="false">slaLRT_minutes</f>
        <v>15</v>
      </c>
      <c r="D4" s="172" t="s">
        <v>2123</v>
      </c>
      <c r="E4" s="172" t="s">
        <v>2124</v>
      </c>
      <c r="F4" s="116" t="s">
        <v>2125</v>
      </c>
      <c r="G4" s="173" t="str">
        <f aca="false">HYPERLINK("#'BC2. Chỉ số KPI'!B"&amp;MATCH("LRT",'BC2. Chỉ số KPI'!$B:$B,0),"Mở BC2")</f>
        <v>Mở BC2</v>
      </c>
    </row>
    <row r="5" customFormat="false" ht="39" hidden="false" customHeight="true" outlineLevel="0" collapsed="false">
      <c r="A5" s="170" t="s">
        <v>2074</v>
      </c>
      <c r="B5" s="116" t="s">
        <v>2126</v>
      </c>
      <c r="C5" s="174" t="n">
        <v>0.6</v>
      </c>
      <c r="D5" s="172" t="s">
        <v>2127</v>
      </c>
      <c r="E5" s="172" t="s">
        <v>2124</v>
      </c>
      <c r="F5" s="116" t="s">
        <v>2128</v>
      </c>
      <c r="G5" s="173" t="str">
        <f aca="false">HYPERLINK("#'BC2. Chỉ số KPI'!B"&amp;MATCH("VLR",'BC2. Chỉ số KPI'!$B:$B,0),"Mở BC2")</f>
        <v>Mở BC2</v>
      </c>
    </row>
    <row r="6" customFormat="false" ht="39" hidden="false" customHeight="true" outlineLevel="0" collapsed="false">
      <c r="A6" s="170" t="s">
        <v>2129</v>
      </c>
      <c r="B6" s="116" t="s">
        <v>2130</v>
      </c>
      <c r="C6" s="174" t="n">
        <v>0.5</v>
      </c>
      <c r="D6" s="172" t="s">
        <v>2127</v>
      </c>
      <c r="E6" s="172" t="s">
        <v>2131</v>
      </c>
      <c r="F6" s="116" t="s">
        <v>2132</v>
      </c>
      <c r="G6" s="173" t="str">
        <f aca="false">HYPERLINK("#'BC2. Chỉ số KPI'!B"&amp;MATCH("TBR",'BC2. Chỉ số KPI'!$B:$B,0),"Mở BC2")</f>
        <v>Mở BC2</v>
      </c>
    </row>
    <row r="7" customFormat="false" ht="39" hidden="false" customHeight="true" outlineLevel="0" collapsed="false">
      <c r="A7" s="170" t="s">
        <v>2078</v>
      </c>
      <c r="B7" s="116" t="s">
        <v>2133</v>
      </c>
      <c r="C7" s="174" t="n">
        <v>0.85</v>
      </c>
      <c r="D7" s="172" t="s">
        <v>2127</v>
      </c>
      <c r="E7" s="172" t="s">
        <v>2131</v>
      </c>
      <c r="F7" s="116" t="s">
        <v>2134</v>
      </c>
      <c r="G7" s="173" t="str">
        <f aca="false">HYPERLINK("#'BC2. Chỉ số KPI'!B"&amp;MATCH("TAR",'BC2. Chỉ số KPI'!$B:$B,0),"Mở BC2")</f>
        <v>Mở BC2</v>
      </c>
    </row>
    <row r="8" customFormat="false" ht="39" hidden="false" customHeight="true" outlineLevel="0" collapsed="false">
      <c r="A8" s="170" t="s">
        <v>2135</v>
      </c>
      <c r="B8" s="116" t="s">
        <v>2136</v>
      </c>
      <c r="C8" s="174" t="n">
        <v>0.15</v>
      </c>
      <c r="D8" s="172" t="s">
        <v>2123</v>
      </c>
      <c r="E8" s="172" t="s">
        <v>2131</v>
      </c>
      <c r="F8" s="116" t="s">
        <v>2137</v>
      </c>
      <c r="G8" s="173" t="str">
        <f aca="false">HYPERLINK("#'BC2. Chỉ số KPI'!B"&amp;MATCH("NSR",'BC2. Chỉ số KPI'!$B:$B,0),"Mở BC2")</f>
        <v>Mở BC2</v>
      </c>
    </row>
    <row r="9" customFormat="false" ht="39" hidden="false" customHeight="true" outlineLevel="0" collapsed="false">
      <c r="A9" s="170" t="s">
        <v>2138</v>
      </c>
      <c r="B9" s="116" t="s">
        <v>2139</v>
      </c>
      <c r="C9" s="174" t="n">
        <v>0.8</v>
      </c>
      <c r="D9" s="172" t="s">
        <v>2127</v>
      </c>
      <c r="E9" s="172" t="s">
        <v>2131</v>
      </c>
      <c r="F9" s="116" t="s">
        <v>2140</v>
      </c>
      <c r="G9" s="173" t="str">
        <f aca="false">HYPERLINK("#'BC2. Chỉ số KPI'!B"&amp;MATCH("PTD",'BC2. Chỉ số KPI'!$B:$B,0),"Mở BC2")</f>
        <v>Mở BC2</v>
      </c>
    </row>
    <row r="10" customFormat="false" ht="39" hidden="false" customHeight="true" outlineLevel="0" collapsed="false">
      <c r="A10" s="170" t="s">
        <v>2059</v>
      </c>
      <c r="B10" s="116" t="s">
        <v>2141</v>
      </c>
      <c r="C10" s="174" t="n">
        <v>1</v>
      </c>
      <c r="D10" s="172" t="s">
        <v>2127</v>
      </c>
      <c r="E10" s="172" t="s">
        <v>2131</v>
      </c>
      <c r="F10" s="116" t="s">
        <v>2142</v>
      </c>
      <c r="G10" s="173" t="str">
        <f aca="false">HYPERLINK("#'BC2. Chỉ số KPI'!B"&amp;MATCH("GLA",'BC2. Chỉ số KPI'!$B:$B,0),"Mở BC2")</f>
        <v>Mở BC2</v>
      </c>
    </row>
    <row r="11" customFormat="false" ht="39" hidden="false" customHeight="true" outlineLevel="0" collapsed="false">
      <c r="A11" s="170" t="s">
        <v>2143</v>
      </c>
      <c r="B11" s="116" t="s">
        <v>2144</v>
      </c>
      <c r="C11" s="174" t="n">
        <v>1</v>
      </c>
      <c r="D11" s="172" t="s">
        <v>2127</v>
      </c>
      <c r="E11" s="172" t="s">
        <v>2131</v>
      </c>
      <c r="F11" s="116" t="s">
        <v>2145</v>
      </c>
      <c r="G11" s="173" t="str">
        <f aca="false">HYPERLINK("#'BC2. Chỉ số KPI'!B"&amp;MATCH("ANR",'BC2. Chỉ số KPI'!$B:$B,0),"Mở BC2")</f>
        <v>Mở BC2</v>
      </c>
    </row>
    <row r="12" customFormat="false" ht="39" hidden="false" customHeight="true" outlineLevel="0" collapsed="false">
      <c r="A12" s="170" t="s">
        <v>2146</v>
      </c>
      <c r="B12" s="116" t="s">
        <v>2147</v>
      </c>
      <c r="C12" s="174" t="n">
        <v>0.5</v>
      </c>
      <c r="D12" s="172" t="s">
        <v>2127</v>
      </c>
      <c r="E12" s="172" t="s">
        <v>2148</v>
      </c>
      <c r="F12" s="116" t="s">
        <v>2149</v>
      </c>
      <c r="G12" s="173" t="str">
        <f aca="false">HYPERLINK("#'BC2. Chỉ số KPI'!B"&amp;MATCH("CR3",'BC2. Chỉ số KPI'!$B:$B,0),"Mở BC2")</f>
        <v>Mở BC2</v>
      </c>
    </row>
    <row r="13" customFormat="false" ht="39" hidden="false" customHeight="true" outlineLevel="0" collapsed="false">
      <c r="A13" s="170" t="s">
        <v>2082</v>
      </c>
      <c r="B13" s="116" t="s">
        <v>2150</v>
      </c>
      <c r="C13" s="174" t="n">
        <v>0.4</v>
      </c>
      <c r="D13" s="172" t="s">
        <v>2127</v>
      </c>
      <c r="E13" s="172" t="s">
        <v>2148</v>
      </c>
      <c r="F13" s="116" t="s">
        <v>2151</v>
      </c>
      <c r="G13" s="173" t="str">
        <f aca="false">HYPERLINK("#'BC2. Chỉ số KPI'!B"&amp;MATCH("CVR",'BC2. Chỉ số KPI'!$B:$B,0),"Mở BC2")</f>
        <v>Mở BC2</v>
      </c>
    </row>
    <row r="14" customFormat="false" ht="39" hidden="false" customHeight="true" outlineLevel="0" collapsed="false">
      <c r="A14" s="170" t="s">
        <v>2152</v>
      </c>
      <c r="B14" s="116" t="s">
        <v>2153</v>
      </c>
      <c r="C14" s="174" t="n">
        <v>0.3</v>
      </c>
      <c r="D14" s="172" t="s">
        <v>2123</v>
      </c>
      <c r="E14" s="172" t="s">
        <v>2148</v>
      </c>
      <c r="F14" s="116" t="s">
        <v>2154</v>
      </c>
      <c r="G14" s="173" t="str">
        <f aca="false">HYPERLINK("#'BC2. Chỉ số KPI'!B"&amp;MATCH("DR3",'BC2. Chỉ số KPI'!$B:$B,0),"Mở BC2")</f>
        <v>Mở BC2</v>
      </c>
    </row>
    <row r="15" customFormat="false" ht="39" hidden="false" customHeight="true" outlineLevel="0" collapsed="false">
      <c r="A15" s="170" t="s">
        <v>2062</v>
      </c>
      <c r="B15" s="116" t="s">
        <v>2155</v>
      </c>
      <c r="C15" s="171" t="n">
        <f aca="false">slaCVT_hours</f>
        <v>24</v>
      </c>
      <c r="D15" s="172" t="s">
        <v>2123</v>
      </c>
      <c r="E15" s="172" t="s">
        <v>2148</v>
      </c>
      <c r="F15" s="116" t="s">
        <v>2156</v>
      </c>
      <c r="G15" s="173" t="str">
        <f aca="false">HYPERLINK("#'BC2. Chỉ số KPI'!B"&amp;MATCH("CVT",'BC2. Chỉ số KPI'!$B:$B,0),"Mở BC2")</f>
        <v>Mở BC2</v>
      </c>
    </row>
    <row r="16" customFormat="false" ht="39" hidden="false" customHeight="true" outlineLevel="0" collapsed="false">
      <c r="A16" s="170" t="s">
        <v>2086</v>
      </c>
      <c r="B16" s="116" t="s">
        <v>2157</v>
      </c>
      <c r="C16" s="174" t="n">
        <v>0.8</v>
      </c>
      <c r="D16" s="172" t="s">
        <v>2127</v>
      </c>
      <c r="E16" s="172" t="s">
        <v>2158</v>
      </c>
      <c r="F16" s="116" t="s">
        <v>2159</v>
      </c>
      <c r="G16" s="173" t="str">
        <f aca="false">HYPERLINK("#'BC2. Chỉ số KPI'!B"&amp;MATCH("PCR",'BC2. Chỉ số KPI'!$B:$B,0),"Mở BC2")</f>
        <v>Mở BC2</v>
      </c>
    </row>
    <row r="17" customFormat="false" ht="39" hidden="false" customHeight="true" outlineLevel="0" collapsed="false">
      <c r="A17" s="170" t="s">
        <v>2160</v>
      </c>
      <c r="B17" s="116" t="s">
        <v>2161</v>
      </c>
      <c r="C17" s="174" t="n">
        <v>0.05</v>
      </c>
      <c r="D17" s="172" t="s">
        <v>2123</v>
      </c>
      <c r="E17" s="172" t="s">
        <v>2158</v>
      </c>
      <c r="F17" s="116" t="s">
        <v>2162</v>
      </c>
      <c r="G17" s="173" t="str">
        <f aca="false">HYPERLINK("#'BC2. Chỉ số KPI'!B"&amp;MATCH("CAR",'BC2. Chỉ số KPI'!$B:$B,0),"Mở BC2")</f>
        <v>Mở BC2</v>
      </c>
    </row>
    <row r="18" customFormat="false" ht="39" hidden="false" customHeight="true" outlineLevel="0" collapsed="false">
      <c r="A18" s="170" t="s">
        <v>2066</v>
      </c>
      <c r="B18" s="116" t="s">
        <v>2163</v>
      </c>
      <c r="C18" s="174" t="n">
        <v>0.9</v>
      </c>
      <c r="D18" s="172" t="s">
        <v>2127</v>
      </c>
      <c r="E18" s="172" t="s">
        <v>2164</v>
      </c>
      <c r="F18" s="116" t="s">
        <v>2165</v>
      </c>
      <c r="G18" s="173" t="str">
        <f aca="false">HYPERLINK("#'BC2. Chỉ số KPI'!B"&amp;MATCH("PLR48",'BC2. Chỉ số KPI'!$B:$B,0),"Mở BC2")</f>
        <v>Mở BC2</v>
      </c>
    </row>
    <row r="19" customFormat="false" ht="39" hidden="false" customHeight="true" outlineLevel="0" collapsed="false">
      <c r="A19" s="170" t="s">
        <v>2166</v>
      </c>
      <c r="B19" s="116" t="s">
        <v>2167</v>
      </c>
      <c r="C19" s="174" t="n">
        <v>0.85</v>
      </c>
      <c r="D19" s="172" t="s">
        <v>2127</v>
      </c>
      <c r="E19" s="172" t="s">
        <v>2164</v>
      </c>
      <c r="F19" s="116" t="s">
        <v>2168</v>
      </c>
      <c r="G19" s="173" t="str">
        <f aca="false">HYPERLINK("#'BC2. Chỉ số KPI'!B"&amp;MATCH("CLR",'BC2. Chỉ số KPI'!$B:$B,0),"Mở BC2")</f>
        <v>Mở BC2</v>
      </c>
    </row>
    <row r="20" customFormat="false" ht="39" hidden="false" customHeight="true" outlineLevel="0" collapsed="false">
      <c r="A20" s="170" t="s">
        <v>2169</v>
      </c>
      <c r="B20" s="116" t="s">
        <v>2170</v>
      </c>
      <c r="C20" s="174" t="n">
        <v>0.7</v>
      </c>
      <c r="D20" s="172" t="s">
        <v>2127</v>
      </c>
      <c r="E20" s="172" t="s">
        <v>2164</v>
      </c>
      <c r="F20" s="116" t="s">
        <v>2171</v>
      </c>
      <c r="G20" s="173" t="str">
        <f aca="false">HYPERLINK("#'BC2. Chỉ số KPI'!B"&amp;MATCH("CUR",'BC2. Chỉ số KPI'!$B:$B,0),"Mở BC2")</f>
        <v>Mở BC2</v>
      </c>
    </row>
    <row r="21" customFormat="false" ht="39" hidden="false" customHeight="true" outlineLevel="0" collapsed="false">
      <c r="A21" s="170" t="s">
        <v>2069</v>
      </c>
      <c r="B21" s="116" t="s">
        <v>2172</v>
      </c>
      <c r="C21" s="171" t="n">
        <f aca="false">slaOBT_hours</f>
        <v>72</v>
      </c>
      <c r="D21" s="172" t="s">
        <v>2123</v>
      </c>
      <c r="E21" s="172" t="s">
        <v>2164</v>
      </c>
      <c r="F21" s="116" t="s">
        <v>2173</v>
      </c>
      <c r="G21" s="173" t="str">
        <f aca="false">HYPERLINK("#'BC2. Chỉ số KPI'!B"&amp;MATCH("OBT",'BC2. Chỉ số KPI'!$B:$B,0),"Mở BC2")</f>
        <v>Mở BC2</v>
      </c>
    </row>
    <row r="22" customFormat="false" ht="39" hidden="false" customHeight="true" outlineLevel="0" collapsed="false">
      <c r="A22" s="170" t="s">
        <v>2090</v>
      </c>
      <c r="B22" s="116" t="s">
        <v>2174</v>
      </c>
      <c r="C22" s="174" t="n">
        <v>0.85</v>
      </c>
      <c r="D22" s="172" t="s">
        <v>2127</v>
      </c>
      <c r="E22" s="172" t="s">
        <v>2175</v>
      </c>
      <c r="F22" s="116" t="s">
        <v>2176</v>
      </c>
      <c r="G22" s="173" t="str">
        <f aca="false">HYPERLINK("#'BC2. Chỉ số KPI'!B"&amp;MATCH("ATR",'BC2. Chỉ số KPI'!$B:$B,0),"Mở BC2")</f>
        <v>Mở BC2</v>
      </c>
    </row>
    <row r="23" customFormat="false" ht="39" hidden="false" customHeight="true" outlineLevel="0" collapsed="false">
      <c r="A23" s="170" t="s">
        <v>2094</v>
      </c>
      <c r="B23" s="116" t="s">
        <v>2177</v>
      </c>
      <c r="C23" s="174" t="n">
        <v>0.05</v>
      </c>
      <c r="D23" s="172" t="s">
        <v>2123</v>
      </c>
      <c r="E23" s="172" t="s">
        <v>2175</v>
      </c>
      <c r="F23" s="116" t="s">
        <v>2178</v>
      </c>
      <c r="G23" s="173" t="str">
        <f aca="false">HYPERLINK("#'BC2. Chỉ số KPI'!B"&amp;MATCH("UAR",'BC2. Chỉ số KPI'!$B:$B,0),"Mở BC2")</f>
        <v>Mở BC2</v>
      </c>
    </row>
    <row r="24" customFormat="false" ht="39" hidden="false" customHeight="true" outlineLevel="0" collapsed="false">
      <c r="A24" s="170" t="s">
        <v>2098</v>
      </c>
      <c r="B24" s="116" t="s">
        <v>2179</v>
      </c>
      <c r="C24" s="174" t="n">
        <v>0.1</v>
      </c>
      <c r="D24" s="172" t="s">
        <v>2123</v>
      </c>
      <c r="E24" s="172" t="s">
        <v>2175</v>
      </c>
      <c r="F24" s="116" t="s">
        <v>2180</v>
      </c>
      <c r="G24" s="173" t="str">
        <f aca="false">HYPERLINK("#'BC2. Chỉ số KPI'!B"&amp;MATCH("ARR",'BC2. Chỉ số KPI'!$B:$B,0),"Mở BC2")</f>
        <v>Mở BC2</v>
      </c>
    </row>
    <row r="25" customFormat="false" ht="39" hidden="false" customHeight="true" outlineLevel="0" collapsed="false">
      <c r="A25" s="170" t="s">
        <v>2181</v>
      </c>
      <c r="B25" s="116" t="s">
        <v>2182</v>
      </c>
      <c r="C25" s="174" t="n">
        <v>0.1</v>
      </c>
      <c r="D25" s="172" t="s">
        <v>2123</v>
      </c>
      <c r="E25" s="172" t="s">
        <v>2175</v>
      </c>
      <c r="F25" s="116" t="s">
        <v>2183</v>
      </c>
      <c r="G25" s="173" t="str">
        <f aca="false">HYPERLINK("#'BC2. Chỉ số KPI'!B"&amp;MATCH("AIR",'BC2. Chỉ số KPI'!$B:$B,0),"Mở BC2")</f>
        <v>Mở BC2</v>
      </c>
    </row>
    <row r="26" customFormat="false" ht="39" hidden="false" customHeight="true" outlineLevel="0" collapsed="false">
      <c r="A26" s="170" t="s">
        <v>2184</v>
      </c>
      <c r="B26" s="116" t="s">
        <v>2185</v>
      </c>
      <c r="C26" s="174" t="n">
        <v>0.5</v>
      </c>
      <c r="D26" s="172" t="s">
        <v>2127</v>
      </c>
      <c r="E26" s="172" t="s">
        <v>2175</v>
      </c>
      <c r="F26" s="116" t="s">
        <v>2186</v>
      </c>
      <c r="G26" s="173" t="str">
        <f aca="false">HYPERLINK("#'BC2. Chỉ số KPI'!B"&amp;MATCH("RCR",'BC2. Chỉ số KPI'!$B:$B,0),"Mở BC2")</f>
        <v>Mở BC2</v>
      </c>
    </row>
    <row r="27" customFormat="false" ht="39" hidden="false" customHeight="true" outlineLevel="0" collapsed="false">
      <c r="A27" s="170" t="s">
        <v>2187</v>
      </c>
      <c r="B27" s="116" t="s">
        <v>2188</v>
      </c>
      <c r="C27" s="174" t="n">
        <v>1</v>
      </c>
      <c r="D27" s="172" t="s">
        <v>2127</v>
      </c>
      <c r="E27" s="172" t="s">
        <v>2189</v>
      </c>
      <c r="F27" s="116" t="s">
        <v>2190</v>
      </c>
      <c r="G27" s="173" t="str">
        <f aca="false">HYPERLINK("#'BC2. Chỉ số KPI'!B"&amp;MATCH("GCR7",'BC2. Chỉ số KPI'!$B:$B,0),"Mở BC2")</f>
        <v>Mở BC2</v>
      </c>
    </row>
    <row r="28" customFormat="false" ht="39" hidden="false" customHeight="true" outlineLevel="0" collapsed="false">
      <c r="A28" s="170" t="s">
        <v>2191</v>
      </c>
      <c r="B28" s="116" t="s">
        <v>2192</v>
      </c>
      <c r="C28" s="174" t="n">
        <v>0.6</v>
      </c>
      <c r="D28" s="172" t="s">
        <v>2127</v>
      </c>
      <c r="E28" s="172" t="s">
        <v>2189</v>
      </c>
      <c r="F28" s="116" t="s">
        <v>2193</v>
      </c>
      <c r="G28" s="173" t="str">
        <f aca="false">HYPERLINK("#'BC2. Chỉ số KPI'!B"&amp;MATCH("WOR",'BC2. Chỉ số KPI'!$B:$B,0),"Mở BC2")</f>
        <v>Mở BC2</v>
      </c>
    </row>
    <row r="29" customFormat="false" ht="39" hidden="false" customHeight="true" outlineLevel="0" collapsed="false">
      <c r="A29" s="170" t="s">
        <v>2194</v>
      </c>
      <c r="B29" s="116" t="s">
        <v>2195</v>
      </c>
      <c r="C29" s="174" t="n">
        <v>0.15</v>
      </c>
      <c r="D29" s="172" t="s">
        <v>2123</v>
      </c>
      <c r="E29" s="172" t="s">
        <v>2196</v>
      </c>
      <c r="F29" s="116" t="s">
        <v>2197</v>
      </c>
      <c r="G29" s="173" t="str">
        <f aca="false">HYPERLINK("#'BC2. Chỉ số KPI'!B"&amp;MATCH("NER",'BC2. Chỉ số KPI'!$B:$B,0),"Mở BC2")</f>
        <v>Mở BC2</v>
      </c>
    </row>
    <row r="30" customFormat="false" ht="39" hidden="false" customHeight="true" outlineLevel="0" collapsed="false">
      <c r="A30" s="170" t="s">
        <v>2102</v>
      </c>
      <c r="B30" s="116" t="s">
        <v>2198</v>
      </c>
      <c r="C30" s="174" t="n">
        <v>0.03</v>
      </c>
      <c r="D30" s="172" t="s">
        <v>2123</v>
      </c>
      <c r="E30" s="172" t="s">
        <v>2199</v>
      </c>
      <c r="F30" s="116" t="s">
        <v>2200</v>
      </c>
      <c r="G30" s="173" t="str">
        <f aca="false">HYPERLINK("#'BC2. Chỉ số KPI'!B"&amp;MATCH("CIR",'BC2. Chỉ số KPI'!$B:$B,0),"Mở BC2")</f>
        <v>Mở BC2</v>
      </c>
    </row>
    <row r="31" customFormat="false" ht="39" hidden="false" customHeight="true" outlineLevel="0" collapsed="false">
      <c r="A31" s="170" t="s">
        <v>2106</v>
      </c>
      <c r="B31" s="116" t="s">
        <v>2201</v>
      </c>
      <c r="C31" s="174" t="n">
        <v>0.9</v>
      </c>
      <c r="D31" s="172" t="s">
        <v>2127</v>
      </c>
      <c r="E31" s="172" t="s">
        <v>2199</v>
      </c>
      <c r="F31" s="116" t="s">
        <v>2202</v>
      </c>
      <c r="G31" s="173" t="str">
        <f aca="false">HYPERLINK("#'BC2. Chỉ số KPI'!B"&amp;MATCH("RR",'BC2. Chỉ số KPI'!$B:$B,0),"Mở BC2")</f>
        <v>Mở BC2</v>
      </c>
    </row>
    <row r="32" customFormat="false" ht="39" hidden="false" customHeight="true" outlineLevel="0" collapsed="false">
      <c r="A32" s="170" t="s">
        <v>2203</v>
      </c>
      <c r="B32" s="116" t="s">
        <v>2204</v>
      </c>
      <c r="C32" s="174" t="n">
        <v>0.85</v>
      </c>
      <c r="D32" s="172" t="s">
        <v>2127</v>
      </c>
      <c r="E32" s="172" t="s">
        <v>2205</v>
      </c>
      <c r="F32" s="116" t="s">
        <v>2206</v>
      </c>
      <c r="G32" s="173" t="str">
        <f aca="false">HYPERLINK("#'BC2. Chỉ số KPI'!B"&amp;MATCH("CR10",'BC2. Chỉ số KPI'!$B:$B,0),"Mở BC2")</f>
        <v>Mở BC2</v>
      </c>
    </row>
    <row r="33" customFormat="false" ht="39" hidden="false" customHeight="true" outlineLevel="0" collapsed="false">
      <c r="A33" s="170" t="s">
        <v>2110</v>
      </c>
      <c r="B33" s="116" t="s">
        <v>2207</v>
      </c>
      <c r="C33" s="174" t="n">
        <v>0.4</v>
      </c>
      <c r="D33" s="172" t="s">
        <v>2127</v>
      </c>
      <c r="E33" s="172" t="s">
        <v>2205</v>
      </c>
      <c r="F33" s="116" t="s">
        <v>2208</v>
      </c>
      <c r="G33" s="173" t="str">
        <f aca="false">HYPERLINK("#'BC2. Chỉ số KPI'!B"&amp;MATCH("RER",'BC2. Chỉ số KPI'!$B:$B,0),"Mở BC2")</f>
        <v>Mở BC2</v>
      </c>
    </row>
    <row r="34" customFormat="false" ht="39" hidden="false" customHeight="true" outlineLevel="0" collapsed="false">
      <c r="A34" s="170" t="s">
        <v>2209</v>
      </c>
      <c r="B34" s="116" t="s">
        <v>2210</v>
      </c>
      <c r="C34" s="174" t="n">
        <v>0.9</v>
      </c>
      <c r="D34" s="172" t="s">
        <v>2127</v>
      </c>
      <c r="E34" s="172" t="s">
        <v>2148</v>
      </c>
      <c r="F34" s="116" t="s">
        <v>2211</v>
      </c>
      <c r="G34" s="173" t="str">
        <f aca="false">HYPERLINK("#'BC2. Chỉ số KPI'!B"&amp;MATCH("FUR",'BC2. Chỉ số KPI'!$B:$B,0),"Mở BC2")</f>
        <v>Mở BC2</v>
      </c>
    </row>
    <row r="35" customFormat="false" ht="39" hidden="false" customHeight="true" outlineLevel="0" collapsed="false">
      <c r="A35" s="170" t="s">
        <v>2212</v>
      </c>
      <c r="B35" s="116" t="s">
        <v>2213</v>
      </c>
      <c r="C35" s="174" t="n">
        <v>0.8</v>
      </c>
      <c r="D35" s="172" t="s">
        <v>2127</v>
      </c>
      <c r="E35" s="172" t="s">
        <v>2189</v>
      </c>
      <c r="F35" s="116" t="s">
        <v>2214</v>
      </c>
      <c r="G35" s="173" t="str">
        <f aca="false">HYPERLINK("#'BC2. Chỉ số KPI'!B"&amp;MATCH("HCR",'BC2. Chỉ số KPI'!$B:$B,0),"Mở BC2")</f>
        <v>Mở BC2</v>
      </c>
    </row>
    <row r="36" customFormat="false" ht="39" hidden="false" customHeight="true" outlineLevel="0" collapsed="false">
      <c r="A36" s="170" t="s">
        <v>2215</v>
      </c>
      <c r="B36" s="116" t="s">
        <v>2216</v>
      </c>
      <c r="C36" s="174" t="n">
        <v>0.7</v>
      </c>
      <c r="D36" s="172" t="s">
        <v>2127</v>
      </c>
      <c r="E36" s="172" t="s">
        <v>2189</v>
      </c>
      <c r="F36" s="116" t="s">
        <v>2217</v>
      </c>
      <c r="G36" s="173" t="str">
        <f aca="false">HYPERLINK("#'BC2. Chỉ số KPI'!B"&amp;MATCH("OTR7",'BC2. Chỉ số KPI'!$B:$B,0),"Mở BC2")</f>
        <v>Mở BC2</v>
      </c>
    </row>
    <row r="37" customFormat="false" ht="39" hidden="false" customHeight="true" outlineLevel="0" collapsed="false">
      <c r="A37" s="170" t="s">
        <v>2218</v>
      </c>
      <c r="B37" s="116" t="s">
        <v>2219</v>
      </c>
      <c r="C37" s="174" t="n">
        <v>0.9</v>
      </c>
      <c r="D37" s="172" t="s">
        <v>2127</v>
      </c>
      <c r="E37" s="172" t="s">
        <v>2189</v>
      </c>
      <c r="F37" s="116" t="s">
        <v>2220</v>
      </c>
      <c r="G37" s="173" t="str">
        <f aca="false">HYPERLINK("#'BC2. Chỉ số KPI'!B"&amp;MATCH("TNR",'BC2. Chỉ số KPI'!$B:$B,0),"Mở BC2")</f>
        <v>Mở BC2</v>
      </c>
    </row>
    <row r="38" customFormat="false" ht="39" hidden="false" customHeight="true" outlineLevel="0" collapsed="false">
      <c r="A38" s="170" t="s">
        <v>2221</v>
      </c>
      <c r="B38" s="116" t="s">
        <v>2222</v>
      </c>
      <c r="C38" s="174" t="n">
        <v>0.95</v>
      </c>
      <c r="D38" s="172" t="s">
        <v>2127</v>
      </c>
      <c r="E38" s="172" t="s">
        <v>2175</v>
      </c>
      <c r="F38" s="116" t="s">
        <v>2223</v>
      </c>
      <c r="G38" s="173" t="str">
        <f aca="false">HYPERLINK("#'BC2. Chỉ số KPI'!B"&amp;MATCH("ADC",'BC2. Chỉ số KPI'!$B:$B,0),"Mở BC2")</f>
        <v>Mở BC2</v>
      </c>
    </row>
    <row r="39" customFormat="false" ht="39" hidden="false" customHeight="true" outlineLevel="0" collapsed="false">
      <c r="A39" s="170" t="s">
        <v>2224</v>
      </c>
      <c r="B39" s="116" t="s">
        <v>2225</v>
      </c>
      <c r="C39" s="171" t="n">
        <v>0.5</v>
      </c>
      <c r="D39" s="172" t="s">
        <v>2127</v>
      </c>
      <c r="E39" s="172" t="s">
        <v>2189</v>
      </c>
      <c r="F39" s="116" t="s">
        <v>2226</v>
      </c>
      <c r="G39" s="173" t="str">
        <f aca="false">HYPERLINK("#'BC2. Chỉ số KPI'!B"&amp;MATCH("SPR",'BC2. Chỉ số KPI'!$B:$B,0),"Mở BC2")</f>
        <v>Mở BC2</v>
      </c>
    </row>
    <row r="40" customFormat="false" ht="39" hidden="false" customHeight="true" outlineLevel="0" collapsed="false">
      <c r="A40" s="170" t="s">
        <v>2227</v>
      </c>
      <c r="B40" s="116" t="s">
        <v>2228</v>
      </c>
      <c r="C40" s="171" t="n">
        <v>4.5</v>
      </c>
      <c r="D40" s="172" t="s">
        <v>2127</v>
      </c>
      <c r="E40" s="172" t="s">
        <v>2196</v>
      </c>
      <c r="F40" s="116" t="s">
        <v>2229</v>
      </c>
      <c r="G40" s="173" t="str">
        <f aca="false">HYPERLINK("#'BC2. Chỉ số KPI'!B"&amp;MATCH("SS",'BC2. Chỉ số KPI'!$B:$B,0),"Mở BC2")</f>
        <v>Mở BC2</v>
      </c>
    </row>
    <row r="41" customFormat="false" ht="39" hidden="false" customHeight="true" outlineLevel="0" collapsed="false">
      <c r="A41" s="170" t="s">
        <v>2230</v>
      </c>
      <c r="B41" s="116" t="s">
        <v>2231</v>
      </c>
      <c r="C41" s="174" t="n">
        <v>0.6</v>
      </c>
      <c r="D41" s="172" t="s">
        <v>2127</v>
      </c>
      <c r="E41" s="172" t="s">
        <v>2196</v>
      </c>
      <c r="F41" s="116" t="s">
        <v>2232</v>
      </c>
      <c r="G41" s="173" t="str">
        <f aca="false">HYPERLINK("#'BC2. Chỉ số KPI'!B"&amp;MATCH("SRR",'BC2. Chỉ số KPI'!$B:$B,0),"Mở BC2")</f>
        <v>Mở BC2</v>
      </c>
    </row>
    <row r="42" customFormat="false" ht="39" hidden="false" customHeight="true" outlineLevel="0" collapsed="false">
      <c r="A42" s="170" t="s">
        <v>2233</v>
      </c>
      <c r="B42" s="116" t="s">
        <v>2234</v>
      </c>
      <c r="C42" s="174" t="n">
        <v>1</v>
      </c>
      <c r="D42" s="172" t="s">
        <v>2127</v>
      </c>
      <c r="E42" s="172" t="s">
        <v>2196</v>
      </c>
      <c r="F42" s="116" t="s">
        <v>2235</v>
      </c>
      <c r="G42" s="173" t="str">
        <f aca="false">HYPERLINK("#'BC2. Chỉ số KPI'!B"&amp;MATCH("FTR",'BC2. Chỉ số KPI'!$B:$B,0),"Mở BC2")</f>
        <v>Mở BC2</v>
      </c>
    </row>
    <row r="43" customFormat="false" ht="39" hidden="false" customHeight="true" outlineLevel="0" collapsed="false">
      <c r="A43" s="170" t="s">
        <v>2236</v>
      </c>
      <c r="B43" s="116" t="s">
        <v>2237</v>
      </c>
      <c r="C43" s="174" t="n">
        <v>0.5</v>
      </c>
      <c r="D43" s="172" t="s">
        <v>2127</v>
      </c>
      <c r="E43" s="172" t="s">
        <v>2196</v>
      </c>
      <c r="F43" s="116" t="s">
        <v>2238</v>
      </c>
      <c r="G43" s="173" t="str">
        <f aca="false">HYPERLINK("#'BC2. Chỉ số KPI'!B"&amp;MATCH("NPS",'BC2. Chỉ số KPI'!$B:$B,0),"Mở BC2")</f>
        <v>Mở BC2</v>
      </c>
    </row>
    <row r="44" customFormat="false" ht="39" hidden="false" customHeight="true" outlineLevel="0" collapsed="false">
      <c r="A44" s="170" t="s">
        <v>2239</v>
      </c>
      <c r="B44" s="116" t="s">
        <v>2240</v>
      </c>
      <c r="C44" s="174" t="n">
        <v>0.9</v>
      </c>
      <c r="D44" s="172" t="s">
        <v>2127</v>
      </c>
      <c r="E44" s="172" t="s">
        <v>2199</v>
      </c>
      <c r="F44" s="116" t="s">
        <v>2241</v>
      </c>
      <c r="G44" s="173" t="str">
        <f aca="false">HYPERLINK("#'BC2. Chỉ số KPI'!B"&amp;MATCH("SLA_R",'BC2. Chỉ số KPI'!$B:$B,0),"Mở BC2")</f>
        <v>Mở BC2</v>
      </c>
    </row>
    <row r="45" customFormat="false" ht="39" hidden="false" customHeight="true" outlineLevel="0" collapsed="false">
      <c r="A45" s="170" t="s">
        <v>2242</v>
      </c>
      <c r="B45" s="116" t="s">
        <v>2243</v>
      </c>
      <c r="C45" s="171" t="n">
        <v>24</v>
      </c>
      <c r="D45" s="172" t="s">
        <v>2123</v>
      </c>
      <c r="E45" s="172" t="s">
        <v>2199</v>
      </c>
      <c r="F45" s="116" t="s">
        <v>2244</v>
      </c>
      <c r="G45" s="173" t="str">
        <f aca="false">HYPERLINK("#'BC2. Chỉ số KPI'!B"&amp;MATCH("CTR",'BC2. Chỉ số KPI'!$B:$B,0),"Mở BC2")</f>
        <v>Mở BC2</v>
      </c>
    </row>
    <row r="46" customFormat="false" ht="39" hidden="false" customHeight="true" outlineLevel="0" collapsed="false">
      <c r="A46" s="170" t="s">
        <v>2245</v>
      </c>
      <c r="B46" s="116" t="s">
        <v>2246</v>
      </c>
      <c r="C46" s="174" t="n">
        <v>0.7</v>
      </c>
      <c r="D46" s="172" t="s">
        <v>2127</v>
      </c>
      <c r="E46" s="172" t="s">
        <v>2205</v>
      </c>
      <c r="F46" s="116" t="s">
        <v>2247</v>
      </c>
      <c r="G46" s="173" t="str">
        <f aca="false">HYPERLINK("#'BC2. Chỉ số KPI'!B"&amp;MATCH("AR",'BC2. Chỉ số KPI'!$B:$B,0),"Mở BC2")</f>
        <v>Mở BC2</v>
      </c>
    </row>
    <row r="47" customFormat="false" ht="39" hidden="false" customHeight="true" outlineLevel="0" collapsed="false">
      <c r="A47" s="170" t="s">
        <v>2248</v>
      </c>
      <c r="B47" s="116" t="s">
        <v>2249</v>
      </c>
      <c r="C47" s="174" t="n">
        <v>0.1</v>
      </c>
      <c r="D47" s="172" t="s">
        <v>2123</v>
      </c>
      <c r="E47" s="172" t="s">
        <v>2205</v>
      </c>
      <c r="F47" s="116" t="s">
        <v>2250</v>
      </c>
      <c r="G47" s="173" t="str">
        <f aca="false">HYPERLINK("#'BC2. Chỉ số KPI'!B"&amp;MATCH("DOR",'BC2. Chỉ số KPI'!$B:$B,0),"Mở BC2")</f>
        <v>Mở BC2</v>
      </c>
    </row>
    <row r="48" customFormat="false" ht="39" hidden="false" customHeight="true" outlineLevel="0" collapsed="false">
      <c r="A48" s="170" t="s">
        <v>2251</v>
      </c>
      <c r="B48" s="116" t="s">
        <v>2252</v>
      </c>
      <c r="C48" s="174" t="n">
        <v>0.9</v>
      </c>
      <c r="D48" s="172" t="s">
        <v>2127</v>
      </c>
      <c r="E48" s="172" t="s">
        <v>2205</v>
      </c>
      <c r="F48" s="116" t="s">
        <v>2253</v>
      </c>
      <c r="G48" s="173" t="str">
        <f aca="false">HYPERLINK("#'BC2. Chỉ số KPI'!B"&amp;MATCH("RTR",'BC2. Chỉ số KPI'!$B:$B,0),"Mở BC2")</f>
        <v>Mở BC2</v>
      </c>
    </row>
    <row r="49" customFormat="false" ht="39" hidden="false" customHeight="true" outlineLevel="0" collapsed="false">
      <c r="A49" s="170" t="s">
        <v>2254</v>
      </c>
      <c r="B49" s="116" t="s">
        <v>2255</v>
      </c>
      <c r="C49" s="174" t="n">
        <v>0.5</v>
      </c>
      <c r="D49" s="172" t="s">
        <v>2127</v>
      </c>
      <c r="E49" s="172" t="s">
        <v>2205</v>
      </c>
      <c r="F49" s="116" t="s">
        <v>2256</v>
      </c>
      <c r="G49" s="173" t="str">
        <f aca="false">HYPERLINK("#'BC2. Chỉ số KPI'!B"&amp;MATCH("TCR",'BC2. Chỉ số KPI'!$B:$B,0),"Mở BC2")</f>
        <v>Mở BC2</v>
      </c>
    </row>
    <row r="50" customFormat="false" ht="39" hidden="false" customHeight="true" outlineLevel="0" collapsed="false">
      <c r="A50" s="170" t="s">
        <v>2257</v>
      </c>
      <c r="B50" s="116" t="s">
        <v>2258</v>
      </c>
      <c r="C50" s="174" t="n">
        <v>0.9</v>
      </c>
      <c r="D50" s="172" t="s">
        <v>2127</v>
      </c>
      <c r="E50" s="172" t="s">
        <v>2205</v>
      </c>
      <c r="F50" s="116" t="s">
        <v>2259</v>
      </c>
      <c r="G50" s="173" t="str">
        <f aca="false">HYPERLINK("#'BC2. Chỉ số KPI'!B"&amp;MATCH("WSR",'BC2. Chỉ số KPI'!$B:$B,0),"Mở BC2")</f>
        <v>Mở BC2</v>
      </c>
    </row>
    <row r="51" customFormat="false" ht="39" hidden="false" customHeight="true" outlineLevel="0" collapsed="false">
      <c r="A51" s="170" t="s">
        <v>2260</v>
      </c>
      <c r="B51" s="116" t="s">
        <v>2261</v>
      </c>
      <c r="C51" s="174" t="n">
        <v>0.7</v>
      </c>
      <c r="D51" s="172" t="s">
        <v>2127</v>
      </c>
      <c r="E51" s="172" t="s">
        <v>2205</v>
      </c>
      <c r="F51" s="116" t="s">
        <v>2262</v>
      </c>
      <c r="G51" s="173" t="str">
        <f aca="false">HYPERLINK("#'BC2. Chỉ số KPI'!B"&amp;MATCH("WRR",'BC2. Chỉ số KPI'!$B:$B,0),"Mở BC2")</f>
        <v>Mở BC2</v>
      </c>
    </row>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8.57"/>
    <col collapsed="false" customWidth="true" hidden="false" outlineLevel="0" max="2" min="2" style="1" width="30.43"/>
    <col collapsed="false" customWidth="true" hidden="false" outlineLevel="0" max="3" min="3" style="1" width="49.57"/>
    <col collapsed="false" customWidth="true" hidden="false" outlineLevel="0" max="4" min="4" style="1" width="24.86"/>
    <col collapsed="false" customWidth="true" hidden="false" outlineLevel="0" max="5" min="5" style="1" width="24"/>
    <col collapsed="false" customWidth="true" hidden="false" outlineLevel="0" max="6" min="6" style="1" width="29.29"/>
    <col collapsed="false" customWidth="true" hidden="false" outlineLevel="0" max="7" min="7" style="1" width="21.71"/>
    <col collapsed="false" customWidth="true" hidden="false" outlineLevel="0" max="8" min="8" style="1" width="33.71"/>
    <col collapsed="false" customWidth="true" hidden="false" outlineLevel="0" max="9" min="9" style="1" width="17.71"/>
    <col collapsed="false" customWidth="true" hidden="false" outlineLevel="0" max="10" min="10" style="1" width="25.14"/>
    <col collapsed="false" customWidth="true" hidden="false" outlineLevel="0" max="11" min="11" style="1" width="26.86"/>
    <col collapsed="false" customWidth="true" hidden="false" outlineLevel="0" max="12" min="12" style="1" width="27.43"/>
    <col collapsed="false" customWidth="true" hidden="false" outlineLevel="0" max="26" min="13" style="1" width="8.71"/>
  </cols>
  <sheetData>
    <row r="1" customFormat="false" ht="21.75" hidden="false" customHeight="true" outlineLevel="0" collapsed="false">
      <c r="A1" s="175" t="s">
        <v>841</v>
      </c>
      <c r="B1" s="175" t="s">
        <v>2263</v>
      </c>
      <c r="C1" s="175" t="s">
        <v>2264</v>
      </c>
      <c r="D1" s="175" t="s">
        <v>2265</v>
      </c>
      <c r="E1" s="175" t="s">
        <v>2266</v>
      </c>
      <c r="F1" s="175" t="s">
        <v>2267</v>
      </c>
      <c r="G1" s="175" t="s">
        <v>996</v>
      </c>
      <c r="H1" s="175" t="s">
        <v>998</v>
      </c>
      <c r="I1" s="175" t="s">
        <v>2268</v>
      </c>
      <c r="J1" s="175" t="s">
        <v>2269</v>
      </c>
      <c r="K1" s="175" t="s">
        <v>2270</v>
      </c>
      <c r="L1" s="175" t="s">
        <v>2271</v>
      </c>
    </row>
    <row r="2" customFormat="false" ht="15" hidden="false" customHeight="true" outlineLevel="0" collapsed="false">
      <c r="A2" s="176" t="s">
        <v>2272</v>
      </c>
      <c r="B2" s="176" t="s">
        <v>2273</v>
      </c>
      <c r="C2" s="176" t="s">
        <v>2274</v>
      </c>
      <c r="D2" s="176" t="s">
        <v>2275</v>
      </c>
      <c r="E2" s="176" t="s">
        <v>2276</v>
      </c>
      <c r="F2" s="176" t="s">
        <v>2277</v>
      </c>
      <c r="G2" s="176" t="s">
        <v>2278</v>
      </c>
      <c r="H2" s="176" t="s">
        <v>2279</v>
      </c>
      <c r="I2" s="176" t="s">
        <v>2280</v>
      </c>
      <c r="J2" s="176" t="s">
        <v>250</v>
      </c>
      <c r="K2" s="176" t="s">
        <v>2281</v>
      </c>
      <c r="L2" s="176" t="s">
        <v>2282</v>
      </c>
    </row>
    <row r="3" customFormat="false" ht="27.75" hidden="false" customHeight="true" outlineLevel="0" collapsed="false">
      <c r="A3" s="177" t="s">
        <v>2283</v>
      </c>
      <c r="B3" s="177" t="s">
        <v>2284</v>
      </c>
      <c r="C3" s="177" t="s">
        <v>2285</v>
      </c>
      <c r="D3" s="177" t="s">
        <v>2286</v>
      </c>
      <c r="E3" s="177" t="s">
        <v>2287</v>
      </c>
      <c r="F3" s="177" t="s">
        <v>2288</v>
      </c>
      <c r="G3" s="177" t="s">
        <v>2289</v>
      </c>
      <c r="H3" s="177" t="s">
        <v>2290</v>
      </c>
      <c r="I3" s="177" t="s">
        <v>2291</v>
      </c>
      <c r="J3" s="177" t="s">
        <v>2292</v>
      </c>
      <c r="K3" s="177" t="s">
        <v>2293</v>
      </c>
      <c r="L3" s="177" t="s">
        <v>2294</v>
      </c>
    </row>
    <row r="4" customFormat="false" ht="30" hidden="false" customHeight="true" outlineLevel="0" collapsed="false">
      <c r="A4" s="21" t="s">
        <v>2295</v>
      </c>
      <c r="B4" s="21" t="s">
        <v>2296</v>
      </c>
      <c r="C4" s="21" t="s">
        <v>1330</v>
      </c>
      <c r="D4" s="21" t="s">
        <v>2297</v>
      </c>
      <c r="E4" s="21"/>
      <c r="F4" s="21" t="s">
        <v>1414</v>
      </c>
      <c r="G4" s="21" t="s">
        <v>2298</v>
      </c>
      <c r="H4" s="21" t="s">
        <v>2299</v>
      </c>
      <c r="I4" s="178" t="n">
        <v>45306</v>
      </c>
      <c r="J4" s="21" t="s">
        <v>1369</v>
      </c>
      <c r="K4" s="21" t="s">
        <v>2300</v>
      </c>
      <c r="L4" s="179"/>
    </row>
    <row r="5" customFormat="false" ht="30" hidden="false" customHeight="true" outlineLevel="0" collapsed="false">
      <c r="A5" s="21" t="s">
        <v>2301</v>
      </c>
      <c r="B5" s="21" t="s">
        <v>2302</v>
      </c>
      <c r="C5" s="21" t="s">
        <v>1330</v>
      </c>
      <c r="D5" s="21" t="s">
        <v>2297</v>
      </c>
      <c r="E5" s="21"/>
      <c r="F5" s="21" t="s">
        <v>1416</v>
      </c>
      <c r="G5" s="21" t="s">
        <v>2303</v>
      </c>
      <c r="H5" s="21" t="s">
        <v>2304</v>
      </c>
      <c r="I5" s="178" t="n">
        <v>45323</v>
      </c>
      <c r="J5" s="21" t="s">
        <v>1369</v>
      </c>
      <c r="K5" s="21" t="s">
        <v>2305</v>
      </c>
      <c r="L5" s="179"/>
    </row>
    <row r="6" customFormat="false" ht="30" hidden="false" customHeight="true" outlineLevel="0" collapsed="false">
      <c r="A6" s="21" t="s">
        <v>2306</v>
      </c>
      <c r="B6" s="21" t="s">
        <v>2307</v>
      </c>
      <c r="C6" s="21" t="s">
        <v>1340</v>
      </c>
      <c r="D6" s="21" t="s">
        <v>2308</v>
      </c>
      <c r="E6" s="21"/>
      <c r="F6" s="21"/>
      <c r="G6" s="21" t="s">
        <v>2309</v>
      </c>
      <c r="H6" s="21" t="s">
        <v>2310</v>
      </c>
      <c r="I6" s="178" t="n">
        <v>45017</v>
      </c>
      <c r="J6" s="21" t="s">
        <v>1369</v>
      </c>
      <c r="K6" s="21" t="s">
        <v>2311</v>
      </c>
      <c r="L6" s="179"/>
    </row>
    <row r="7" customFormat="false" ht="30" hidden="false" customHeight="true" outlineLevel="0" collapsed="false">
      <c r="A7" s="21" t="s">
        <v>2312</v>
      </c>
      <c r="B7" s="21" t="s">
        <v>2313</v>
      </c>
      <c r="C7" s="21" t="s">
        <v>1340</v>
      </c>
      <c r="D7" s="21" t="s">
        <v>2308</v>
      </c>
      <c r="E7" s="21"/>
      <c r="F7" s="21"/>
      <c r="G7" s="21" t="s">
        <v>2314</v>
      </c>
      <c r="H7" s="21" t="s">
        <v>2315</v>
      </c>
      <c r="I7" s="178" t="n">
        <v>45108</v>
      </c>
      <c r="J7" s="21" t="s">
        <v>1369</v>
      </c>
      <c r="K7" s="21" t="s">
        <v>2316</v>
      </c>
      <c r="L7" s="179"/>
    </row>
    <row r="8" customFormat="false" ht="30" hidden="false" customHeight="true" outlineLevel="0" collapsed="false">
      <c r="A8" s="21" t="s">
        <v>2317</v>
      </c>
      <c r="B8" s="21" t="s">
        <v>2318</v>
      </c>
      <c r="C8" s="21" t="s">
        <v>1341</v>
      </c>
      <c r="D8" s="21" t="s">
        <v>2308</v>
      </c>
      <c r="E8" s="21"/>
      <c r="F8" s="21"/>
      <c r="G8" s="21" t="s">
        <v>2319</v>
      </c>
      <c r="H8" s="21" t="s">
        <v>2320</v>
      </c>
      <c r="I8" s="178" t="n">
        <v>44774</v>
      </c>
      <c r="J8" s="21" t="s">
        <v>1369</v>
      </c>
      <c r="K8" s="21" t="s">
        <v>2321</v>
      </c>
      <c r="L8" s="179"/>
    </row>
    <row r="9" customFormat="false" ht="30" hidden="false" customHeight="true" outlineLevel="0" collapsed="false">
      <c r="A9" s="21" t="s">
        <v>2322</v>
      </c>
      <c r="B9" s="21" t="s">
        <v>2323</v>
      </c>
      <c r="C9" s="21" t="s">
        <v>1341</v>
      </c>
      <c r="D9" s="21" t="s">
        <v>2308</v>
      </c>
      <c r="E9" s="21"/>
      <c r="F9" s="21"/>
      <c r="G9" s="21" t="s">
        <v>2324</v>
      </c>
      <c r="H9" s="21" t="s">
        <v>2325</v>
      </c>
      <c r="I9" s="178" t="n">
        <v>44941</v>
      </c>
      <c r="J9" s="21" t="s">
        <v>1369</v>
      </c>
      <c r="K9" s="21" t="s">
        <v>2326</v>
      </c>
      <c r="L9" s="179"/>
    </row>
    <row r="10" customFormat="false" ht="30" hidden="false" customHeight="true" outlineLevel="0" collapsed="false">
      <c r="A10" s="21" t="s">
        <v>2327</v>
      </c>
      <c r="B10" s="21" t="s">
        <v>2328</v>
      </c>
      <c r="C10" s="21" t="s">
        <v>1334</v>
      </c>
      <c r="D10" s="21" t="s">
        <v>276</v>
      </c>
      <c r="E10" s="21"/>
      <c r="F10" s="21"/>
      <c r="G10" s="21" t="s">
        <v>2329</v>
      </c>
      <c r="H10" s="21" t="s">
        <v>2330</v>
      </c>
      <c r="I10" s="178" t="n">
        <v>45139</v>
      </c>
      <c r="J10" s="21" t="s">
        <v>1369</v>
      </c>
      <c r="K10" s="21" t="s">
        <v>2331</v>
      </c>
      <c r="L10" s="179"/>
    </row>
    <row r="11" customFormat="false" ht="30" hidden="false" customHeight="true" outlineLevel="0" collapsed="false">
      <c r="A11" s="21" t="s">
        <v>2332</v>
      </c>
      <c r="B11" s="21" t="s">
        <v>2333</v>
      </c>
      <c r="C11" s="21" t="s">
        <v>1334</v>
      </c>
      <c r="D11" s="21" t="s">
        <v>276</v>
      </c>
      <c r="E11" s="21"/>
      <c r="F11" s="21"/>
      <c r="G11" s="21" t="s">
        <v>2334</v>
      </c>
      <c r="H11" s="21" t="s">
        <v>2335</v>
      </c>
      <c r="I11" s="178" t="n">
        <v>45323</v>
      </c>
      <c r="J11" s="21" t="s">
        <v>1369</v>
      </c>
      <c r="K11" s="21" t="s">
        <v>2336</v>
      </c>
      <c r="L11" s="179"/>
    </row>
    <row r="12" customFormat="false" ht="30" hidden="false" customHeight="true" outlineLevel="0" collapsed="false">
      <c r="A12" s="21" t="s">
        <v>2337</v>
      </c>
      <c r="B12" s="21" t="s">
        <v>2338</v>
      </c>
      <c r="C12" s="21" t="s">
        <v>1326</v>
      </c>
      <c r="D12" s="21" t="s">
        <v>2339</v>
      </c>
      <c r="E12" s="21"/>
      <c r="F12" s="21"/>
      <c r="G12" s="21" t="s">
        <v>2340</v>
      </c>
      <c r="H12" s="21" t="s">
        <v>2341</v>
      </c>
      <c r="I12" s="178" t="n">
        <v>43831</v>
      </c>
      <c r="J12" s="21" t="s">
        <v>1369</v>
      </c>
      <c r="K12" s="21" t="s">
        <v>2342</v>
      </c>
      <c r="L12" s="179"/>
    </row>
    <row r="13" customFormat="false" ht="30" hidden="false" customHeight="true" outlineLevel="0" collapsed="false">
      <c r="A13" s="21" t="s">
        <v>2343</v>
      </c>
      <c r="B13" s="21" t="s">
        <v>2344</v>
      </c>
      <c r="C13" s="21" t="s">
        <v>1353</v>
      </c>
      <c r="D13" s="21" t="s">
        <v>100</v>
      </c>
      <c r="E13" s="21"/>
      <c r="F13" s="21"/>
      <c r="G13" s="21" t="s">
        <v>2345</v>
      </c>
      <c r="H13" s="21" t="s">
        <v>2346</v>
      </c>
      <c r="I13" s="178" t="n">
        <v>44317</v>
      </c>
      <c r="J13" s="21" t="s">
        <v>1369</v>
      </c>
      <c r="K13" s="21" t="s">
        <v>2347</v>
      </c>
      <c r="L13" s="179"/>
    </row>
    <row r="14" customFormat="false" ht="30" hidden="false" customHeight="true" outlineLevel="0" collapsed="false">
      <c r="A14" s="21" t="s">
        <v>2348</v>
      </c>
      <c r="B14" s="21" t="s">
        <v>2349</v>
      </c>
      <c r="C14" s="21" t="s">
        <v>1357</v>
      </c>
      <c r="D14" s="21" t="s">
        <v>2350</v>
      </c>
      <c r="E14" s="21"/>
      <c r="F14" s="21"/>
      <c r="G14" s="21" t="s">
        <v>2351</v>
      </c>
      <c r="H14" s="21" t="s">
        <v>2352</v>
      </c>
      <c r="I14" s="178" t="n">
        <v>44866</v>
      </c>
      <c r="J14" s="21" t="s">
        <v>1369</v>
      </c>
      <c r="K14" s="21" t="s">
        <v>2353</v>
      </c>
      <c r="L14" s="179"/>
    </row>
    <row r="15" customFormat="false" ht="30" hidden="false" customHeight="true" outlineLevel="0" collapsed="false">
      <c r="A15" s="21" t="s">
        <v>2354</v>
      </c>
      <c r="B15" s="21" t="s">
        <v>2355</v>
      </c>
      <c r="C15" s="21" t="s">
        <v>1328</v>
      </c>
      <c r="D15" s="21" t="s">
        <v>2297</v>
      </c>
      <c r="E15" s="180" t="str">
        <f aca="false">IFERROR(HYPERLINK("#'DL01. Nhân viên'!A"&amp;MATCH("NV009",'DL01. Nhân viên'!A:A,0),"NV009"),"NV009")</f>
        <v>NV009</v>
      </c>
      <c r="F15" s="21"/>
      <c r="G15" s="21" t="s">
        <v>2356</v>
      </c>
      <c r="H15" s="21" t="s">
        <v>2357</v>
      </c>
      <c r="I15" s="178" t="n">
        <v>43891</v>
      </c>
      <c r="J15" s="21" t="s">
        <v>1369</v>
      </c>
      <c r="K15" s="21" t="s">
        <v>2358</v>
      </c>
      <c r="L15" s="181" t="str">
        <f aca="false">IFERROR(VLOOKUP(E15,'DL01. Nhân viên'!$A:$B,2,FALSE()),"")</f>
        <v>Nguyễn Lê Minh Chí</v>
      </c>
    </row>
    <row r="16" customFormat="false" ht="30" hidden="false" customHeight="true" outlineLevel="0" collapsed="false">
      <c r="A16" s="21" t="s">
        <v>2359</v>
      </c>
      <c r="B16" s="21" t="s">
        <v>2360</v>
      </c>
      <c r="C16" s="21" t="s">
        <v>1332</v>
      </c>
      <c r="D16" s="21" t="s">
        <v>276</v>
      </c>
      <c r="E16" s="180" t="str">
        <f aca="false">IFERROR(HYPERLINK("#'DL01. Nhân viên'!A"&amp;MATCH("NV009",'DL01. Nhân viên'!A:A,0),"NV009"),"NV009")</f>
        <v>NV009</v>
      </c>
      <c r="F16" s="21"/>
      <c r="G16" s="21" t="s">
        <v>2361</v>
      </c>
      <c r="H16" s="21" t="s">
        <v>2362</v>
      </c>
      <c r="I16" s="178" t="n">
        <v>43952</v>
      </c>
      <c r="J16" s="21" t="s">
        <v>1369</v>
      </c>
      <c r="K16" s="21" t="s">
        <v>2363</v>
      </c>
      <c r="L16" s="181" t="str">
        <f aca="false">IFERROR(VLOOKUP(E16,'DL01. Nhân viên'!$A:$B,2,FALSE()),"")</f>
        <v>Nguyễn Lê Minh Chí</v>
      </c>
    </row>
    <row r="17" customFormat="false" ht="30" hidden="false" customHeight="true" outlineLevel="0" collapsed="false">
      <c r="A17" s="21" t="s">
        <v>2364</v>
      </c>
      <c r="B17" s="21" t="s">
        <v>2365</v>
      </c>
      <c r="C17" s="21" t="s">
        <v>1336</v>
      </c>
      <c r="D17" s="21" t="s">
        <v>2308</v>
      </c>
      <c r="E17" s="180" t="str">
        <f aca="false">IFERROR(HYPERLINK("#'DL01. Nhân viên'!A"&amp;MATCH("NV009",'DL01. Nhân viên'!A:A,0),"NV009"),"NV009")</f>
        <v>NV009</v>
      </c>
      <c r="F17" s="21"/>
      <c r="G17" s="21" t="s">
        <v>2366</v>
      </c>
      <c r="H17" s="21" t="s">
        <v>2367</v>
      </c>
      <c r="I17" s="178" t="n">
        <v>43952</v>
      </c>
      <c r="J17" s="21" t="s">
        <v>1369</v>
      </c>
      <c r="K17" s="21" t="s">
        <v>2368</v>
      </c>
      <c r="L17" s="181" t="str">
        <f aca="false">IFERROR(VLOOKUP(E17,'DL01. Nhân viên'!$A:$B,2,FALSE()),"")</f>
        <v>Nguyễn Lê Minh Chí</v>
      </c>
    </row>
    <row r="18" customFormat="false" ht="30" hidden="false" customHeight="true" outlineLevel="0" collapsed="false">
      <c r="A18" s="21" t="s">
        <v>2369</v>
      </c>
      <c r="B18" s="21" t="s">
        <v>2370</v>
      </c>
      <c r="C18" s="21" t="s">
        <v>1365</v>
      </c>
      <c r="D18" s="21" t="s">
        <v>2371</v>
      </c>
      <c r="E18" s="180" t="str">
        <f aca="false">IFERROR(HYPERLINK("#'DL01. Nhân viên'!A"&amp;MATCH("NV009",'DL01. Nhân viên'!A:A,0),"NV009"),"NV009")</f>
        <v>NV009</v>
      </c>
      <c r="F18" s="21"/>
      <c r="G18" s="21" t="s">
        <v>2372</v>
      </c>
      <c r="H18" s="21" t="s">
        <v>2373</v>
      </c>
      <c r="I18" s="178" t="n">
        <v>44197</v>
      </c>
      <c r="J18" s="21" t="s">
        <v>1369</v>
      </c>
      <c r="K18" s="21" t="s">
        <v>2374</v>
      </c>
      <c r="L18" s="181" t="str">
        <f aca="false">IFERROR(VLOOKUP(E18,'DL01. Nhân viên'!$A:$B,2,FALSE()),"")</f>
        <v>Nguyễn Lê Minh Chí</v>
      </c>
    </row>
    <row r="19" customFormat="false" ht="30" hidden="false" customHeight="true" outlineLevel="0" collapsed="false">
      <c r="A19" s="21" t="s">
        <v>2375</v>
      </c>
      <c r="B19" s="21" t="s">
        <v>2376</v>
      </c>
      <c r="C19" s="21" t="s">
        <v>1345</v>
      </c>
      <c r="D19" s="21" t="s">
        <v>2377</v>
      </c>
      <c r="E19" s="180" t="str">
        <f aca="false">IFERROR(HYPERLINK("#'DL01. Nhân viên'!A"&amp;MATCH("NV009",'DL01. Nhân viên'!A:A,0),"NV009"),"NV009")</f>
        <v>NV009</v>
      </c>
      <c r="F19" s="21"/>
      <c r="G19" s="21" t="s">
        <v>2378</v>
      </c>
      <c r="H19" s="21" t="s">
        <v>2379</v>
      </c>
      <c r="I19" s="178" t="n">
        <v>44256</v>
      </c>
      <c r="J19" s="21" t="s">
        <v>1369</v>
      </c>
      <c r="K19" s="21" t="s">
        <v>2380</v>
      </c>
      <c r="L19" s="181" t="str">
        <f aca="false">IFERROR(VLOOKUP(E19,'DL01. Nhân viên'!$A:$B,2,FALSE()),"")</f>
        <v>Nguyễn Lê Minh Chí</v>
      </c>
    </row>
    <row r="20" customFormat="false" ht="30" hidden="false" customHeight="true" outlineLevel="0" collapsed="false">
      <c r="A20" s="21" t="s">
        <v>2381</v>
      </c>
      <c r="B20" s="21" t="s">
        <v>2344</v>
      </c>
      <c r="C20" s="21" t="s">
        <v>1351</v>
      </c>
      <c r="D20" s="21" t="s">
        <v>100</v>
      </c>
      <c r="E20" s="180" t="str">
        <f aca="false">IFERROR(HYPERLINK("#'DL01. Nhân viên'!A"&amp;MATCH("NV009",'DL01. Nhân viên'!A:A,0),"NV009"),"NV009")</f>
        <v>NV009</v>
      </c>
      <c r="F20" s="21"/>
      <c r="G20" s="21" t="s">
        <v>2382</v>
      </c>
      <c r="H20" s="21" t="s">
        <v>2383</v>
      </c>
      <c r="I20" s="178" t="n">
        <v>44044</v>
      </c>
      <c r="J20" s="21" t="s">
        <v>1369</v>
      </c>
      <c r="K20" s="21" t="s">
        <v>2384</v>
      </c>
      <c r="L20" s="181" t="str">
        <f aca="false">IFERROR(VLOOKUP(E20,'DL01. Nhân viên'!$A:$B,2,FALSE()),"")</f>
        <v>Nguyễn Lê Minh Chí</v>
      </c>
    </row>
    <row r="21" customFormat="false" ht="30" hidden="false" customHeight="true" outlineLevel="0" collapsed="false">
      <c r="A21" s="21" t="s">
        <v>2385</v>
      </c>
      <c r="B21" s="21" t="s">
        <v>2349</v>
      </c>
      <c r="C21" s="21" t="s">
        <v>1355</v>
      </c>
      <c r="D21" s="21" t="s">
        <v>2350</v>
      </c>
      <c r="E21" s="180" t="str">
        <f aca="false">IFERROR(HYPERLINK("#'DL01. Nhân viên'!A"&amp;MATCH("NV009",'DL01. Nhân viên'!A:A,0),"NV009"),"NV009")</f>
        <v>NV009</v>
      </c>
      <c r="F21" s="21"/>
      <c r="G21" s="21" t="s">
        <v>2386</v>
      </c>
      <c r="H21" s="21" t="s">
        <v>2387</v>
      </c>
      <c r="I21" s="178" t="n">
        <v>44348</v>
      </c>
      <c r="J21" s="21" t="s">
        <v>1369</v>
      </c>
      <c r="K21" s="21" t="s">
        <v>2388</v>
      </c>
      <c r="L21" s="181" t="str">
        <f aca="false">IFERROR(VLOOKUP(E21,'DL01. Nhân viên'!$A:$B,2,FALSE()),"")</f>
        <v>Nguyễn Lê Minh Chí</v>
      </c>
    </row>
    <row r="22" customFormat="false" ht="30" hidden="false" customHeight="true" outlineLevel="0" collapsed="false">
      <c r="A22" s="21" t="s">
        <v>2389</v>
      </c>
      <c r="B22" s="21" t="s">
        <v>2390</v>
      </c>
      <c r="C22" s="21" t="s">
        <v>1363</v>
      </c>
      <c r="D22" s="21" t="s">
        <v>2297</v>
      </c>
      <c r="E22" s="180" t="str">
        <f aca="false">IFERROR(HYPERLINK("#'DL01. Nhân viên'!A"&amp;MATCH("NV012",'DL01. Nhân viên'!A:A,0),"NV012"),"NV012")</f>
        <v>NV012</v>
      </c>
      <c r="F22" s="21" t="s">
        <v>1414</v>
      </c>
      <c r="G22" s="21" t="s">
        <v>2391</v>
      </c>
      <c r="H22" s="21" t="s">
        <v>2392</v>
      </c>
      <c r="I22" s="178" t="n">
        <v>44287</v>
      </c>
      <c r="J22" s="21" t="s">
        <v>1369</v>
      </c>
      <c r="K22" s="21" t="s">
        <v>2393</v>
      </c>
      <c r="L22" s="181" t="str">
        <f aca="false">IFERROR(VLOOKUP(E22,'DL01. Nhân viên'!$A:$B,2,FALSE()),"")</f>
        <v>Phạm Thị Kim Ngân</v>
      </c>
    </row>
    <row r="23" customFormat="false" ht="30" hidden="false" customHeight="true" outlineLevel="0" collapsed="false">
      <c r="A23" s="21" t="s">
        <v>2394</v>
      </c>
      <c r="B23" s="21" t="s">
        <v>2395</v>
      </c>
      <c r="C23" s="21" t="s">
        <v>1363</v>
      </c>
      <c r="D23" s="21" t="s">
        <v>2297</v>
      </c>
      <c r="E23" s="180" t="str">
        <f aca="false">IFERROR(HYPERLINK("#'DL01. Nhân viên'!A"&amp;MATCH("NV012",'DL01. Nhân viên'!A:A,0),"NV012"),"NV012")</f>
        <v>NV012</v>
      </c>
      <c r="F23" s="21" t="s">
        <v>1416</v>
      </c>
      <c r="G23" s="21" t="s">
        <v>2396</v>
      </c>
      <c r="H23" s="21" t="s">
        <v>2397</v>
      </c>
      <c r="I23" s="178" t="n">
        <v>44378</v>
      </c>
      <c r="J23" s="21" t="s">
        <v>1369</v>
      </c>
      <c r="K23" s="21" t="s">
        <v>2398</v>
      </c>
      <c r="L23" s="181" t="str">
        <f aca="false">IFERROR(VLOOKUP(E23,'DL01. Nhân viên'!$A:$B,2,FALSE()),"")</f>
        <v>Phạm Thị Kim Ngân</v>
      </c>
    </row>
    <row r="24" customFormat="false" ht="30" hidden="false" customHeight="true" outlineLevel="0" collapsed="false">
      <c r="A24" s="21" t="s">
        <v>2399</v>
      </c>
      <c r="B24" s="21" t="s">
        <v>2400</v>
      </c>
      <c r="C24" s="21" t="s">
        <v>1363</v>
      </c>
      <c r="D24" s="21" t="s">
        <v>2297</v>
      </c>
      <c r="E24" s="180" t="str">
        <f aca="false">IFERROR(HYPERLINK("#'DL01. Nhân viên'!A"&amp;MATCH("NV012",'DL01. Nhân viên'!A:A,0),"NV012"),"NV012")</f>
        <v>NV012</v>
      </c>
      <c r="F24" s="21" t="s">
        <v>1418</v>
      </c>
      <c r="G24" s="21" t="s">
        <v>2401</v>
      </c>
      <c r="H24" s="21" t="s">
        <v>2402</v>
      </c>
      <c r="I24" s="178" t="n">
        <v>44562</v>
      </c>
      <c r="J24" s="21" t="s">
        <v>1369</v>
      </c>
      <c r="K24" s="21" t="s">
        <v>2403</v>
      </c>
      <c r="L24" s="181" t="str">
        <f aca="false">IFERROR(VLOOKUP(E24,'DL01. Nhân viên'!$A:$B,2,FALSE()),"")</f>
        <v>Phạm Thị Kim Ngân</v>
      </c>
    </row>
    <row r="25" customFormat="false" ht="30" hidden="false" customHeight="true" outlineLevel="0" collapsed="false">
      <c r="A25" s="21" t="s">
        <v>2404</v>
      </c>
      <c r="B25" s="21" t="s">
        <v>2405</v>
      </c>
      <c r="C25" s="21" t="s">
        <v>1330</v>
      </c>
      <c r="D25" s="21" t="s">
        <v>2297</v>
      </c>
      <c r="E25" s="180" t="str">
        <f aca="false">IFERROR(HYPERLINK("#'DL01. Nhân viên'!A"&amp;MATCH("NV021",'DL01. Nhân viên'!A:A,0),"NV021"),"NV021")</f>
        <v>NV021</v>
      </c>
      <c r="F25" s="21" t="s">
        <v>1416</v>
      </c>
      <c r="G25" s="21" t="s">
        <v>2406</v>
      </c>
      <c r="H25" s="21" t="s">
        <v>2407</v>
      </c>
      <c r="I25" s="178" t="n">
        <v>45352</v>
      </c>
      <c r="J25" s="21" t="s">
        <v>1369</v>
      </c>
      <c r="K25" s="21" t="s">
        <v>2408</v>
      </c>
      <c r="L25" s="181" t="str">
        <f aca="false">IFERROR(VLOOKUP(E25,'DL01. Nhân viên'!$A:$B,2,FALSE()),"")</f>
        <v>Trần Thị Thanh Hà</v>
      </c>
    </row>
    <row r="26" customFormat="false" ht="30" hidden="false" customHeight="true" outlineLevel="0" collapsed="false">
      <c r="A26" s="21" t="s">
        <v>2409</v>
      </c>
      <c r="B26" s="21" t="s">
        <v>2410</v>
      </c>
      <c r="C26" s="21" t="s">
        <v>1330</v>
      </c>
      <c r="D26" s="21" t="s">
        <v>2297</v>
      </c>
      <c r="E26" s="180" t="str">
        <f aca="false">IFERROR(HYPERLINK("#'DL01. Nhân viên'!A"&amp;MATCH("NV022",'DL01. Nhân viên'!A:A,0),"NV022"),"NV022")</f>
        <v>NV022</v>
      </c>
      <c r="F26" s="21" t="s">
        <v>1418</v>
      </c>
      <c r="G26" s="21" t="s">
        <v>2411</v>
      </c>
      <c r="H26" s="21" t="s">
        <v>2412</v>
      </c>
      <c r="I26" s="178" t="n">
        <v>45383</v>
      </c>
      <c r="J26" s="21" t="s">
        <v>1369</v>
      </c>
      <c r="K26" s="21" t="s">
        <v>2413</v>
      </c>
      <c r="L26" s="181" t="str">
        <f aca="false">IFERROR(VLOOKUP(E26,'DL01. Nhân viên'!$A:$B,2,FALSE()),"")</f>
        <v>Nguyễn Huỳnh Thanh Phương</v>
      </c>
    </row>
    <row r="27" customFormat="false" ht="30" hidden="false" customHeight="true" outlineLevel="0" collapsed="false">
      <c r="A27" s="21" t="s">
        <v>2414</v>
      </c>
      <c r="B27" s="21" t="s">
        <v>2415</v>
      </c>
      <c r="C27" s="21" t="s">
        <v>1330</v>
      </c>
      <c r="D27" s="21" t="s">
        <v>2297</v>
      </c>
      <c r="E27" s="180" t="str">
        <f aca="false">IFERROR(HYPERLINK("#'DL01. Nhân viên'!A"&amp;MATCH("NV012",'DL01. Nhân viên'!A:A,0),"NV012"),"NV012")</f>
        <v>NV012</v>
      </c>
      <c r="F27" s="21" t="s">
        <v>1420</v>
      </c>
      <c r="G27" s="21" t="s">
        <v>2416</v>
      </c>
      <c r="H27" s="21" t="s">
        <v>2417</v>
      </c>
      <c r="I27" s="178" t="n">
        <v>45413</v>
      </c>
      <c r="J27" s="21" t="s">
        <v>1373</v>
      </c>
      <c r="K27" s="21" t="s">
        <v>2418</v>
      </c>
      <c r="L27" s="181" t="str">
        <f aca="false">IFERROR(VLOOKUP(E27,'DL01. Nhân viên'!$A:$B,2,FALSE()),"")</f>
        <v>Phạm Thị Kim Ngân</v>
      </c>
    </row>
    <row r="28" customFormat="false" ht="30" hidden="false" customHeight="true" outlineLevel="0" collapsed="false">
      <c r="A28" s="21" t="s">
        <v>2419</v>
      </c>
      <c r="B28" s="21" t="s">
        <v>2420</v>
      </c>
      <c r="C28" s="21" t="s">
        <v>1330</v>
      </c>
      <c r="D28" s="21" t="s">
        <v>2297</v>
      </c>
      <c r="E28" s="180" t="str">
        <f aca="false">IFERROR(HYPERLINK("#'DL01. Nhân viên'!A"&amp;MATCH("NV012",'DL01. Nhân viên'!A:A,0),"NV012"),"NV012")</f>
        <v>NV012</v>
      </c>
      <c r="F28" s="21" t="s">
        <v>1422</v>
      </c>
      <c r="G28" s="21" t="s">
        <v>2421</v>
      </c>
      <c r="H28" s="21" t="s">
        <v>2422</v>
      </c>
      <c r="I28" s="178" t="n">
        <v>45444</v>
      </c>
      <c r="J28" s="21" t="s">
        <v>1373</v>
      </c>
      <c r="K28" s="21" t="s">
        <v>2423</v>
      </c>
      <c r="L28" s="181" t="str">
        <f aca="false">IFERROR(VLOOKUP(E28,'DL01. Nhân viên'!$A:$B,2,FALSE()),"")</f>
        <v>Phạm Thị Kim Ngân</v>
      </c>
    </row>
    <row r="29" customFormat="false" ht="30" hidden="false" customHeight="true" outlineLevel="0" collapsed="false">
      <c r="A29" s="21" t="s">
        <v>2424</v>
      </c>
      <c r="B29" s="21" t="s">
        <v>2425</v>
      </c>
      <c r="C29" s="21" t="s">
        <v>1330</v>
      </c>
      <c r="D29" s="21" t="s">
        <v>2297</v>
      </c>
      <c r="E29" s="180" t="str">
        <f aca="false">IFERROR(HYPERLINK("#'DL01. Nhân viên'!A"&amp;MATCH("NV020",'DL01. Nhân viên'!A:A,0),"NV020"),"NV020")</f>
        <v>NV020</v>
      </c>
      <c r="F29" s="21" t="s">
        <v>1412</v>
      </c>
      <c r="G29" s="21" t="s">
        <v>2426</v>
      </c>
      <c r="H29" s="21"/>
      <c r="I29" s="178" t="n">
        <v>45474</v>
      </c>
      <c r="J29" s="21" t="s">
        <v>1373</v>
      </c>
      <c r="K29" s="21" t="s">
        <v>2427</v>
      </c>
      <c r="L29" s="181" t="str">
        <f aca="false">IFERROR(VLOOKUP(E29,'DL01. Nhân viên'!$A:$B,2,FALSE()),"")</f>
        <v>Huỳnh Quang Khải</v>
      </c>
    </row>
    <row r="30" customFormat="false" ht="30" hidden="false" customHeight="true" outlineLevel="0" collapsed="false">
      <c r="A30" s="21" t="s">
        <v>2428</v>
      </c>
      <c r="B30" s="21" t="s">
        <v>2429</v>
      </c>
      <c r="C30" s="21" t="s">
        <v>1338</v>
      </c>
      <c r="D30" s="21" t="s">
        <v>2308</v>
      </c>
      <c r="E30" s="180" t="str">
        <f aca="false">IFERROR(HYPERLINK("#'DL01. Nhân viên'!A"&amp;MATCH("NV014",'DL01. Nhân viên'!A:A,0),"NV014"),"NV014")</f>
        <v>NV014</v>
      </c>
      <c r="F30" s="21"/>
      <c r="G30" s="21" t="s">
        <v>2430</v>
      </c>
      <c r="H30" s="21" t="s">
        <v>2431</v>
      </c>
      <c r="I30" s="178" t="n">
        <v>44682</v>
      </c>
      <c r="J30" s="21" t="s">
        <v>1369</v>
      </c>
      <c r="K30" s="21" t="s">
        <v>2432</v>
      </c>
      <c r="L30" s="181" t="str">
        <f aca="false">IFERROR(VLOOKUP(E30,'DL01. Nhân viên'!$A:$B,2,FALSE()),"")</f>
        <v>Lê Trọng Tín</v>
      </c>
    </row>
    <row r="31" customFormat="false" ht="30" hidden="false" customHeight="true" outlineLevel="0" collapsed="false">
      <c r="A31" s="21" t="s">
        <v>2433</v>
      </c>
      <c r="B31" s="21" t="s">
        <v>2434</v>
      </c>
      <c r="C31" s="21" t="s">
        <v>1341</v>
      </c>
      <c r="D31" s="21" t="s">
        <v>2308</v>
      </c>
      <c r="E31" s="180" t="str">
        <f aca="false">IFERROR(HYPERLINK("#'DL01. Nhân viên'!A"&amp;MATCH("NV014",'DL01. Nhân viên'!A:A,0),"NV014"),"NV014")</f>
        <v>NV014</v>
      </c>
      <c r="F31" s="21"/>
      <c r="G31" s="21" t="s">
        <v>2435</v>
      </c>
      <c r="H31" s="21" t="s">
        <v>2436</v>
      </c>
      <c r="I31" s="178" t="n">
        <v>44986</v>
      </c>
      <c r="J31" s="21" t="s">
        <v>1369</v>
      </c>
      <c r="K31" s="21" t="s">
        <v>2437</v>
      </c>
      <c r="L31" s="181" t="str">
        <f aca="false">IFERROR(VLOOKUP(E31,'DL01. Nhân viên'!$A:$B,2,FALSE()),"")</f>
        <v>Lê Trọng Tín</v>
      </c>
    </row>
    <row r="32" customFormat="false" ht="30" hidden="false" customHeight="true" outlineLevel="0" collapsed="false">
      <c r="A32" s="21" t="s">
        <v>2438</v>
      </c>
      <c r="B32" s="21" t="s">
        <v>2439</v>
      </c>
      <c r="C32" s="21" t="s">
        <v>1341</v>
      </c>
      <c r="D32" s="21" t="s">
        <v>2308</v>
      </c>
      <c r="E32" s="180" t="str">
        <f aca="false">IFERROR(HYPERLINK("#'DL01. Nhân viên'!A"&amp;MATCH("NV014",'DL01. Nhân viên'!A:A,0),"NV014"),"NV014")</f>
        <v>NV014</v>
      </c>
      <c r="F32" s="21"/>
      <c r="G32" s="21" t="s">
        <v>2440</v>
      </c>
      <c r="H32" s="21" t="s">
        <v>2441</v>
      </c>
      <c r="I32" s="178" t="n">
        <v>45170</v>
      </c>
      <c r="J32" s="21" t="s">
        <v>1369</v>
      </c>
      <c r="K32" s="21" t="s">
        <v>2442</v>
      </c>
      <c r="L32" s="181" t="str">
        <f aca="false">IFERROR(VLOOKUP(E32,'DL01. Nhân viên'!$A:$B,2,FALSE()),"")</f>
        <v>Lê Trọng Tín</v>
      </c>
    </row>
    <row r="33" customFormat="false" ht="30" hidden="false" customHeight="true" outlineLevel="0" collapsed="false">
      <c r="A33" s="21" t="s">
        <v>2443</v>
      </c>
      <c r="B33" s="21" t="s">
        <v>2444</v>
      </c>
      <c r="C33" s="21" t="s">
        <v>1367</v>
      </c>
      <c r="D33" s="21" t="s">
        <v>2371</v>
      </c>
      <c r="E33" s="180" t="str">
        <f aca="false">IFERROR(HYPERLINK("#'DL01. Nhân viên'!A"&amp;MATCH("NV015",'DL01. Nhân viên'!A:A,0),"NV015"),"NV015")</f>
        <v>NV015</v>
      </c>
      <c r="F33" s="21"/>
      <c r="G33" s="21" t="s">
        <v>2445</v>
      </c>
      <c r="H33" s="21" t="s">
        <v>2446</v>
      </c>
      <c r="I33" s="178" t="n">
        <v>44593</v>
      </c>
      <c r="J33" s="21" t="s">
        <v>1369</v>
      </c>
      <c r="K33" s="21" t="s">
        <v>2447</v>
      </c>
      <c r="L33" s="181" t="str">
        <f aca="false">IFERROR(VLOOKUP(E33,'DL01. Nhân viên'!$A:$B,2,FALSE()),"")</f>
        <v>Đỗ Thành Luân</v>
      </c>
    </row>
    <row r="34" customFormat="false" ht="30" hidden="false" customHeight="true" outlineLevel="0" collapsed="false">
      <c r="A34" s="21" t="s">
        <v>2448</v>
      </c>
      <c r="B34" s="21" t="s">
        <v>2449</v>
      </c>
      <c r="C34" s="21" t="s">
        <v>1343</v>
      </c>
      <c r="D34" s="21" t="s">
        <v>2371</v>
      </c>
      <c r="E34" s="180" t="str">
        <f aca="false">IFERROR(HYPERLINK("#'DL01. Nhân viên'!A"&amp;MATCH("NV040",'DL01. Nhân viên'!A:A,0),"NV040"),"NV040")</f>
        <v>NV040</v>
      </c>
      <c r="F34" s="21"/>
      <c r="G34" s="21" t="s">
        <v>2450</v>
      </c>
      <c r="H34" s="21" t="s">
        <v>2451</v>
      </c>
      <c r="I34" s="178" t="n">
        <v>45292</v>
      </c>
      <c r="J34" s="21" t="s">
        <v>1369</v>
      </c>
      <c r="K34" s="21" t="s">
        <v>2452</v>
      </c>
      <c r="L34" s="181" t="str">
        <f aca="false">IFERROR(VLOOKUP(E34,'DL01. Nhân viên'!$A:$B,2,FALSE()),"")</f>
        <v>Nguyễn Thị Thu Hiền</v>
      </c>
    </row>
    <row r="35" customFormat="false" ht="30" hidden="false" customHeight="true" outlineLevel="0" collapsed="false">
      <c r="A35" s="21" t="s">
        <v>2453</v>
      </c>
      <c r="B35" s="21" t="s">
        <v>2454</v>
      </c>
      <c r="C35" s="21" t="s">
        <v>1347</v>
      </c>
      <c r="D35" s="21" t="s">
        <v>2377</v>
      </c>
      <c r="E35" s="180" t="str">
        <f aca="false">IFERROR(HYPERLINK("#'DL01. Nhân viên'!A"&amp;MATCH("NV016",'DL01. Nhân viên'!A:A,0),"NV016"),"NV016")</f>
        <v>NV016</v>
      </c>
      <c r="F35" s="21"/>
      <c r="G35" s="21" t="s">
        <v>2455</v>
      </c>
      <c r="H35" s="21" t="s">
        <v>2456</v>
      </c>
      <c r="I35" s="178" t="n">
        <v>44652</v>
      </c>
      <c r="J35" s="21" t="s">
        <v>1369</v>
      </c>
      <c r="K35" s="21" t="s">
        <v>2457</v>
      </c>
      <c r="L35" s="181" t="str">
        <f aca="false">IFERROR(VLOOKUP(E35,'DL01. Nhân viên'!$A:$B,2,FALSE()),"")</f>
        <v>Trần Nhật Hào</v>
      </c>
    </row>
    <row r="36" customFormat="false" ht="30" hidden="false" customHeight="true" outlineLevel="0" collapsed="false">
      <c r="A36" s="21" t="s">
        <v>2458</v>
      </c>
      <c r="B36" s="21" t="s">
        <v>2425</v>
      </c>
      <c r="C36" s="21" t="s">
        <v>1349</v>
      </c>
      <c r="D36" s="21" t="s">
        <v>2377</v>
      </c>
      <c r="E36" s="180" t="str">
        <f aca="false">IFERROR(HYPERLINK("#'DL01. Nhân viên'!A"&amp;MATCH("NV050",'DL01. Nhân viên'!A:A,0),"NV050"),"NV050")</f>
        <v>NV050</v>
      </c>
      <c r="F36" s="21"/>
      <c r="G36" s="21" t="s">
        <v>2459</v>
      </c>
      <c r="H36" s="21"/>
      <c r="I36" s="178" t="n">
        <v>45139</v>
      </c>
      <c r="J36" s="21" t="s">
        <v>1373</v>
      </c>
      <c r="K36" s="21" t="s">
        <v>2427</v>
      </c>
      <c r="L36" s="181" t="str">
        <f aca="false">IFERROR(VLOOKUP(E36,'DL01. Nhân viên'!$A:$B,2,FALSE()),"")</f>
        <v>Nguyễn Ngọc Yến Vy</v>
      </c>
    </row>
    <row r="37" customFormat="false" ht="30" hidden="false" customHeight="true" outlineLevel="0" collapsed="false">
      <c r="A37" s="21" t="s">
        <v>2460</v>
      </c>
      <c r="B37" s="21" t="s">
        <v>2461</v>
      </c>
      <c r="C37" s="21" t="s">
        <v>1359</v>
      </c>
      <c r="D37" s="21" t="s">
        <v>2462</v>
      </c>
      <c r="E37" s="180" t="str">
        <f aca="false">IFERROR(HYPERLINK("#'DL01. Nhân viên'!A"&amp;MATCH("NV016",'DL01. Nhân viên'!A:A,0),"NV016"),"NV016")</f>
        <v>NV016</v>
      </c>
      <c r="F37" s="21" t="s">
        <v>1414</v>
      </c>
      <c r="G37" s="21" t="s">
        <v>2463</v>
      </c>
      <c r="H37" s="21" t="s">
        <v>2464</v>
      </c>
      <c r="I37" s="178" t="n">
        <v>44927</v>
      </c>
      <c r="J37" s="21" t="s">
        <v>1369</v>
      </c>
      <c r="K37" s="21" t="s">
        <v>2465</v>
      </c>
      <c r="L37" s="181" t="str">
        <f aca="false">IFERROR(VLOOKUP(E37,'DL01. Nhân viên'!$A:$B,2,FALSE()),"")</f>
        <v>Trần Nhật Hào</v>
      </c>
    </row>
    <row r="38" customFormat="false" ht="30" hidden="false" customHeight="true" outlineLevel="0" collapsed="false">
      <c r="A38" s="21" t="s">
        <v>2466</v>
      </c>
      <c r="B38" s="21" t="s">
        <v>2467</v>
      </c>
      <c r="C38" s="21" t="s">
        <v>1361</v>
      </c>
      <c r="D38" s="21" t="s">
        <v>2462</v>
      </c>
      <c r="E38" s="180" t="str">
        <f aca="false">IFERROR(HYPERLINK("#'DL01. Nhân viên'!A"&amp;MATCH("NV016",'DL01. Nhân viên'!A:A,0),"NV016"),"NV016")</f>
        <v>NV016</v>
      </c>
      <c r="F38" s="21" t="s">
        <v>1414</v>
      </c>
      <c r="G38" s="21" t="s">
        <v>2468</v>
      </c>
      <c r="H38" s="21" t="s">
        <v>2469</v>
      </c>
      <c r="I38" s="178" t="n">
        <v>44713</v>
      </c>
      <c r="J38" s="21" t="s">
        <v>1369</v>
      </c>
      <c r="K38" s="21" t="s">
        <v>2470</v>
      </c>
      <c r="L38" s="181" t="str">
        <f aca="false">IFERROR(VLOOKUP(E38,'DL01. Nhân viên'!$A:$B,2,FALSE()),"")</f>
        <v>Trần Nhật Hào</v>
      </c>
    </row>
    <row r="39" customFormat="false" ht="15.75" hidden="false" customHeight="true" outlineLevel="0" collapsed="false">
      <c r="A39" s="135"/>
      <c r="B39" s="135"/>
      <c r="C39" s="135"/>
      <c r="D39" s="135"/>
      <c r="E39" s="135"/>
      <c r="F39" s="135"/>
      <c r="G39" s="135"/>
      <c r="H39" s="135"/>
      <c r="I39" s="182"/>
      <c r="J39" s="135"/>
      <c r="K39" s="135"/>
      <c r="L39" s="135"/>
    </row>
    <row r="40" customFormat="false" ht="15.75" hidden="false" customHeight="true" outlineLevel="0" collapsed="false">
      <c r="A40" s="135"/>
      <c r="B40" s="135"/>
      <c r="C40" s="135"/>
      <c r="D40" s="135"/>
      <c r="E40" s="135"/>
      <c r="F40" s="135"/>
      <c r="G40" s="135"/>
      <c r="H40" s="135"/>
      <c r="I40" s="182"/>
      <c r="J40" s="135"/>
      <c r="K40" s="135"/>
      <c r="L40" s="135"/>
    </row>
    <row r="41" customFormat="false" ht="15.75" hidden="false" customHeight="true" outlineLevel="0" collapsed="false">
      <c r="A41" s="135"/>
      <c r="B41" s="135"/>
      <c r="C41" s="135"/>
      <c r="D41" s="135"/>
      <c r="E41" s="135"/>
      <c r="F41" s="135"/>
      <c r="G41" s="135"/>
      <c r="H41" s="135"/>
      <c r="I41" s="182"/>
      <c r="J41" s="135"/>
      <c r="K41" s="135"/>
      <c r="L41" s="135"/>
    </row>
    <row r="42" customFormat="false" ht="15.75" hidden="false" customHeight="true" outlineLevel="0" collapsed="false">
      <c r="A42" s="135"/>
      <c r="B42" s="135"/>
      <c r="C42" s="135"/>
      <c r="D42" s="135"/>
      <c r="E42" s="135"/>
      <c r="F42" s="135"/>
      <c r="G42" s="135"/>
      <c r="H42" s="135"/>
      <c r="I42" s="182"/>
      <c r="J42" s="135"/>
      <c r="K42" s="135"/>
      <c r="L42" s="135"/>
    </row>
    <row r="43" customFormat="false" ht="15.75" hidden="false" customHeight="true" outlineLevel="0" collapsed="false">
      <c r="A43" s="135"/>
      <c r="B43" s="135"/>
      <c r="C43" s="135"/>
      <c r="D43" s="135"/>
      <c r="E43" s="135"/>
      <c r="F43" s="135"/>
      <c r="G43" s="135"/>
      <c r="H43" s="135"/>
      <c r="I43" s="182"/>
      <c r="J43" s="135"/>
      <c r="K43" s="135"/>
      <c r="L43" s="135"/>
    </row>
    <row r="44" customFormat="false" ht="15.75" hidden="false" customHeight="true" outlineLevel="0" collapsed="false">
      <c r="A44" s="135"/>
      <c r="B44" s="135"/>
      <c r="C44" s="135"/>
      <c r="D44" s="135"/>
      <c r="E44" s="135"/>
      <c r="F44" s="135"/>
      <c r="G44" s="135"/>
      <c r="H44" s="135"/>
      <c r="I44" s="182"/>
      <c r="J44" s="135"/>
      <c r="K44" s="135"/>
      <c r="L44" s="135"/>
    </row>
    <row r="45" customFormat="false" ht="15.75" hidden="false" customHeight="true" outlineLevel="0" collapsed="false">
      <c r="A45" s="135"/>
      <c r="B45" s="135"/>
      <c r="C45" s="135"/>
      <c r="D45" s="135"/>
      <c r="E45" s="135"/>
      <c r="F45" s="135"/>
      <c r="G45" s="135"/>
      <c r="H45" s="135"/>
      <c r="I45" s="182"/>
      <c r="J45" s="135"/>
      <c r="K45" s="135"/>
      <c r="L45" s="135"/>
    </row>
    <row r="46" customFormat="false" ht="15.75" hidden="false" customHeight="true" outlineLevel="0" collapsed="false">
      <c r="A46" s="135"/>
      <c r="B46" s="135"/>
      <c r="C46" s="135"/>
      <c r="D46" s="135"/>
      <c r="E46" s="135"/>
      <c r="F46" s="135"/>
      <c r="G46" s="135"/>
      <c r="H46" s="135"/>
      <c r="I46" s="182"/>
      <c r="J46" s="135"/>
      <c r="K46" s="135"/>
      <c r="L46" s="135"/>
    </row>
    <row r="47" customFormat="false" ht="15.75" hidden="false" customHeight="true" outlineLevel="0" collapsed="false">
      <c r="A47" s="135"/>
      <c r="B47" s="135"/>
      <c r="C47" s="135"/>
      <c r="D47" s="135"/>
      <c r="E47" s="135"/>
      <c r="F47" s="135"/>
      <c r="G47" s="135"/>
      <c r="H47" s="135"/>
      <c r="I47" s="182"/>
      <c r="J47" s="135"/>
      <c r="K47" s="135"/>
      <c r="L47" s="135"/>
    </row>
    <row r="48" customFormat="false" ht="15.75" hidden="false" customHeight="true" outlineLevel="0" collapsed="false">
      <c r="A48" s="135"/>
      <c r="B48" s="135"/>
      <c r="C48" s="135"/>
      <c r="D48" s="135"/>
      <c r="E48" s="135"/>
      <c r="F48" s="135"/>
      <c r="G48" s="135"/>
      <c r="H48" s="135"/>
      <c r="I48" s="182"/>
      <c r="J48" s="135"/>
      <c r="K48" s="135"/>
      <c r="L48" s="135"/>
    </row>
    <row r="49" customFormat="false" ht="15.75" hidden="false" customHeight="true" outlineLevel="0" collapsed="false">
      <c r="A49" s="135"/>
      <c r="B49" s="135"/>
      <c r="C49" s="135"/>
      <c r="D49" s="135"/>
      <c r="E49" s="135"/>
      <c r="F49" s="135"/>
      <c r="G49" s="135"/>
      <c r="H49" s="135"/>
      <c r="I49" s="182"/>
      <c r="J49" s="135"/>
      <c r="K49" s="135"/>
      <c r="L49" s="135"/>
    </row>
    <row r="50" customFormat="false" ht="15.75" hidden="false" customHeight="true" outlineLevel="0" collapsed="false">
      <c r="A50" s="135"/>
      <c r="B50" s="135"/>
      <c r="C50" s="135"/>
      <c r="D50" s="135"/>
      <c r="E50" s="135"/>
      <c r="F50" s="135"/>
      <c r="G50" s="135"/>
      <c r="H50" s="135"/>
      <c r="I50" s="182"/>
      <c r="J50" s="135"/>
      <c r="K50" s="135"/>
      <c r="L50" s="135"/>
    </row>
    <row r="51" customFormat="false" ht="15.75" hidden="false" customHeight="true" outlineLevel="0" collapsed="false">
      <c r="A51" s="135"/>
      <c r="B51" s="135"/>
      <c r="C51" s="135"/>
      <c r="D51" s="135"/>
      <c r="E51" s="135"/>
      <c r="F51" s="135"/>
      <c r="G51" s="135"/>
      <c r="H51" s="135"/>
      <c r="I51" s="182"/>
      <c r="J51" s="135"/>
      <c r="K51" s="135"/>
      <c r="L51" s="135"/>
    </row>
    <row r="52" customFormat="false" ht="15.75" hidden="false" customHeight="true" outlineLevel="0" collapsed="false">
      <c r="A52" s="135"/>
      <c r="B52" s="135"/>
      <c r="C52" s="135"/>
      <c r="D52" s="135"/>
      <c r="E52" s="135"/>
      <c r="F52" s="135"/>
      <c r="G52" s="135"/>
      <c r="H52" s="135"/>
      <c r="I52" s="182"/>
      <c r="J52" s="135"/>
      <c r="K52" s="135"/>
      <c r="L52" s="135"/>
    </row>
    <row r="53" customFormat="false" ht="15.75" hidden="false" customHeight="true" outlineLevel="0" collapsed="false">
      <c r="A53" s="135"/>
      <c r="B53" s="135"/>
      <c r="C53" s="135"/>
      <c r="D53" s="135"/>
      <c r="E53" s="135"/>
      <c r="F53" s="135"/>
      <c r="G53" s="135"/>
      <c r="H53" s="135"/>
      <c r="I53" s="182"/>
      <c r="J53" s="135"/>
      <c r="K53" s="135"/>
      <c r="L53" s="135"/>
    </row>
    <row r="54" customFormat="false" ht="15.75" hidden="false" customHeight="true" outlineLevel="0" collapsed="false">
      <c r="A54" s="135"/>
      <c r="B54" s="135"/>
      <c r="C54" s="135"/>
      <c r="D54" s="135"/>
      <c r="E54" s="135"/>
      <c r="F54" s="135"/>
      <c r="G54" s="135"/>
      <c r="H54" s="135"/>
      <c r="I54" s="182"/>
      <c r="J54" s="135"/>
      <c r="K54" s="135"/>
      <c r="L54" s="135"/>
    </row>
    <row r="55" customFormat="false" ht="15.75" hidden="false" customHeight="true" outlineLevel="0" collapsed="false">
      <c r="A55" s="135"/>
      <c r="B55" s="135"/>
      <c r="C55" s="135"/>
      <c r="D55" s="135"/>
      <c r="E55" s="135"/>
      <c r="F55" s="135"/>
      <c r="G55" s="135"/>
      <c r="H55" s="135"/>
      <c r="I55" s="182"/>
      <c r="J55" s="135"/>
      <c r="K55" s="135"/>
      <c r="L55" s="135"/>
    </row>
    <row r="56" customFormat="false" ht="15.75" hidden="false" customHeight="true" outlineLevel="0" collapsed="false">
      <c r="A56" s="135"/>
      <c r="B56" s="135"/>
      <c r="C56" s="135"/>
      <c r="D56" s="135"/>
      <c r="E56" s="135"/>
      <c r="F56" s="135"/>
      <c r="G56" s="135"/>
      <c r="H56" s="135"/>
      <c r="I56" s="182"/>
      <c r="J56" s="135"/>
      <c r="K56" s="135"/>
      <c r="L56" s="135"/>
    </row>
    <row r="57" customFormat="false" ht="15.75" hidden="false" customHeight="true" outlineLevel="0" collapsed="false">
      <c r="A57" s="135"/>
      <c r="B57" s="135"/>
      <c r="C57" s="135"/>
      <c r="D57" s="135"/>
      <c r="E57" s="135"/>
      <c r="F57" s="135"/>
      <c r="G57" s="135"/>
      <c r="H57" s="135"/>
      <c r="I57" s="182"/>
      <c r="J57" s="135"/>
      <c r="K57" s="135"/>
      <c r="L57" s="135"/>
    </row>
    <row r="58" customFormat="false" ht="15.75" hidden="false" customHeight="true" outlineLevel="0" collapsed="false">
      <c r="A58" s="135"/>
      <c r="B58" s="135"/>
      <c r="C58" s="135"/>
      <c r="D58" s="135"/>
      <c r="E58" s="135"/>
      <c r="F58" s="135"/>
      <c r="G58" s="135"/>
      <c r="H58" s="135"/>
      <c r="I58" s="182"/>
      <c r="J58" s="135"/>
      <c r="K58" s="135"/>
      <c r="L58" s="135"/>
    </row>
    <row r="59" customFormat="false" ht="15.75" hidden="false" customHeight="true" outlineLevel="0" collapsed="false">
      <c r="A59" s="135"/>
      <c r="B59" s="135"/>
      <c r="C59" s="135"/>
      <c r="D59" s="135"/>
      <c r="E59" s="135"/>
      <c r="F59" s="135"/>
      <c r="G59" s="135"/>
      <c r="H59" s="135"/>
      <c r="I59" s="182"/>
      <c r="J59" s="135"/>
      <c r="K59" s="135"/>
      <c r="L59" s="135"/>
    </row>
    <row r="60" customFormat="false" ht="15.75" hidden="false" customHeight="true" outlineLevel="0" collapsed="false">
      <c r="A60" s="135"/>
      <c r="B60" s="135"/>
      <c r="C60" s="135"/>
      <c r="D60" s="135"/>
      <c r="E60" s="135"/>
      <c r="F60" s="135"/>
      <c r="G60" s="135"/>
      <c r="H60" s="135"/>
      <c r="I60" s="182"/>
      <c r="J60" s="135"/>
      <c r="K60" s="135"/>
      <c r="L60" s="135"/>
    </row>
    <row r="61" customFormat="false" ht="15.75" hidden="false" customHeight="true" outlineLevel="0" collapsed="false">
      <c r="A61" s="135"/>
      <c r="B61" s="135"/>
      <c r="C61" s="135"/>
      <c r="D61" s="135"/>
      <c r="E61" s="135"/>
      <c r="F61" s="135"/>
      <c r="G61" s="135"/>
      <c r="H61" s="135"/>
      <c r="I61" s="182"/>
      <c r="J61" s="135"/>
      <c r="K61" s="135"/>
      <c r="L61" s="135"/>
    </row>
    <row r="62" customFormat="false" ht="15.75" hidden="false" customHeight="true" outlineLevel="0" collapsed="false">
      <c r="A62" s="135"/>
      <c r="B62" s="135"/>
      <c r="C62" s="135"/>
      <c r="D62" s="135"/>
      <c r="E62" s="135"/>
      <c r="F62" s="135"/>
      <c r="G62" s="135"/>
      <c r="H62" s="135"/>
      <c r="I62" s="182"/>
      <c r="J62" s="135"/>
      <c r="K62" s="135"/>
      <c r="L62" s="135"/>
    </row>
    <row r="63" customFormat="false" ht="15.75" hidden="false" customHeight="true" outlineLevel="0" collapsed="false">
      <c r="A63" s="135"/>
      <c r="B63" s="135"/>
      <c r="C63" s="135"/>
      <c r="D63" s="135"/>
      <c r="E63" s="135"/>
      <c r="F63" s="135"/>
      <c r="G63" s="135"/>
      <c r="H63" s="135"/>
      <c r="I63" s="182"/>
      <c r="J63" s="135"/>
      <c r="K63" s="135"/>
      <c r="L63" s="135"/>
    </row>
    <row r="64" customFormat="false" ht="15.75" hidden="false" customHeight="true" outlineLevel="0" collapsed="false">
      <c r="A64" s="135"/>
      <c r="B64" s="135"/>
      <c r="C64" s="135"/>
      <c r="D64" s="135"/>
      <c r="E64" s="135"/>
      <c r="F64" s="135"/>
      <c r="G64" s="135"/>
      <c r="H64" s="135"/>
      <c r="I64" s="182"/>
      <c r="J64" s="135"/>
      <c r="K64" s="135"/>
      <c r="L64" s="135"/>
    </row>
    <row r="65" customFormat="false" ht="15.75" hidden="false" customHeight="true" outlineLevel="0" collapsed="false">
      <c r="A65" s="135"/>
      <c r="B65" s="135"/>
      <c r="C65" s="135"/>
      <c r="D65" s="135"/>
      <c r="E65" s="135"/>
      <c r="F65" s="135"/>
      <c r="G65" s="135"/>
      <c r="H65" s="135"/>
      <c r="I65" s="182"/>
      <c r="J65" s="135"/>
      <c r="K65" s="135"/>
      <c r="L65" s="135"/>
    </row>
    <row r="66" customFormat="false" ht="15.75" hidden="false" customHeight="true" outlineLevel="0" collapsed="false">
      <c r="A66" s="135"/>
      <c r="B66" s="135"/>
      <c r="C66" s="135"/>
      <c r="D66" s="135"/>
      <c r="E66" s="135"/>
      <c r="F66" s="135"/>
      <c r="G66" s="135"/>
      <c r="H66" s="135"/>
      <c r="I66" s="182"/>
      <c r="J66" s="135"/>
      <c r="K66" s="135"/>
      <c r="L66" s="135"/>
    </row>
    <row r="67" customFormat="false" ht="15.75" hidden="false" customHeight="true" outlineLevel="0" collapsed="false">
      <c r="A67" s="135"/>
      <c r="B67" s="135"/>
      <c r="C67" s="135"/>
      <c r="D67" s="135"/>
      <c r="E67" s="135"/>
      <c r="F67" s="135"/>
      <c r="G67" s="135"/>
      <c r="H67" s="135"/>
      <c r="I67" s="182"/>
      <c r="J67" s="135"/>
      <c r="K67" s="135"/>
      <c r="L67" s="135"/>
    </row>
    <row r="68" customFormat="false" ht="15.75" hidden="false" customHeight="true" outlineLevel="0" collapsed="false">
      <c r="A68" s="135"/>
      <c r="B68" s="135"/>
      <c r="C68" s="135"/>
      <c r="D68" s="135"/>
      <c r="E68" s="135"/>
      <c r="F68" s="135"/>
      <c r="G68" s="135"/>
      <c r="H68" s="135"/>
      <c r="I68" s="182"/>
      <c r="J68" s="135"/>
      <c r="K68" s="135"/>
      <c r="L68" s="135"/>
    </row>
    <row r="69" customFormat="false" ht="15.75" hidden="false" customHeight="true" outlineLevel="0" collapsed="false">
      <c r="A69" s="135"/>
      <c r="B69" s="135"/>
      <c r="C69" s="135"/>
      <c r="D69" s="135"/>
      <c r="E69" s="135"/>
      <c r="F69" s="135"/>
      <c r="G69" s="135"/>
      <c r="H69" s="135"/>
      <c r="I69" s="182"/>
      <c r="J69" s="135"/>
      <c r="K69" s="135"/>
      <c r="L69" s="135"/>
    </row>
    <row r="70" customFormat="false" ht="15.75" hidden="false" customHeight="true" outlineLevel="0" collapsed="false">
      <c r="A70" s="135"/>
      <c r="B70" s="135"/>
      <c r="C70" s="135"/>
      <c r="D70" s="135"/>
      <c r="E70" s="135"/>
      <c r="F70" s="135"/>
      <c r="G70" s="135"/>
      <c r="H70" s="135"/>
      <c r="I70" s="182"/>
      <c r="J70" s="135"/>
      <c r="K70" s="135"/>
      <c r="L70" s="135"/>
    </row>
    <row r="71" customFormat="false" ht="15.75" hidden="false" customHeight="true" outlineLevel="0" collapsed="false">
      <c r="A71" s="135"/>
      <c r="B71" s="135"/>
      <c r="C71" s="135"/>
      <c r="D71" s="135"/>
      <c r="E71" s="135"/>
      <c r="F71" s="135"/>
      <c r="G71" s="135"/>
      <c r="H71" s="135"/>
      <c r="I71" s="182"/>
      <c r="J71" s="135"/>
      <c r="K71" s="135"/>
      <c r="L71" s="135"/>
    </row>
    <row r="72" customFormat="false" ht="15.75" hidden="false" customHeight="true" outlineLevel="0" collapsed="false">
      <c r="A72" s="135"/>
      <c r="B72" s="135"/>
      <c r="C72" s="135"/>
      <c r="D72" s="135"/>
      <c r="E72" s="135"/>
      <c r="F72" s="135"/>
      <c r="G72" s="135"/>
      <c r="H72" s="135"/>
      <c r="I72" s="182"/>
      <c r="J72" s="135"/>
      <c r="K72" s="135"/>
      <c r="L72" s="135"/>
    </row>
    <row r="73" customFormat="false" ht="15.75" hidden="false" customHeight="true" outlineLevel="0" collapsed="false">
      <c r="A73" s="135"/>
      <c r="B73" s="135"/>
      <c r="C73" s="135"/>
      <c r="D73" s="135"/>
      <c r="E73" s="135"/>
      <c r="F73" s="135"/>
      <c r="G73" s="135"/>
      <c r="H73" s="135"/>
      <c r="I73" s="182"/>
      <c r="J73" s="135"/>
      <c r="K73" s="135"/>
      <c r="L73" s="135"/>
    </row>
    <row r="74" customFormat="false" ht="15.75" hidden="false" customHeight="true" outlineLevel="0" collapsed="false">
      <c r="A74" s="135"/>
      <c r="B74" s="135"/>
      <c r="C74" s="135"/>
      <c r="D74" s="135"/>
      <c r="E74" s="135"/>
      <c r="F74" s="135"/>
      <c r="G74" s="135"/>
      <c r="H74" s="135"/>
      <c r="I74" s="182"/>
      <c r="J74" s="135"/>
      <c r="K74" s="135"/>
      <c r="L74" s="135"/>
    </row>
    <row r="75" customFormat="false" ht="15.75" hidden="false" customHeight="true" outlineLevel="0" collapsed="false">
      <c r="A75" s="135"/>
      <c r="B75" s="135"/>
      <c r="C75" s="135"/>
      <c r="D75" s="135"/>
      <c r="E75" s="135"/>
      <c r="F75" s="135"/>
      <c r="G75" s="135"/>
      <c r="H75" s="135"/>
      <c r="I75" s="182"/>
      <c r="J75" s="135"/>
      <c r="K75" s="135"/>
      <c r="L75" s="135"/>
    </row>
    <row r="76" customFormat="false" ht="15.75" hidden="false" customHeight="true" outlineLevel="0" collapsed="false">
      <c r="A76" s="135"/>
      <c r="B76" s="135"/>
      <c r="C76" s="135"/>
      <c r="D76" s="135"/>
      <c r="E76" s="135"/>
      <c r="F76" s="135"/>
      <c r="G76" s="135"/>
      <c r="H76" s="135"/>
      <c r="I76" s="182"/>
      <c r="J76" s="135"/>
      <c r="K76" s="135"/>
      <c r="L76" s="135"/>
    </row>
    <row r="77" customFormat="false" ht="15.75" hidden="false" customHeight="true" outlineLevel="0" collapsed="false">
      <c r="A77" s="135"/>
      <c r="B77" s="135"/>
      <c r="C77" s="135"/>
      <c r="D77" s="135"/>
      <c r="E77" s="135"/>
      <c r="F77" s="135"/>
      <c r="G77" s="135"/>
      <c r="H77" s="135"/>
      <c r="I77" s="182"/>
      <c r="J77" s="135"/>
      <c r="K77" s="135"/>
      <c r="L77" s="135"/>
    </row>
    <row r="78" customFormat="false" ht="15.75" hidden="false" customHeight="true" outlineLevel="0" collapsed="false">
      <c r="A78" s="135"/>
      <c r="B78" s="135"/>
      <c r="C78" s="135"/>
      <c r="D78" s="135"/>
      <c r="E78" s="135"/>
      <c r="F78" s="135"/>
      <c r="G78" s="135"/>
      <c r="H78" s="135"/>
      <c r="I78" s="182"/>
      <c r="J78" s="135"/>
      <c r="K78" s="135"/>
      <c r="L78" s="135"/>
    </row>
    <row r="79" customFormat="false" ht="15.75" hidden="false" customHeight="true" outlineLevel="0" collapsed="false">
      <c r="A79" s="135"/>
      <c r="B79" s="135"/>
      <c r="C79" s="135"/>
      <c r="D79" s="135"/>
      <c r="E79" s="135"/>
      <c r="F79" s="135"/>
      <c r="G79" s="135"/>
      <c r="H79" s="135"/>
      <c r="I79" s="182"/>
      <c r="J79" s="135"/>
      <c r="K79" s="135"/>
      <c r="L79" s="135"/>
    </row>
    <row r="80" customFormat="false" ht="15.75" hidden="false" customHeight="true" outlineLevel="0" collapsed="false">
      <c r="A80" s="135"/>
      <c r="B80" s="135"/>
      <c r="C80" s="135"/>
      <c r="D80" s="135"/>
      <c r="E80" s="135"/>
      <c r="F80" s="135"/>
      <c r="G80" s="135"/>
      <c r="H80" s="135"/>
      <c r="I80" s="182"/>
      <c r="J80" s="135"/>
      <c r="K80" s="135"/>
      <c r="L80" s="135"/>
    </row>
    <row r="81" customFormat="false" ht="15.75" hidden="false" customHeight="true" outlineLevel="0" collapsed="false">
      <c r="A81" s="135"/>
      <c r="B81" s="135"/>
      <c r="C81" s="135"/>
      <c r="D81" s="135"/>
      <c r="E81" s="135"/>
      <c r="F81" s="135"/>
      <c r="G81" s="135"/>
      <c r="H81" s="135"/>
      <c r="I81" s="182"/>
      <c r="J81" s="135"/>
      <c r="K81" s="135"/>
      <c r="L81" s="135"/>
    </row>
    <row r="82" customFormat="false" ht="15.75" hidden="false" customHeight="true" outlineLevel="0" collapsed="false">
      <c r="A82" s="135"/>
      <c r="B82" s="135"/>
      <c r="C82" s="135"/>
      <c r="D82" s="135"/>
      <c r="E82" s="135"/>
      <c r="F82" s="135"/>
      <c r="G82" s="135"/>
      <c r="H82" s="135"/>
      <c r="I82" s="182"/>
      <c r="J82" s="135"/>
      <c r="K82" s="135"/>
      <c r="L82" s="135"/>
    </row>
    <row r="83" customFormat="false" ht="15.75" hidden="false" customHeight="true" outlineLevel="0" collapsed="false">
      <c r="A83" s="135"/>
      <c r="B83" s="135"/>
      <c r="C83" s="135"/>
      <c r="D83" s="135"/>
      <c r="E83" s="135"/>
      <c r="F83" s="135"/>
      <c r="G83" s="135"/>
      <c r="H83" s="135"/>
      <c r="I83" s="182"/>
      <c r="J83" s="135"/>
      <c r="K83" s="135"/>
      <c r="L83" s="135"/>
    </row>
    <row r="84" customFormat="false" ht="15.75" hidden="false" customHeight="true" outlineLevel="0" collapsed="false">
      <c r="A84" s="135"/>
      <c r="B84" s="135"/>
      <c r="C84" s="135"/>
      <c r="D84" s="135"/>
      <c r="E84" s="135"/>
      <c r="F84" s="135"/>
      <c r="G84" s="135"/>
      <c r="H84" s="135"/>
      <c r="I84" s="182"/>
      <c r="J84" s="135"/>
      <c r="K84" s="135"/>
      <c r="L84" s="135"/>
    </row>
    <row r="85" customFormat="false" ht="15.75" hidden="false" customHeight="true" outlineLevel="0" collapsed="false">
      <c r="A85" s="135"/>
      <c r="B85" s="135"/>
      <c r="C85" s="135"/>
      <c r="D85" s="135"/>
      <c r="E85" s="135"/>
      <c r="F85" s="135"/>
      <c r="G85" s="135"/>
      <c r="H85" s="135"/>
      <c r="I85" s="182"/>
      <c r="J85" s="135"/>
      <c r="K85" s="135"/>
      <c r="L85" s="135"/>
    </row>
    <row r="86" customFormat="false" ht="15.75" hidden="false" customHeight="true" outlineLevel="0" collapsed="false">
      <c r="A86" s="135"/>
      <c r="B86" s="135"/>
      <c r="C86" s="135"/>
      <c r="D86" s="135"/>
      <c r="E86" s="135"/>
      <c r="F86" s="135"/>
      <c r="G86" s="135"/>
      <c r="H86" s="135"/>
      <c r="I86" s="182"/>
      <c r="J86" s="135"/>
      <c r="K86" s="135"/>
      <c r="L86" s="135"/>
    </row>
    <row r="87" customFormat="false" ht="15.75" hidden="false" customHeight="true" outlineLevel="0" collapsed="false">
      <c r="A87" s="135"/>
      <c r="B87" s="135"/>
      <c r="C87" s="135"/>
      <c r="D87" s="135"/>
      <c r="E87" s="135"/>
      <c r="F87" s="135"/>
      <c r="G87" s="135"/>
      <c r="H87" s="135"/>
      <c r="I87" s="182"/>
      <c r="J87" s="135"/>
      <c r="K87" s="135"/>
      <c r="L87" s="135"/>
    </row>
    <row r="88" customFormat="false" ht="15.75" hidden="false" customHeight="true" outlineLevel="0" collapsed="false">
      <c r="A88" s="135"/>
      <c r="B88" s="135"/>
      <c r="C88" s="135"/>
      <c r="D88" s="135"/>
      <c r="E88" s="135"/>
      <c r="F88" s="135"/>
      <c r="G88" s="135"/>
      <c r="H88" s="135"/>
      <c r="I88" s="182"/>
      <c r="J88" s="135"/>
      <c r="K88" s="135"/>
      <c r="L88" s="135"/>
    </row>
    <row r="89" customFormat="false" ht="15.75" hidden="false" customHeight="true" outlineLevel="0" collapsed="false">
      <c r="A89" s="135"/>
      <c r="B89" s="135"/>
      <c r="C89" s="135"/>
      <c r="D89" s="135"/>
      <c r="E89" s="135"/>
      <c r="F89" s="135"/>
      <c r="G89" s="135"/>
      <c r="H89" s="135"/>
      <c r="I89" s="182"/>
      <c r="J89" s="135"/>
      <c r="K89" s="135"/>
      <c r="L89" s="135"/>
    </row>
    <row r="90" customFormat="false" ht="15.75" hidden="false" customHeight="true" outlineLevel="0" collapsed="false">
      <c r="A90" s="135"/>
      <c r="B90" s="135"/>
      <c r="C90" s="135"/>
      <c r="D90" s="135"/>
      <c r="E90" s="135"/>
      <c r="F90" s="135"/>
      <c r="G90" s="135"/>
      <c r="H90" s="135"/>
      <c r="I90" s="182"/>
      <c r="J90" s="135"/>
      <c r="K90" s="135"/>
      <c r="L90" s="135"/>
    </row>
    <row r="91" customFormat="false" ht="15.75" hidden="false" customHeight="true" outlineLevel="0" collapsed="false">
      <c r="A91" s="135"/>
      <c r="B91" s="135"/>
      <c r="C91" s="135"/>
      <c r="D91" s="135"/>
      <c r="E91" s="135"/>
      <c r="F91" s="135"/>
      <c r="G91" s="135"/>
      <c r="H91" s="135"/>
      <c r="I91" s="182"/>
      <c r="J91" s="135"/>
      <c r="K91" s="135"/>
      <c r="L91" s="135"/>
    </row>
    <row r="92" customFormat="false" ht="15.75" hidden="false" customHeight="true" outlineLevel="0" collapsed="false">
      <c r="A92" s="135"/>
      <c r="B92" s="135"/>
      <c r="C92" s="135"/>
      <c r="D92" s="135"/>
      <c r="E92" s="135"/>
      <c r="F92" s="135"/>
      <c r="G92" s="135"/>
      <c r="H92" s="135"/>
      <c r="I92" s="182"/>
      <c r="J92" s="135"/>
      <c r="K92" s="135"/>
      <c r="L92" s="135"/>
    </row>
    <row r="93" customFormat="false" ht="15.75" hidden="false" customHeight="true" outlineLevel="0" collapsed="false">
      <c r="A93" s="135"/>
      <c r="B93" s="135"/>
      <c r="C93" s="135"/>
      <c r="D93" s="135"/>
      <c r="E93" s="135"/>
      <c r="F93" s="135"/>
      <c r="G93" s="135"/>
      <c r="H93" s="135"/>
      <c r="I93" s="182"/>
      <c r="J93" s="135"/>
      <c r="K93" s="135"/>
      <c r="L93" s="135"/>
    </row>
    <row r="94" customFormat="false" ht="15.75" hidden="false" customHeight="true" outlineLevel="0" collapsed="false">
      <c r="A94" s="135"/>
      <c r="B94" s="135"/>
      <c r="C94" s="135"/>
      <c r="D94" s="135"/>
      <c r="E94" s="135"/>
      <c r="F94" s="135"/>
      <c r="G94" s="135"/>
      <c r="H94" s="135"/>
      <c r="I94" s="182"/>
      <c r="J94" s="135"/>
      <c r="K94" s="135"/>
      <c r="L94" s="135"/>
    </row>
    <row r="95" customFormat="false" ht="15.75" hidden="false" customHeight="true" outlineLevel="0" collapsed="false">
      <c r="A95" s="135"/>
      <c r="B95" s="135"/>
      <c r="C95" s="135"/>
      <c r="D95" s="135"/>
      <c r="E95" s="135"/>
      <c r="F95" s="135"/>
      <c r="G95" s="135"/>
      <c r="H95" s="135"/>
      <c r="I95" s="182"/>
      <c r="J95" s="135"/>
      <c r="K95" s="135"/>
      <c r="L95" s="135"/>
    </row>
    <row r="96" customFormat="false" ht="15.75" hidden="false" customHeight="true" outlineLevel="0" collapsed="false">
      <c r="A96" s="135"/>
      <c r="B96" s="135"/>
      <c r="C96" s="135"/>
      <c r="D96" s="135"/>
      <c r="E96" s="135"/>
      <c r="F96" s="135"/>
      <c r="G96" s="135"/>
      <c r="H96" s="135"/>
      <c r="I96" s="182"/>
      <c r="J96" s="135"/>
      <c r="K96" s="135"/>
      <c r="L96" s="135"/>
    </row>
    <row r="97" customFormat="false" ht="15.75" hidden="false" customHeight="true" outlineLevel="0" collapsed="false">
      <c r="A97" s="135"/>
      <c r="B97" s="135"/>
      <c r="C97" s="135"/>
      <c r="D97" s="135"/>
      <c r="E97" s="135"/>
      <c r="F97" s="135"/>
      <c r="G97" s="135"/>
      <c r="H97" s="135"/>
      <c r="I97" s="182"/>
      <c r="J97" s="135"/>
      <c r="K97" s="135"/>
      <c r="L97" s="135"/>
    </row>
    <row r="98" customFormat="false" ht="15.75" hidden="false" customHeight="true" outlineLevel="0" collapsed="false">
      <c r="A98" s="135"/>
      <c r="B98" s="135"/>
      <c r="C98" s="135"/>
      <c r="D98" s="135"/>
      <c r="E98" s="135"/>
      <c r="F98" s="135"/>
      <c r="G98" s="135"/>
      <c r="H98" s="135"/>
      <c r="I98" s="182"/>
      <c r="J98" s="135"/>
      <c r="K98" s="135"/>
      <c r="L98" s="135"/>
    </row>
    <row r="99" customFormat="false" ht="15.75" hidden="false" customHeight="true" outlineLevel="0" collapsed="false">
      <c r="A99" s="135"/>
      <c r="B99" s="135"/>
      <c r="C99" s="135"/>
      <c r="D99" s="135"/>
      <c r="E99" s="135"/>
      <c r="F99" s="135"/>
      <c r="G99" s="135"/>
      <c r="H99" s="135"/>
      <c r="I99" s="182"/>
      <c r="J99" s="135"/>
      <c r="K99" s="135"/>
      <c r="L99" s="135"/>
    </row>
    <row r="100" customFormat="false" ht="15.75" hidden="false" customHeight="true" outlineLevel="0" collapsed="false">
      <c r="A100" s="135"/>
      <c r="B100" s="135"/>
      <c r="C100" s="135"/>
      <c r="D100" s="135"/>
      <c r="E100" s="135"/>
      <c r="F100" s="135"/>
      <c r="G100" s="135"/>
      <c r="H100" s="135"/>
      <c r="I100" s="182"/>
      <c r="J100" s="135"/>
      <c r="K100" s="135"/>
      <c r="L100" s="135"/>
    </row>
    <row r="101" customFormat="false" ht="15.75" hidden="false" customHeight="true" outlineLevel="0" collapsed="false">
      <c r="A101" s="135"/>
      <c r="B101" s="135"/>
      <c r="C101" s="135"/>
      <c r="D101" s="135"/>
      <c r="E101" s="135"/>
      <c r="F101" s="135"/>
      <c r="G101" s="135"/>
      <c r="H101" s="135"/>
      <c r="I101" s="182"/>
      <c r="J101" s="135"/>
      <c r="K101" s="135"/>
      <c r="L101" s="135"/>
    </row>
    <row r="102" customFormat="false" ht="15.75" hidden="false" customHeight="true" outlineLevel="0" collapsed="false">
      <c r="A102" s="135"/>
      <c r="B102" s="135"/>
      <c r="C102" s="135"/>
      <c r="D102" s="135"/>
      <c r="E102" s="135"/>
      <c r="F102" s="135"/>
      <c r="G102" s="135"/>
      <c r="H102" s="135"/>
      <c r="I102" s="182"/>
      <c r="J102" s="135"/>
      <c r="K102" s="135"/>
      <c r="L102" s="135"/>
    </row>
    <row r="103" customFormat="false" ht="15.75" hidden="false" customHeight="true" outlineLevel="0" collapsed="false">
      <c r="A103" s="135"/>
      <c r="B103" s="135"/>
      <c r="C103" s="135"/>
      <c r="D103" s="135"/>
      <c r="E103" s="135"/>
      <c r="F103" s="135"/>
      <c r="G103" s="135"/>
      <c r="H103" s="135"/>
      <c r="I103" s="182"/>
      <c r="J103" s="135"/>
      <c r="K103" s="135"/>
      <c r="L103" s="135"/>
    </row>
    <row r="104" customFormat="false" ht="15.75" hidden="false" customHeight="true" outlineLevel="0" collapsed="false">
      <c r="A104" s="135"/>
      <c r="B104" s="135"/>
      <c r="C104" s="135"/>
      <c r="D104" s="135"/>
      <c r="E104" s="135"/>
      <c r="F104" s="135"/>
      <c r="G104" s="135"/>
      <c r="H104" s="135"/>
      <c r="I104" s="182"/>
      <c r="J104" s="135"/>
      <c r="K104" s="135"/>
      <c r="L104" s="135"/>
    </row>
    <row r="105" customFormat="false" ht="15.75" hidden="false" customHeight="true" outlineLevel="0" collapsed="false">
      <c r="A105" s="135"/>
      <c r="B105" s="135"/>
      <c r="C105" s="135"/>
      <c r="D105" s="135"/>
      <c r="E105" s="135"/>
      <c r="F105" s="135"/>
      <c r="G105" s="135"/>
      <c r="H105" s="135"/>
      <c r="I105" s="182"/>
      <c r="J105" s="135"/>
      <c r="K105" s="135"/>
      <c r="L105" s="135"/>
    </row>
    <row r="106" customFormat="false" ht="15.75" hidden="false" customHeight="true" outlineLevel="0" collapsed="false">
      <c r="A106" s="135"/>
      <c r="B106" s="135"/>
      <c r="C106" s="135"/>
      <c r="D106" s="135"/>
      <c r="E106" s="135"/>
      <c r="F106" s="135"/>
      <c r="G106" s="135"/>
      <c r="H106" s="135"/>
      <c r="I106" s="182"/>
      <c r="J106" s="135"/>
      <c r="K106" s="135"/>
      <c r="L106" s="135"/>
    </row>
    <row r="107" customFormat="false" ht="15.75" hidden="false" customHeight="true" outlineLevel="0" collapsed="false">
      <c r="A107" s="135"/>
      <c r="B107" s="135"/>
      <c r="C107" s="135"/>
      <c r="D107" s="135"/>
      <c r="E107" s="135"/>
      <c r="F107" s="135"/>
      <c r="G107" s="135"/>
      <c r="H107" s="135"/>
      <c r="I107" s="182"/>
      <c r="J107" s="135"/>
      <c r="K107" s="135"/>
      <c r="L107" s="135"/>
    </row>
    <row r="108" customFormat="false" ht="15.75" hidden="false" customHeight="true" outlineLevel="0" collapsed="false">
      <c r="A108" s="135"/>
      <c r="B108" s="135"/>
      <c r="C108" s="135"/>
      <c r="D108" s="135"/>
      <c r="E108" s="135"/>
      <c r="F108" s="135"/>
      <c r="G108" s="135"/>
      <c r="H108" s="135"/>
      <c r="I108" s="182"/>
      <c r="J108" s="135"/>
      <c r="K108" s="135"/>
      <c r="L108" s="135"/>
    </row>
    <row r="109" customFormat="false" ht="15.75" hidden="false" customHeight="true" outlineLevel="0" collapsed="false">
      <c r="A109" s="135"/>
      <c r="B109" s="135"/>
      <c r="C109" s="135"/>
      <c r="D109" s="135"/>
      <c r="E109" s="135"/>
      <c r="F109" s="135"/>
      <c r="G109" s="135"/>
      <c r="H109" s="135"/>
      <c r="I109" s="182"/>
      <c r="J109" s="135"/>
      <c r="K109" s="135"/>
      <c r="L109" s="135"/>
    </row>
    <row r="110" customFormat="false" ht="15.75" hidden="false" customHeight="true" outlineLevel="0" collapsed="false">
      <c r="A110" s="135"/>
      <c r="B110" s="135"/>
      <c r="C110" s="135"/>
      <c r="D110" s="135"/>
      <c r="E110" s="135"/>
      <c r="F110" s="135"/>
      <c r="G110" s="135"/>
      <c r="H110" s="135"/>
      <c r="I110" s="182"/>
      <c r="J110" s="135"/>
      <c r="K110" s="135"/>
      <c r="L110" s="135"/>
    </row>
    <row r="111" customFormat="false" ht="15.75" hidden="false" customHeight="true" outlineLevel="0" collapsed="false">
      <c r="A111" s="135"/>
      <c r="B111" s="135"/>
      <c r="C111" s="135"/>
      <c r="D111" s="135"/>
      <c r="E111" s="135"/>
      <c r="F111" s="135"/>
      <c r="G111" s="135"/>
      <c r="H111" s="135"/>
      <c r="I111" s="182"/>
      <c r="J111" s="135"/>
      <c r="K111" s="135"/>
      <c r="L111" s="135"/>
    </row>
    <row r="112" customFormat="false" ht="15.75" hidden="false" customHeight="true" outlineLevel="0" collapsed="false">
      <c r="A112" s="135"/>
      <c r="B112" s="135"/>
      <c r="C112" s="135"/>
      <c r="D112" s="135"/>
      <c r="E112" s="135"/>
      <c r="F112" s="135"/>
      <c r="G112" s="135"/>
      <c r="H112" s="135"/>
      <c r="I112" s="182"/>
      <c r="J112" s="135"/>
      <c r="K112" s="135"/>
      <c r="L112" s="135"/>
    </row>
    <row r="113" customFormat="false" ht="15.75" hidden="false" customHeight="true" outlineLevel="0" collapsed="false">
      <c r="A113" s="135"/>
      <c r="B113" s="135"/>
      <c r="C113" s="135"/>
      <c r="D113" s="135"/>
      <c r="E113" s="135"/>
      <c r="F113" s="135"/>
      <c r="G113" s="135"/>
      <c r="H113" s="135"/>
      <c r="I113" s="182"/>
      <c r="J113" s="135"/>
      <c r="K113" s="135"/>
      <c r="L113" s="135"/>
    </row>
    <row r="114" customFormat="false" ht="15.75" hidden="false" customHeight="true" outlineLevel="0" collapsed="false">
      <c r="A114" s="135"/>
      <c r="B114" s="135"/>
      <c r="C114" s="135"/>
      <c r="D114" s="135"/>
      <c r="E114" s="135"/>
      <c r="F114" s="135"/>
      <c r="G114" s="135"/>
      <c r="H114" s="135"/>
      <c r="I114" s="182"/>
      <c r="J114" s="135"/>
      <c r="K114" s="135"/>
      <c r="L114" s="135"/>
    </row>
    <row r="115" customFormat="false" ht="15.75" hidden="false" customHeight="true" outlineLevel="0" collapsed="false">
      <c r="A115" s="135"/>
      <c r="B115" s="135"/>
      <c r="C115" s="135"/>
      <c r="D115" s="135"/>
      <c r="E115" s="135"/>
      <c r="F115" s="135"/>
      <c r="G115" s="135"/>
      <c r="H115" s="135"/>
      <c r="I115" s="182"/>
      <c r="J115" s="135"/>
      <c r="K115" s="135"/>
      <c r="L115" s="135"/>
    </row>
    <row r="116" customFormat="false" ht="15.75" hidden="false" customHeight="true" outlineLevel="0" collapsed="false">
      <c r="A116" s="135"/>
      <c r="B116" s="135"/>
      <c r="C116" s="135"/>
      <c r="D116" s="135"/>
      <c r="E116" s="135"/>
      <c r="F116" s="135"/>
      <c r="G116" s="135"/>
      <c r="H116" s="135"/>
      <c r="I116" s="182"/>
      <c r="J116" s="135"/>
      <c r="K116" s="135"/>
      <c r="L116" s="135"/>
    </row>
    <row r="117" customFormat="false" ht="15.75" hidden="false" customHeight="true" outlineLevel="0" collapsed="false">
      <c r="A117" s="135"/>
      <c r="B117" s="135"/>
      <c r="C117" s="135"/>
      <c r="D117" s="135"/>
      <c r="E117" s="135"/>
      <c r="F117" s="135"/>
      <c r="G117" s="135"/>
      <c r="H117" s="135"/>
      <c r="I117" s="182"/>
      <c r="J117" s="135"/>
      <c r="K117" s="135"/>
      <c r="L117" s="135"/>
    </row>
    <row r="118" customFormat="false" ht="15.75" hidden="false" customHeight="true" outlineLevel="0" collapsed="false">
      <c r="A118" s="135"/>
      <c r="B118" s="135"/>
      <c r="C118" s="135"/>
      <c r="D118" s="135"/>
      <c r="E118" s="135"/>
      <c r="F118" s="135"/>
      <c r="G118" s="135"/>
      <c r="H118" s="135"/>
      <c r="I118" s="182"/>
      <c r="J118" s="135"/>
      <c r="K118" s="135"/>
      <c r="L118" s="135"/>
    </row>
    <row r="119" customFormat="false" ht="15.75" hidden="false" customHeight="true" outlineLevel="0" collapsed="false">
      <c r="A119" s="135"/>
      <c r="B119" s="135"/>
      <c r="C119" s="135"/>
      <c r="D119" s="135"/>
      <c r="E119" s="135"/>
      <c r="F119" s="135"/>
      <c r="G119" s="135"/>
      <c r="H119" s="135"/>
      <c r="I119" s="182"/>
      <c r="J119" s="135"/>
      <c r="K119" s="135"/>
      <c r="L119" s="135"/>
    </row>
    <row r="120" customFormat="false" ht="15.75" hidden="false" customHeight="true" outlineLevel="0" collapsed="false">
      <c r="A120" s="135"/>
      <c r="B120" s="135"/>
      <c r="C120" s="135"/>
      <c r="D120" s="135"/>
      <c r="E120" s="135"/>
      <c r="F120" s="135"/>
      <c r="G120" s="135"/>
      <c r="H120" s="135"/>
      <c r="I120" s="182"/>
      <c r="J120" s="135"/>
      <c r="K120" s="135"/>
      <c r="L120" s="135"/>
    </row>
    <row r="121" customFormat="false" ht="15.75" hidden="false" customHeight="true" outlineLevel="0" collapsed="false">
      <c r="A121" s="135"/>
      <c r="B121" s="135"/>
      <c r="C121" s="135"/>
      <c r="D121" s="135"/>
      <c r="E121" s="135"/>
      <c r="F121" s="135"/>
      <c r="G121" s="135"/>
      <c r="H121" s="135"/>
      <c r="I121" s="182"/>
      <c r="J121" s="135"/>
      <c r="K121" s="135"/>
      <c r="L121" s="135"/>
    </row>
    <row r="122" customFormat="false" ht="15.75" hidden="false" customHeight="true" outlineLevel="0" collapsed="false">
      <c r="A122" s="135"/>
      <c r="B122" s="135"/>
      <c r="C122" s="135"/>
      <c r="D122" s="135"/>
      <c r="E122" s="135"/>
      <c r="F122" s="135"/>
      <c r="G122" s="135"/>
      <c r="H122" s="135"/>
      <c r="I122" s="182"/>
      <c r="J122" s="135"/>
      <c r="K122" s="135"/>
      <c r="L122" s="135"/>
    </row>
    <row r="123" customFormat="false" ht="15.75" hidden="false" customHeight="true" outlineLevel="0" collapsed="false">
      <c r="A123" s="135"/>
      <c r="B123" s="135"/>
      <c r="C123" s="135"/>
      <c r="D123" s="135"/>
      <c r="E123" s="135"/>
      <c r="F123" s="135"/>
      <c r="G123" s="135"/>
      <c r="H123" s="135"/>
      <c r="I123" s="182"/>
      <c r="J123" s="135"/>
      <c r="K123" s="135"/>
      <c r="L123" s="135"/>
    </row>
    <row r="124" customFormat="false" ht="15.75" hidden="false" customHeight="true" outlineLevel="0" collapsed="false">
      <c r="A124" s="135"/>
      <c r="B124" s="135"/>
      <c r="C124" s="135"/>
      <c r="D124" s="135"/>
      <c r="E124" s="135"/>
      <c r="F124" s="135"/>
      <c r="G124" s="135"/>
      <c r="H124" s="135"/>
      <c r="I124" s="182"/>
      <c r="J124" s="135"/>
      <c r="K124" s="135"/>
      <c r="L124" s="135"/>
    </row>
    <row r="125" customFormat="false" ht="15.75" hidden="false" customHeight="true" outlineLevel="0" collapsed="false">
      <c r="A125" s="135"/>
      <c r="B125" s="135"/>
      <c r="C125" s="135"/>
      <c r="D125" s="135"/>
      <c r="E125" s="135"/>
      <c r="F125" s="135"/>
      <c r="G125" s="135"/>
      <c r="H125" s="135"/>
      <c r="I125" s="182"/>
      <c r="J125" s="135"/>
      <c r="K125" s="135"/>
      <c r="L125" s="135"/>
    </row>
    <row r="126" customFormat="false" ht="15.75" hidden="false" customHeight="true" outlineLevel="0" collapsed="false">
      <c r="A126" s="135"/>
      <c r="B126" s="135"/>
      <c r="C126" s="135"/>
      <c r="D126" s="135"/>
      <c r="E126" s="135"/>
      <c r="F126" s="135"/>
      <c r="G126" s="135"/>
      <c r="H126" s="135"/>
      <c r="I126" s="182"/>
      <c r="J126" s="135"/>
      <c r="K126" s="135"/>
      <c r="L126" s="135"/>
    </row>
    <row r="127" customFormat="false" ht="15.75" hidden="false" customHeight="true" outlineLevel="0" collapsed="false">
      <c r="A127" s="135"/>
      <c r="B127" s="135"/>
      <c r="C127" s="135"/>
      <c r="D127" s="135"/>
      <c r="E127" s="135"/>
      <c r="F127" s="135"/>
      <c r="G127" s="135"/>
      <c r="H127" s="135"/>
      <c r="I127" s="182"/>
      <c r="J127" s="135"/>
      <c r="K127" s="135"/>
      <c r="L127" s="135"/>
    </row>
    <row r="128" customFormat="false" ht="15.75" hidden="false" customHeight="true" outlineLevel="0" collapsed="false">
      <c r="A128" s="135"/>
      <c r="B128" s="135"/>
      <c r="C128" s="135"/>
      <c r="D128" s="135"/>
      <c r="E128" s="135"/>
      <c r="F128" s="135"/>
      <c r="G128" s="135"/>
      <c r="H128" s="135"/>
      <c r="I128" s="182"/>
      <c r="J128" s="135"/>
      <c r="K128" s="135"/>
      <c r="L128" s="135"/>
    </row>
    <row r="129" customFormat="false" ht="15.75" hidden="false" customHeight="true" outlineLevel="0" collapsed="false">
      <c r="A129" s="135"/>
      <c r="B129" s="135"/>
      <c r="C129" s="135"/>
      <c r="D129" s="135"/>
      <c r="E129" s="135"/>
      <c r="F129" s="135"/>
      <c r="G129" s="135"/>
      <c r="H129" s="135"/>
      <c r="I129" s="182"/>
      <c r="J129" s="135"/>
      <c r="K129" s="135"/>
      <c r="L129" s="135"/>
    </row>
    <row r="130" customFormat="false" ht="15.75" hidden="false" customHeight="true" outlineLevel="0" collapsed="false">
      <c r="A130" s="135"/>
      <c r="B130" s="135"/>
      <c r="C130" s="135"/>
      <c r="D130" s="135"/>
      <c r="E130" s="135"/>
      <c r="F130" s="135"/>
      <c r="G130" s="135"/>
      <c r="H130" s="135"/>
      <c r="I130" s="182"/>
      <c r="J130" s="135"/>
      <c r="K130" s="135"/>
      <c r="L130" s="135"/>
    </row>
    <row r="131" customFormat="false" ht="15.75" hidden="false" customHeight="true" outlineLevel="0" collapsed="false">
      <c r="A131" s="135"/>
      <c r="B131" s="135"/>
      <c r="C131" s="135"/>
      <c r="D131" s="135"/>
      <c r="E131" s="135"/>
      <c r="F131" s="135"/>
      <c r="G131" s="135"/>
      <c r="H131" s="135"/>
      <c r="I131" s="182"/>
      <c r="J131" s="135"/>
      <c r="K131" s="135"/>
      <c r="L131" s="135"/>
    </row>
    <row r="132" customFormat="false" ht="15.75" hidden="false" customHeight="true" outlineLevel="0" collapsed="false">
      <c r="A132" s="135"/>
      <c r="B132" s="135"/>
      <c r="C132" s="135"/>
      <c r="D132" s="135"/>
      <c r="E132" s="135"/>
      <c r="F132" s="135"/>
      <c r="G132" s="135"/>
      <c r="H132" s="135"/>
      <c r="I132" s="182"/>
      <c r="J132" s="135"/>
      <c r="K132" s="135"/>
      <c r="L132" s="135"/>
    </row>
    <row r="133" customFormat="false" ht="15.75" hidden="false" customHeight="true" outlineLevel="0" collapsed="false">
      <c r="A133" s="135"/>
      <c r="B133" s="135"/>
      <c r="C133" s="135"/>
      <c r="D133" s="135"/>
      <c r="E133" s="135"/>
      <c r="F133" s="135"/>
      <c r="G133" s="135"/>
      <c r="H133" s="135"/>
      <c r="I133" s="182"/>
      <c r="J133" s="135"/>
      <c r="K133" s="135"/>
      <c r="L133" s="135"/>
    </row>
    <row r="134" customFormat="false" ht="15.75" hidden="false" customHeight="true" outlineLevel="0" collapsed="false">
      <c r="A134" s="135"/>
      <c r="B134" s="135"/>
      <c r="C134" s="135"/>
      <c r="D134" s="135"/>
      <c r="E134" s="135"/>
      <c r="F134" s="135"/>
      <c r="G134" s="135"/>
      <c r="H134" s="135"/>
      <c r="I134" s="182"/>
      <c r="J134" s="135"/>
      <c r="K134" s="135"/>
      <c r="L134" s="135"/>
    </row>
    <row r="135" customFormat="false" ht="15.75" hidden="false" customHeight="true" outlineLevel="0" collapsed="false">
      <c r="A135" s="135"/>
      <c r="B135" s="135"/>
      <c r="C135" s="135"/>
      <c r="D135" s="135"/>
      <c r="E135" s="135"/>
      <c r="F135" s="135"/>
      <c r="G135" s="135"/>
      <c r="H135" s="135"/>
      <c r="I135" s="182"/>
      <c r="J135" s="135"/>
      <c r="K135" s="135"/>
      <c r="L135" s="135"/>
    </row>
    <row r="136" customFormat="false" ht="15.75" hidden="false" customHeight="true" outlineLevel="0" collapsed="false">
      <c r="A136" s="135"/>
      <c r="B136" s="135"/>
      <c r="C136" s="135"/>
      <c r="D136" s="135"/>
      <c r="E136" s="135"/>
      <c r="F136" s="135"/>
      <c r="G136" s="135"/>
      <c r="H136" s="135"/>
      <c r="I136" s="182"/>
      <c r="J136" s="135"/>
      <c r="K136" s="135"/>
      <c r="L136" s="135"/>
    </row>
    <row r="137" customFormat="false" ht="15.75" hidden="false" customHeight="true" outlineLevel="0" collapsed="false">
      <c r="A137" s="135"/>
      <c r="B137" s="135"/>
      <c r="C137" s="135"/>
      <c r="D137" s="135"/>
      <c r="E137" s="135"/>
      <c r="F137" s="135"/>
      <c r="G137" s="135"/>
      <c r="H137" s="135"/>
      <c r="I137" s="182"/>
      <c r="J137" s="135"/>
      <c r="K137" s="135"/>
      <c r="L137" s="135"/>
    </row>
    <row r="138" customFormat="false" ht="15.75" hidden="false" customHeight="true" outlineLevel="0" collapsed="false">
      <c r="A138" s="135"/>
      <c r="B138" s="135"/>
      <c r="C138" s="135"/>
      <c r="D138" s="135"/>
      <c r="E138" s="135"/>
      <c r="F138" s="135"/>
      <c r="G138" s="135"/>
      <c r="H138" s="135"/>
      <c r="I138" s="182"/>
      <c r="J138" s="135"/>
      <c r="K138" s="135"/>
      <c r="L138" s="135"/>
    </row>
    <row r="139" customFormat="false" ht="15.75" hidden="false" customHeight="true" outlineLevel="0" collapsed="false">
      <c r="A139" s="135"/>
      <c r="B139" s="135"/>
      <c r="C139" s="135"/>
      <c r="D139" s="135"/>
      <c r="E139" s="135"/>
      <c r="F139" s="135"/>
      <c r="G139" s="135"/>
      <c r="H139" s="135"/>
      <c r="I139" s="182"/>
      <c r="J139" s="135"/>
      <c r="K139" s="135"/>
      <c r="L139" s="135"/>
    </row>
    <row r="140" customFormat="false" ht="15.75" hidden="false" customHeight="true" outlineLevel="0" collapsed="false">
      <c r="A140" s="135"/>
      <c r="B140" s="135"/>
      <c r="C140" s="135"/>
      <c r="D140" s="135"/>
      <c r="E140" s="135"/>
      <c r="F140" s="135"/>
      <c r="G140" s="135"/>
      <c r="H140" s="135"/>
      <c r="I140" s="182"/>
      <c r="J140" s="135"/>
      <c r="K140" s="135"/>
      <c r="L140" s="135"/>
    </row>
    <row r="141" customFormat="false" ht="15.75" hidden="false" customHeight="true" outlineLevel="0" collapsed="false">
      <c r="A141" s="135"/>
      <c r="B141" s="135"/>
      <c r="C141" s="135"/>
      <c r="D141" s="135"/>
      <c r="E141" s="135"/>
      <c r="F141" s="135"/>
      <c r="G141" s="135"/>
      <c r="H141" s="135"/>
      <c r="I141" s="182"/>
      <c r="J141" s="135"/>
      <c r="K141" s="135"/>
      <c r="L141" s="135"/>
    </row>
    <row r="142" customFormat="false" ht="15.75" hidden="false" customHeight="true" outlineLevel="0" collapsed="false">
      <c r="A142" s="135"/>
      <c r="B142" s="135"/>
      <c r="C142" s="135"/>
      <c r="D142" s="135"/>
      <c r="E142" s="135"/>
      <c r="F142" s="135"/>
      <c r="G142" s="135"/>
      <c r="H142" s="135"/>
      <c r="I142" s="182"/>
      <c r="J142" s="135"/>
      <c r="K142" s="135"/>
      <c r="L142" s="135"/>
    </row>
    <row r="143" customFormat="false" ht="15.75" hidden="false" customHeight="true" outlineLevel="0" collapsed="false">
      <c r="A143" s="135"/>
      <c r="B143" s="135"/>
      <c r="C143" s="135"/>
      <c r="D143" s="135"/>
      <c r="E143" s="135"/>
      <c r="F143" s="135"/>
      <c r="G143" s="135"/>
      <c r="H143" s="135"/>
      <c r="I143" s="182"/>
      <c r="J143" s="135"/>
      <c r="K143" s="135"/>
      <c r="L143" s="135"/>
    </row>
    <row r="144" customFormat="false" ht="15.75" hidden="false" customHeight="true" outlineLevel="0" collapsed="false">
      <c r="A144" s="135"/>
      <c r="B144" s="135"/>
      <c r="C144" s="135"/>
      <c r="D144" s="135"/>
      <c r="E144" s="135"/>
      <c r="F144" s="135"/>
      <c r="G144" s="135"/>
      <c r="H144" s="135"/>
      <c r="I144" s="182"/>
      <c r="J144" s="135"/>
      <c r="K144" s="135"/>
      <c r="L144" s="135"/>
    </row>
    <row r="145" customFormat="false" ht="15.75" hidden="false" customHeight="true" outlineLevel="0" collapsed="false">
      <c r="A145" s="135"/>
      <c r="B145" s="135"/>
      <c r="C145" s="135"/>
      <c r="D145" s="135"/>
      <c r="E145" s="135"/>
      <c r="F145" s="135"/>
      <c r="G145" s="135"/>
      <c r="H145" s="135"/>
      <c r="I145" s="182"/>
      <c r="J145" s="135"/>
      <c r="K145" s="135"/>
      <c r="L145" s="135"/>
    </row>
    <row r="146" customFormat="false" ht="15.75" hidden="false" customHeight="true" outlineLevel="0" collapsed="false">
      <c r="A146" s="135"/>
      <c r="B146" s="135"/>
      <c r="C146" s="135"/>
      <c r="D146" s="135"/>
      <c r="E146" s="135"/>
      <c r="F146" s="135"/>
      <c r="G146" s="135"/>
      <c r="H146" s="135"/>
      <c r="I146" s="182"/>
      <c r="J146" s="135"/>
      <c r="K146" s="135"/>
      <c r="L146" s="135"/>
    </row>
    <row r="147" customFormat="false" ht="15.75" hidden="false" customHeight="true" outlineLevel="0" collapsed="false">
      <c r="A147" s="135"/>
      <c r="B147" s="135"/>
      <c r="C147" s="135"/>
      <c r="D147" s="135"/>
      <c r="E147" s="135"/>
      <c r="F147" s="135"/>
      <c r="G147" s="135"/>
      <c r="H147" s="135"/>
      <c r="I147" s="182"/>
      <c r="J147" s="135"/>
      <c r="K147" s="135"/>
      <c r="L147" s="135"/>
    </row>
    <row r="148" customFormat="false" ht="15.75" hidden="false" customHeight="true" outlineLevel="0" collapsed="false">
      <c r="A148" s="135"/>
      <c r="B148" s="135"/>
      <c r="C148" s="135"/>
      <c r="D148" s="135"/>
      <c r="E148" s="135"/>
      <c r="F148" s="135"/>
      <c r="G148" s="135"/>
      <c r="H148" s="135"/>
      <c r="I148" s="182"/>
      <c r="J148" s="135"/>
      <c r="K148" s="135"/>
      <c r="L148" s="135"/>
    </row>
    <row r="149" customFormat="false" ht="15.75" hidden="false" customHeight="true" outlineLevel="0" collapsed="false">
      <c r="A149" s="135"/>
      <c r="B149" s="135"/>
      <c r="C149" s="135"/>
      <c r="D149" s="135"/>
      <c r="E149" s="135"/>
      <c r="F149" s="135"/>
      <c r="G149" s="135"/>
      <c r="H149" s="135"/>
      <c r="I149" s="182"/>
      <c r="J149" s="135"/>
      <c r="K149" s="135"/>
      <c r="L149" s="135"/>
    </row>
    <row r="150" customFormat="false" ht="15.75" hidden="false" customHeight="true" outlineLevel="0" collapsed="false">
      <c r="A150" s="135"/>
      <c r="B150" s="135"/>
      <c r="C150" s="135"/>
      <c r="D150" s="135"/>
      <c r="E150" s="135"/>
      <c r="F150" s="135"/>
      <c r="G150" s="135"/>
      <c r="H150" s="135"/>
      <c r="I150" s="182"/>
      <c r="J150" s="135"/>
      <c r="K150" s="135"/>
      <c r="L150" s="135"/>
    </row>
    <row r="151" customFormat="false" ht="15.75" hidden="false" customHeight="true" outlineLevel="0" collapsed="false">
      <c r="A151" s="135"/>
      <c r="B151" s="135"/>
      <c r="C151" s="135"/>
      <c r="D151" s="135"/>
      <c r="E151" s="135"/>
      <c r="F151" s="135"/>
      <c r="G151" s="135"/>
      <c r="H151" s="135"/>
      <c r="I151" s="182"/>
      <c r="J151" s="135"/>
      <c r="K151" s="135"/>
      <c r="L151" s="135"/>
    </row>
    <row r="152" customFormat="false" ht="15.75" hidden="false" customHeight="true" outlineLevel="0" collapsed="false">
      <c r="A152" s="135"/>
      <c r="B152" s="135"/>
      <c r="C152" s="135"/>
      <c r="D152" s="135"/>
      <c r="E152" s="135"/>
      <c r="F152" s="135"/>
      <c r="G152" s="135"/>
      <c r="H152" s="135"/>
      <c r="I152" s="182"/>
      <c r="J152" s="135"/>
      <c r="K152" s="135"/>
      <c r="L152" s="135"/>
    </row>
    <row r="153" customFormat="false" ht="15.75" hidden="false" customHeight="true" outlineLevel="0" collapsed="false">
      <c r="A153" s="135"/>
      <c r="B153" s="135"/>
      <c r="C153" s="135"/>
      <c r="D153" s="135"/>
      <c r="E153" s="135"/>
      <c r="F153" s="135"/>
      <c r="G153" s="135"/>
      <c r="H153" s="135"/>
      <c r="I153" s="182"/>
      <c r="J153" s="135"/>
      <c r="K153" s="135"/>
      <c r="L153" s="135"/>
    </row>
    <row r="154" customFormat="false" ht="15.75" hidden="false" customHeight="true" outlineLevel="0" collapsed="false">
      <c r="A154" s="135"/>
      <c r="B154" s="135"/>
      <c r="C154" s="135"/>
      <c r="D154" s="135"/>
      <c r="E154" s="135"/>
      <c r="F154" s="135"/>
      <c r="G154" s="135"/>
      <c r="H154" s="135"/>
      <c r="I154" s="182"/>
      <c r="J154" s="135"/>
      <c r="K154" s="135"/>
      <c r="L154" s="135"/>
    </row>
    <row r="155" customFormat="false" ht="15.75" hidden="false" customHeight="true" outlineLevel="0" collapsed="false">
      <c r="A155" s="135"/>
      <c r="B155" s="135"/>
      <c r="C155" s="135"/>
      <c r="D155" s="135"/>
      <c r="E155" s="135"/>
      <c r="F155" s="135"/>
      <c r="G155" s="135"/>
      <c r="H155" s="135"/>
      <c r="I155" s="182"/>
      <c r="J155" s="135"/>
      <c r="K155" s="135"/>
      <c r="L155" s="135"/>
    </row>
    <row r="156" customFormat="false" ht="15.75" hidden="false" customHeight="true" outlineLevel="0" collapsed="false">
      <c r="A156" s="135"/>
      <c r="B156" s="135"/>
      <c r="C156" s="135"/>
      <c r="D156" s="135"/>
      <c r="E156" s="135"/>
      <c r="F156" s="135"/>
      <c r="G156" s="135"/>
      <c r="H156" s="135"/>
      <c r="I156" s="182"/>
      <c r="J156" s="135"/>
      <c r="K156" s="135"/>
      <c r="L156" s="135"/>
    </row>
    <row r="157" customFormat="false" ht="15.75" hidden="false" customHeight="true" outlineLevel="0" collapsed="false">
      <c r="A157" s="135"/>
      <c r="B157" s="135"/>
      <c r="C157" s="135"/>
      <c r="D157" s="135"/>
      <c r="E157" s="135"/>
      <c r="F157" s="135"/>
      <c r="G157" s="135"/>
      <c r="H157" s="135"/>
      <c r="I157" s="182"/>
      <c r="J157" s="135"/>
      <c r="K157" s="135"/>
      <c r="L157" s="135"/>
    </row>
    <row r="158" customFormat="false" ht="15.75" hidden="false" customHeight="true" outlineLevel="0" collapsed="false">
      <c r="A158" s="135"/>
      <c r="B158" s="135"/>
      <c r="C158" s="135"/>
      <c r="D158" s="135"/>
      <c r="E158" s="135"/>
      <c r="F158" s="135"/>
      <c r="G158" s="135"/>
      <c r="H158" s="135"/>
      <c r="I158" s="182"/>
      <c r="J158" s="135"/>
      <c r="K158" s="135"/>
      <c r="L158" s="135"/>
    </row>
    <row r="159" customFormat="false" ht="15.75" hidden="false" customHeight="true" outlineLevel="0" collapsed="false">
      <c r="A159" s="135"/>
      <c r="B159" s="135"/>
      <c r="C159" s="135"/>
      <c r="D159" s="135"/>
      <c r="E159" s="135"/>
      <c r="F159" s="135"/>
      <c r="G159" s="135"/>
      <c r="H159" s="135"/>
      <c r="I159" s="182"/>
      <c r="J159" s="135"/>
      <c r="K159" s="135"/>
      <c r="L159" s="135"/>
    </row>
    <row r="160" customFormat="false" ht="15.75" hidden="false" customHeight="true" outlineLevel="0" collapsed="false">
      <c r="A160" s="135"/>
      <c r="B160" s="135"/>
      <c r="C160" s="135"/>
      <c r="D160" s="135"/>
      <c r="E160" s="135"/>
      <c r="F160" s="135"/>
      <c r="G160" s="135"/>
      <c r="H160" s="135"/>
      <c r="I160" s="182"/>
      <c r="J160" s="135"/>
      <c r="K160" s="135"/>
      <c r="L160" s="135"/>
    </row>
    <row r="161" customFormat="false" ht="15.75" hidden="false" customHeight="true" outlineLevel="0" collapsed="false">
      <c r="A161" s="135"/>
      <c r="B161" s="135"/>
      <c r="C161" s="135"/>
      <c r="D161" s="135"/>
      <c r="E161" s="135"/>
      <c r="F161" s="135"/>
      <c r="G161" s="135"/>
      <c r="H161" s="135"/>
      <c r="I161" s="182"/>
      <c r="J161" s="135"/>
      <c r="K161" s="135"/>
      <c r="L161" s="135"/>
    </row>
    <row r="162" customFormat="false" ht="15.75" hidden="false" customHeight="true" outlineLevel="0" collapsed="false">
      <c r="A162" s="135"/>
      <c r="B162" s="135"/>
      <c r="C162" s="135"/>
      <c r="D162" s="135"/>
      <c r="E162" s="135"/>
      <c r="F162" s="135"/>
      <c r="G162" s="135"/>
      <c r="H162" s="135"/>
      <c r="I162" s="182"/>
      <c r="J162" s="135"/>
      <c r="K162" s="135"/>
      <c r="L162" s="135"/>
    </row>
    <row r="163" customFormat="false" ht="15.75" hidden="false" customHeight="true" outlineLevel="0" collapsed="false">
      <c r="A163" s="135"/>
      <c r="B163" s="135"/>
      <c r="C163" s="135"/>
      <c r="D163" s="135"/>
      <c r="E163" s="135"/>
      <c r="F163" s="135"/>
      <c r="G163" s="135"/>
      <c r="H163" s="135"/>
      <c r="I163" s="182"/>
      <c r="J163" s="135"/>
      <c r="K163" s="135"/>
      <c r="L163" s="135"/>
    </row>
    <row r="164" customFormat="false" ht="15.75" hidden="false" customHeight="true" outlineLevel="0" collapsed="false">
      <c r="A164" s="135"/>
      <c r="B164" s="135"/>
      <c r="C164" s="135"/>
      <c r="D164" s="135"/>
      <c r="E164" s="135"/>
      <c r="F164" s="135"/>
      <c r="G164" s="135"/>
      <c r="H164" s="135"/>
      <c r="I164" s="182"/>
      <c r="J164" s="135"/>
      <c r="K164" s="135"/>
      <c r="L164" s="135"/>
    </row>
    <row r="165" customFormat="false" ht="15.75" hidden="false" customHeight="true" outlineLevel="0" collapsed="false">
      <c r="A165" s="135"/>
      <c r="B165" s="135"/>
      <c r="C165" s="135"/>
      <c r="D165" s="135"/>
      <c r="E165" s="135"/>
      <c r="F165" s="135"/>
      <c r="G165" s="135"/>
      <c r="H165" s="135"/>
      <c r="I165" s="182"/>
      <c r="J165" s="135"/>
      <c r="K165" s="135"/>
      <c r="L165" s="135"/>
    </row>
    <row r="166" customFormat="false" ht="15.75" hidden="false" customHeight="true" outlineLevel="0" collapsed="false">
      <c r="A166" s="135"/>
      <c r="B166" s="135"/>
      <c r="C166" s="135"/>
      <c r="D166" s="135"/>
      <c r="E166" s="135"/>
      <c r="F166" s="135"/>
      <c r="G166" s="135"/>
      <c r="H166" s="135"/>
      <c r="I166" s="182"/>
      <c r="J166" s="135"/>
      <c r="K166" s="135"/>
      <c r="L166" s="135"/>
    </row>
    <row r="167" customFormat="false" ht="15.75" hidden="false" customHeight="true" outlineLevel="0" collapsed="false">
      <c r="A167" s="135"/>
      <c r="B167" s="135"/>
      <c r="C167" s="135"/>
      <c r="D167" s="135"/>
      <c r="E167" s="135"/>
      <c r="F167" s="135"/>
      <c r="G167" s="135"/>
      <c r="H167" s="135"/>
      <c r="I167" s="182"/>
      <c r="J167" s="135"/>
      <c r="K167" s="135"/>
      <c r="L167" s="135"/>
    </row>
    <row r="168" customFormat="false" ht="15.75" hidden="false" customHeight="true" outlineLevel="0" collapsed="false">
      <c r="A168" s="135"/>
      <c r="B168" s="135"/>
      <c r="C168" s="135"/>
      <c r="D168" s="135"/>
      <c r="E168" s="135"/>
      <c r="F168" s="135"/>
      <c r="G168" s="135"/>
      <c r="H168" s="135"/>
      <c r="I168" s="182"/>
      <c r="J168" s="135"/>
      <c r="K168" s="135"/>
      <c r="L168" s="135"/>
    </row>
    <row r="169" customFormat="false" ht="15.75" hidden="false" customHeight="true" outlineLevel="0" collapsed="false">
      <c r="A169" s="135"/>
      <c r="B169" s="135"/>
      <c r="C169" s="135"/>
      <c r="D169" s="135"/>
      <c r="E169" s="135"/>
      <c r="F169" s="135"/>
      <c r="G169" s="135"/>
      <c r="H169" s="135"/>
      <c r="I169" s="182"/>
      <c r="J169" s="135"/>
      <c r="K169" s="135"/>
      <c r="L169" s="135"/>
    </row>
    <row r="170" customFormat="false" ht="15.75" hidden="false" customHeight="true" outlineLevel="0" collapsed="false">
      <c r="A170" s="135"/>
      <c r="B170" s="135"/>
      <c r="C170" s="135"/>
      <c r="D170" s="135"/>
      <c r="E170" s="135"/>
      <c r="F170" s="135"/>
      <c r="G170" s="135"/>
      <c r="H170" s="135"/>
      <c r="I170" s="182"/>
      <c r="J170" s="135"/>
      <c r="K170" s="135"/>
      <c r="L170" s="135"/>
    </row>
    <row r="171" customFormat="false" ht="15.75" hidden="false" customHeight="true" outlineLevel="0" collapsed="false">
      <c r="A171" s="135"/>
      <c r="B171" s="135"/>
      <c r="C171" s="135"/>
      <c r="D171" s="135"/>
      <c r="E171" s="135"/>
      <c r="F171" s="135"/>
      <c r="G171" s="135"/>
      <c r="H171" s="135"/>
      <c r="I171" s="182"/>
      <c r="J171" s="135"/>
      <c r="K171" s="135"/>
      <c r="L171" s="135"/>
    </row>
    <row r="172" customFormat="false" ht="15.75" hidden="false" customHeight="true" outlineLevel="0" collapsed="false">
      <c r="A172" s="135"/>
      <c r="B172" s="135"/>
      <c r="C172" s="135"/>
      <c r="D172" s="135"/>
      <c r="E172" s="135"/>
      <c r="F172" s="135"/>
      <c r="G172" s="135"/>
      <c r="H172" s="135"/>
      <c r="I172" s="182"/>
      <c r="J172" s="135"/>
      <c r="K172" s="135"/>
      <c r="L172" s="135"/>
    </row>
    <row r="173" customFormat="false" ht="15.75" hidden="false" customHeight="true" outlineLevel="0" collapsed="false">
      <c r="A173" s="135"/>
      <c r="B173" s="135"/>
      <c r="C173" s="135"/>
      <c r="D173" s="135"/>
      <c r="E173" s="135"/>
      <c r="F173" s="135"/>
      <c r="G173" s="135"/>
      <c r="H173" s="135"/>
      <c r="I173" s="182"/>
      <c r="J173" s="135"/>
      <c r="K173" s="135"/>
      <c r="L173" s="135"/>
    </row>
    <row r="174" customFormat="false" ht="15.75" hidden="false" customHeight="true" outlineLevel="0" collapsed="false">
      <c r="A174" s="135"/>
      <c r="B174" s="135"/>
      <c r="C174" s="135"/>
      <c r="D174" s="135"/>
      <c r="E174" s="135"/>
      <c r="F174" s="135"/>
      <c r="G174" s="135"/>
      <c r="H174" s="135"/>
      <c r="I174" s="182"/>
      <c r="J174" s="135"/>
      <c r="K174" s="135"/>
      <c r="L174" s="135"/>
    </row>
    <row r="175" customFormat="false" ht="15.75" hidden="false" customHeight="true" outlineLevel="0" collapsed="false">
      <c r="A175" s="135"/>
      <c r="B175" s="135"/>
      <c r="C175" s="135"/>
      <c r="D175" s="135"/>
      <c r="E175" s="135"/>
      <c r="F175" s="135"/>
      <c r="G175" s="135"/>
      <c r="H175" s="135"/>
      <c r="I175" s="182"/>
      <c r="J175" s="135"/>
      <c r="K175" s="135"/>
      <c r="L175" s="135"/>
    </row>
    <row r="176" customFormat="false" ht="15.75" hidden="false" customHeight="true" outlineLevel="0" collapsed="false">
      <c r="A176" s="135"/>
      <c r="B176" s="135"/>
      <c r="C176" s="135"/>
      <c r="D176" s="135"/>
      <c r="E176" s="135"/>
      <c r="F176" s="135"/>
      <c r="G176" s="135"/>
      <c r="H176" s="135"/>
      <c r="I176" s="182"/>
      <c r="J176" s="135"/>
      <c r="K176" s="135"/>
      <c r="L176" s="135"/>
    </row>
    <row r="177" customFormat="false" ht="15.75" hidden="false" customHeight="true" outlineLevel="0" collapsed="false">
      <c r="A177" s="135"/>
      <c r="B177" s="135"/>
      <c r="C177" s="135"/>
      <c r="D177" s="135"/>
      <c r="E177" s="135"/>
      <c r="F177" s="135"/>
      <c r="G177" s="135"/>
      <c r="H177" s="135"/>
      <c r="I177" s="182"/>
      <c r="J177" s="135"/>
      <c r="K177" s="135"/>
      <c r="L177" s="135"/>
    </row>
    <row r="178" customFormat="false" ht="15.75" hidden="false" customHeight="true" outlineLevel="0" collapsed="false">
      <c r="A178" s="135"/>
      <c r="B178" s="135"/>
      <c r="C178" s="135"/>
      <c r="D178" s="135"/>
      <c r="E178" s="135"/>
      <c r="F178" s="135"/>
      <c r="G178" s="135"/>
      <c r="H178" s="135"/>
      <c r="I178" s="182"/>
      <c r="J178" s="135"/>
      <c r="K178" s="135"/>
      <c r="L178" s="135"/>
    </row>
    <row r="179" customFormat="false" ht="15.75" hidden="false" customHeight="true" outlineLevel="0" collapsed="false">
      <c r="A179" s="135"/>
      <c r="B179" s="135"/>
      <c r="C179" s="135"/>
      <c r="D179" s="135"/>
      <c r="E179" s="135"/>
      <c r="F179" s="135"/>
      <c r="G179" s="135"/>
      <c r="H179" s="135"/>
      <c r="I179" s="182"/>
      <c r="J179" s="135"/>
      <c r="K179" s="135"/>
      <c r="L179" s="135"/>
    </row>
    <row r="180" customFormat="false" ht="15.75" hidden="false" customHeight="true" outlineLevel="0" collapsed="false">
      <c r="A180" s="135"/>
      <c r="B180" s="135"/>
      <c r="C180" s="135"/>
      <c r="D180" s="135"/>
      <c r="E180" s="135"/>
      <c r="F180" s="135"/>
      <c r="G180" s="135"/>
      <c r="H180" s="135"/>
      <c r="I180" s="182"/>
      <c r="J180" s="135"/>
      <c r="K180" s="135"/>
      <c r="L180" s="135"/>
    </row>
    <row r="181" customFormat="false" ht="15.75" hidden="false" customHeight="true" outlineLevel="0" collapsed="false">
      <c r="A181" s="135"/>
      <c r="B181" s="135"/>
      <c r="C181" s="135"/>
      <c r="D181" s="135"/>
      <c r="E181" s="135"/>
      <c r="F181" s="135"/>
      <c r="G181" s="135"/>
      <c r="H181" s="135"/>
      <c r="I181" s="182"/>
      <c r="J181" s="135"/>
      <c r="K181" s="135"/>
      <c r="L181" s="135"/>
    </row>
    <row r="182" customFormat="false" ht="15.75" hidden="false" customHeight="true" outlineLevel="0" collapsed="false">
      <c r="A182" s="135"/>
      <c r="B182" s="135"/>
      <c r="C182" s="135"/>
      <c r="D182" s="135"/>
      <c r="E182" s="135"/>
      <c r="F182" s="135"/>
      <c r="G182" s="135"/>
      <c r="H182" s="135"/>
      <c r="I182" s="182"/>
      <c r="J182" s="135"/>
      <c r="K182" s="135"/>
      <c r="L182" s="135"/>
    </row>
    <row r="183" customFormat="false" ht="15.75" hidden="false" customHeight="true" outlineLevel="0" collapsed="false">
      <c r="A183" s="135"/>
      <c r="B183" s="135"/>
      <c r="C183" s="135"/>
      <c r="D183" s="135"/>
      <c r="E183" s="135"/>
      <c r="F183" s="135"/>
      <c r="G183" s="135"/>
      <c r="H183" s="135"/>
      <c r="I183" s="182"/>
      <c r="J183" s="135"/>
      <c r="K183" s="135"/>
      <c r="L183" s="135"/>
    </row>
    <row r="184" customFormat="false" ht="15.75" hidden="false" customHeight="true" outlineLevel="0" collapsed="false">
      <c r="A184" s="135"/>
      <c r="B184" s="135"/>
      <c r="C184" s="135"/>
      <c r="D184" s="135"/>
      <c r="E184" s="135"/>
      <c r="F184" s="135"/>
      <c r="G184" s="135"/>
      <c r="H184" s="135"/>
      <c r="I184" s="182"/>
      <c r="J184" s="135"/>
      <c r="K184" s="135"/>
      <c r="L184" s="135"/>
    </row>
    <row r="185" customFormat="false" ht="15.75" hidden="false" customHeight="true" outlineLevel="0" collapsed="false">
      <c r="A185" s="135"/>
      <c r="B185" s="135"/>
      <c r="C185" s="135"/>
      <c r="D185" s="135"/>
      <c r="E185" s="135"/>
      <c r="F185" s="135"/>
      <c r="G185" s="135"/>
      <c r="H185" s="135"/>
      <c r="I185" s="182"/>
      <c r="J185" s="135"/>
      <c r="K185" s="135"/>
      <c r="L185" s="135"/>
    </row>
    <row r="186" customFormat="false" ht="15.75" hidden="false" customHeight="true" outlineLevel="0" collapsed="false">
      <c r="A186" s="135"/>
      <c r="B186" s="135"/>
      <c r="C186" s="135"/>
      <c r="D186" s="135"/>
      <c r="E186" s="135"/>
      <c r="F186" s="135"/>
      <c r="G186" s="135"/>
      <c r="H186" s="135"/>
      <c r="I186" s="182"/>
      <c r="J186" s="135"/>
      <c r="K186" s="135"/>
      <c r="L186" s="135"/>
    </row>
    <row r="187" customFormat="false" ht="15.75" hidden="false" customHeight="true" outlineLevel="0" collapsed="false">
      <c r="A187" s="135"/>
      <c r="B187" s="135"/>
      <c r="C187" s="135"/>
      <c r="D187" s="135"/>
      <c r="E187" s="135"/>
      <c r="F187" s="135"/>
      <c r="G187" s="135"/>
      <c r="H187" s="135"/>
      <c r="I187" s="182"/>
      <c r="J187" s="135"/>
      <c r="K187" s="135"/>
      <c r="L187" s="135"/>
    </row>
    <row r="188" customFormat="false" ht="15.75" hidden="false" customHeight="true" outlineLevel="0" collapsed="false">
      <c r="A188" s="135"/>
      <c r="B188" s="135"/>
      <c r="C188" s="135"/>
      <c r="D188" s="135"/>
      <c r="E188" s="135"/>
      <c r="F188" s="135"/>
      <c r="G188" s="135"/>
      <c r="H188" s="135"/>
      <c r="I188" s="182"/>
      <c r="J188" s="135"/>
      <c r="K188" s="135"/>
      <c r="L188" s="135"/>
    </row>
    <row r="189" customFormat="false" ht="15.75" hidden="false" customHeight="true" outlineLevel="0" collapsed="false">
      <c r="A189" s="135"/>
      <c r="B189" s="135"/>
      <c r="C189" s="135"/>
      <c r="D189" s="135"/>
      <c r="E189" s="135"/>
      <c r="F189" s="135"/>
      <c r="G189" s="135"/>
      <c r="H189" s="135"/>
      <c r="I189" s="182"/>
      <c r="J189" s="135"/>
      <c r="K189" s="135"/>
      <c r="L189" s="135"/>
    </row>
    <row r="190" customFormat="false" ht="15.75" hidden="false" customHeight="true" outlineLevel="0" collapsed="false">
      <c r="A190" s="135"/>
      <c r="B190" s="135"/>
      <c r="C190" s="135"/>
      <c r="D190" s="135"/>
      <c r="E190" s="135"/>
      <c r="F190" s="135"/>
      <c r="G190" s="135"/>
      <c r="H190" s="135"/>
      <c r="I190" s="182"/>
      <c r="J190" s="135"/>
      <c r="K190" s="135"/>
      <c r="L190" s="135"/>
    </row>
    <row r="191" customFormat="false" ht="15.75" hidden="false" customHeight="true" outlineLevel="0" collapsed="false">
      <c r="A191" s="135"/>
      <c r="B191" s="135"/>
      <c r="C191" s="135"/>
      <c r="D191" s="135"/>
      <c r="E191" s="135"/>
      <c r="F191" s="135"/>
      <c r="G191" s="135"/>
      <c r="H191" s="135"/>
      <c r="I191" s="182"/>
      <c r="J191" s="135"/>
      <c r="K191" s="135"/>
      <c r="L191" s="135"/>
    </row>
    <row r="192" customFormat="false" ht="15.75" hidden="false" customHeight="true" outlineLevel="0" collapsed="false">
      <c r="A192" s="135"/>
      <c r="B192" s="135"/>
      <c r="C192" s="135"/>
      <c r="D192" s="135"/>
      <c r="E192" s="135"/>
      <c r="F192" s="135"/>
      <c r="G192" s="135"/>
      <c r="H192" s="135"/>
      <c r="I192" s="182"/>
      <c r="J192" s="135"/>
      <c r="K192" s="135"/>
      <c r="L192" s="135"/>
    </row>
    <row r="193" customFormat="false" ht="15.75" hidden="false" customHeight="true" outlineLevel="0" collapsed="false">
      <c r="A193" s="135"/>
      <c r="B193" s="135"/>
      <c r="C193" s="135"/>
      <c r="D193" s="135"/>
      <c r="E193" s="135"/>
      <c r="F193" s="135"/>
      <c r="G193" s="135"/>
      <c r="H193" s="135"/>
      <c r="I193" s="182"/>
      <c r="J193" s="135"/>
      <c r="K193" s="135"/>
      <c r="L193" s="135"/>
    </row>
    <row r="194" customFormat="false" ht="15.75" hidden="false" customHeight="true" outlineLevel="0" collapsed="false">
      <c r="A194" s="135"/>
      <c r="B194" s="135"/>
      <c r="C194" s="135"/>
      <c r="D194" s="135"/>
      <c r="E194" s="135"/>
      <c r="F194" s="135"/>
      <c r="G194" s="135"/>
      <c r="H194" s="135"/>
      <c r="I194" s="182"/>
      <c r="J194" s="135"/>
      <c r="K194" s="135"/>
      <c r="L194" s="135"/>
    </row>
    <row r="195" customFormat="false" ht="15.75" hidden="false" customHeight="true" outlineLevel="0" collapsed="false">
      <c r="A195" s="135"/>
      <c r="B195" s="135"/>
      <c r="C195" s="135"/>
      <c r="D195" s="135"/>
      <c r="E195" s="135"/>
      <c r="F195" s="135"/>
      <c r="G195" s="135"/>
      <c r="H195" s="135"/>
      <c r="I195" s="182"/>
      <c r="J195" s="135"/>
      <c r="K195" s="135"/>
      <c r="L195" s="135"/>
    </row>
    <row r="196" customFormat="false" ht="15.75" hidden="false" customHeight="true" outlineLevel="0" collapsed="false">
      <c r="A196" s="135"/>
      <c r="B196" s="135"/>
      <c r="C196" s="135"/>
      <c r="D196" s="135"/>
      <c r="E196" s="135"/>
      <c r="F196" s="135"/>
      <c r="G196" s="135"/>
      <c r="H196" s="135"/>
      <c r="I196" s="182"/>
      <c r="J196" s="135"/>
      <c r="K196" s="135"/>
      <c r="L196" s="135"/>
    </row>
    <row r="197" customFormat="false" ht="15.75" hidden="false" customHeight="true" outlineLevel="0" collapsed="false">
      <c r="A197" s="135"/>
      <c r="B197" s="135"/>
      <c r="C197" s="135"/>
      <c r="D197" s="135"/>
      <c r="E197" s="135"/>
      <c r="F197" s="135"/>
      <c r="G197" s="135"/>
      <c r="H197" s="135"/>
      <c r="I197" s="182"/>
      <c r="J197" s="135"/>
      <c r="K197" s="135"/>
      <c r="L197" s="135"/>
    </row>
    <row r="198" customFormat="false" ht="15.75" hidden="false" customHeight="true" outlineLevel="0" collapsed="false">
      <c r="A198" s="135"/>
      <c r="B198" s="135"/>
      <c r="C198" s="135"/>
      <c r="D198" s="135"/>
      <c r="E198" s="135"/>
      <c r="F198" s="135"/>
      <c r="G198" s="135"/>
      <c r="H198" s="135"/>
      <c r="I198" s="182"/>
      <c r="J198" s="135"/>
      <c r="K198" s="135"/>
      <c r="L198" s="135"/>
    </row>
    <row r="199" customFormat="false" ht="15.75" hidden="false" customHeight="true" outlineLevel="0" collapsed="false">
      <c r="A199" s="135"/>
      <c r="B199" s="135"/>
      <c r="C199" s="135"/>
      <c r="D199" s="135"/>
      <c r="E199" s="135"/>
      <c r="F199" s="135"/>
      <c r="G199" s="135"/>
      <c r="H199" s="135"/>
      <c r="I199" s="182"/>
      <c r="J199" s="135"/>
      <c r="K199" s="135"/>
      <c r="L199" s="135"/>
    </row>
    <row r="200" customFormat="false" ht="15.75" hidden="false" customHeight="true" outlineLevel="0" collapsed="false">
      <c r="A200" s="135"/>
      <c r="B200" s="135"/>
      <c r="C200" s="135"/>
      <c r="D200" s="135"/>
      <c r="E200" s="135"/>
      <c r="F200" s="135"/>
      <c r="G200" s="135"/>
      <c r="H200" s="135"/>
      <c r="I200" s="182"/>
      <c r="J200" s="135"/>
      <c r="K200" s="135"/>
      <c r="L200" s="135"/>
    </row>
    <row r="201" customFormat="false" ht="15.75" hidden="false" customHeight="true" outlineLevel="0" collapsed="false">
      <c r="A201" s="135"/>
      <c r="B201" s="135"/>
      <c r="C201" s="135"/>
      <c r="D201" s="135"/>
      <c r="E201" s="135"/>
      <c r="F201" s="135"/>
      <c r="G201" s="135"/>
      <c r="H201" s="135"/>
      <c r="I201" s="182"/>
      <c r="J201" s="135"/>
      <c r="K201" s="135"/>
      <c r="L201" s="135"/>
    </row>
    <row r="202" customFormat="false" ht="15.75" hidden="false" customHeight="true" outlineLevel="0" collapsed="false">
      <c r="A202" s="135"/>
      <c r="B202" s="135"/>
      <c r="C202" s="135"/>
      <c r="D202" s="135"/>
      <c r="E202" s="135"/>
      <c r="F202" s="135"/>
      <c r="G202" s="135"/>
      <c r="H202" s="135"/>
      <c r="I202" s="182"/>
      <c r="J202" s="135"/>
      <c r="K202" s="135"/>
      <c r="L202" s="135"/>
    </row>
    <row r="203" customFormat="false" ht="15.75" hidden="false" customHeight="true" outlineLevel="0" collapsed="false">
      <c r="A203" s="135"/>
      <c r="B203" s="135"/>
      <c r="C203" s="135"/>
      <c r="D203" s="135"/>
      <c r="E203" s="135"/>
      <c r="F203" s="135"/>
      <c r="G203" s="135"/>
      <c r="H203" s="135"/>
      <c r="I203" s="182"/>
      <c r="J203" s="135"/>
      <c r="K203" s="135"/>
      <c r="L203" s="135"/>
    </row>
    <row r="204" customFormat="false" ht="15.75" hidden="false" customHeight="true" outlineLevel="0" collapsed="false">
      <c r="A204" s="135"/>
      <c r="B204" s="135"/>
      <c r="C204" s="135"/>
      <c r="D204" s="135"/>
      <c r="E204" s="135"/>
      <c r="F204" s="135"/>
      <c r="G204" s="135"/>
      <c r="H204" s="135"/>
      <c r="I204" s="182"/>
      <c r="J204" s="135"/>
      <c r="K204" s="135"/>
      <c r="L204" s="135"/>
    </row>
    <row r="205" customFormat="false" ht="15.75" hidden="false" customHeight="true" outlineLevel="0" collapsed="false">
      <c r="A205" s="135"/>
      <c r="B205" s="135"/>
      <c r="C205" s="135"/>
      <c r="D205" s="135"/>
      <c r="E205" s="135"/>
      <c r="F205" s="135"/>
      <c r="G205" s="135"/>
      <c r="H205" s="135"/>
      <c r="I205" s="182"/>
      <c r="J205" s="135"/>
      <c r="K205" s="135"/>
      <c r="L205" s="135"/>
    </row>
    <row r="206" customFormat="false" ht="15.75" hidden="false" customHeight="true" outlineLevel="0" collapsed="false">
      <c r="A206" s="135"/>
      <c r="B206" s="135"/>
      <c r="C206" s="135"/>
      <c r="D206" s="135"/>
      <c r="E206" s="135"/>
      <c r="F206" s="135"/>
      <c r="G206" s="135"/>
      <c r="H206" s="135"/>
      <c r="I206" s="182"/>
      <c r="J206" s="135"/>
      <c r="K206" s="135"/>
      <c r="L206" s="135"/>
    </row>
    <row r="207" customFormat="false" ht="15.75" hidden="false" customHeight="true" outlineLevel="0" collapsed="false">
      <c r="A207" s="135"/>
      <c r="B207" s="135"/>
      <c r="C207" s="135"/>
      <c r="D207" s="135"/>
      <c r="E207" s="135"/>
      <c r="F207" s="135"/>
      <c r="G207" s="135"/>
      <c r="H207" s="135"/>
      <c r="I207" s="182"/>
      <c r="J207" s="135"/>
      <c r="K207" s="135"/>
      <c r="L207" s="135"/>
    </row>
    <row r="208" customFormat="false" ht="15.75" hidden="false" customHeight="true" outlineLevel="0" collapsed="false">
      <c r="A208" s="135"/>
      <c r="B208" s="135"/>
      <c r="C208" s="135"/>
      <c r="D208" s="135"/>
      <c r="E208" s="135"/>
      <c r="F208" s="135"/>
      <c r="G208" s="135"/>
      <c r="H208" s="135"/>
      <c r="I208" s="182"/>
      <c r="J208" s="135"/>
      <c r="K208" s="135"/>
      <c r="L208" s="135"/>
    </row>
    <row r="209" customFormat="false" ht="15.75" hidden="false" customHeight="true" outlineLevel="0" collapsed="false">
      <c r="A209" s="135"/>
      <c r="B209" s="135"/>
      <c r="C209" s="135"/>
      <c r="D209" s="135"/>
      <c r="E209" s="135"/>
      <c r="F209" s="135"/>
      <c r="G209" s="135"/>
      <c r="H209" s="135"/>
      <c r="I209" s="182"/>
      <c r="J209" s="135"/>
      <c r="K209" s="135"/>
      <c r="L209" s="135"/>
    </row>
    <row r="210" customFormat="false" ht="15.75" hidden="false" customHeight="true" outlineLevel="0" collapsed="false">
      <c r="A210" s="135"/>
      <c r="B210" s="135"/>
      <c r="C210" s="135"/>
      <c r="D210" s="135"/>
      <c r="E210" s="135"/>
      <c r="F210" s="135"/>
      <c r="G210" s="135"/>
      <c r="H210" s="135"/>
      <c r="I210" s="182"/>
      <c r="J210" s="135"/>
      <c r="K210" s="135"/>
      <c r="L210" s="135"/>
    </row>
    <row r="211" customFormat="false" ht="15.75" hidden="false" customHeight="true" outlineLevel="0" collapsed="false">
      <c r="A211" s="135"/>
      <c r="B211" s="135"/>
      <c r="C211" s="135"/>
      <c r="D211" s="135"/>
      <c r="E211" s="135"/>
      <c r="F211" s="135"/>
      <c r="G211" s="135"/>
      <c r="H211" s="135"/>
      <c r="I211" s="182"/>
      <c r="J211" s="135"/>
      <c r="K211" s="135"/>
      <c r="L211" s="135"/>
    </row>
    <row r="212" customFormat="false" ht="15.75" hidden="false" customHeight="true" outlineLevel="0" collapsed="false">
      <c r="A212" s="135"/>
      <c r="B212" s="135"/>
      <c r="C212" s="135"/>
      <c r="D212" s="135"/>
      <c r="E212" s="135"/>
      <c r="F212" s="135"/>
      <c r="G212" s="135"/>
      <c r="H212" s="135"/>
      <c r="I212" s="182"/>
      <c r="J212" s="135"/>
      <c r="K212" s="135"/>
      <c r="L212" s="135"/>
    </row>
    <row r="213" customFormat="false" ht="15.75" hidden="false" customHeight="true" outlineLevel="0" collapsed="false">
      <c r="A213" s="135"/>
      <c r="B213" s="135"/>
      <c r="C213" s="135"/>
      <c r="D213" s="135"/>
      <c r="E213" s="135"/>
      <c r="F213" s="135"/>
      <c r="G213" s="135"/>
      <c r="H213" s="135"/>
      <c r="I213" s="182"/>
      <c r="J213" s="135"/>
      <c r="K213" s="135"/>
      <c r="L213" s="135"/>
    </row>
    <row r="214" customFormat="false" ht="15.75" hidden="false" customHeight="true" outlineLevel="0" collapsed="false">
      <c r="A214" s="135"/>
      <c r="B214" s="135"/>
      <c r="C214" s="135"/>
      <c r="D214" s="135"/>
      <c r="E214" s="135"/>
      <c r="F214" s="135"/>
      <c r="G214" s="135"/>
      <c r="H214" s="135"/>
      <c r="I214" s="182"/>
      <c r="J214" s="135"/>
      <c r="K214" s="135"/>
      <c r="L214" s="135"/>
    </row>
    <row r="215" customFormat="false" ht="15.75" hidden="false" customHeight="true" outlineLevel="0" collapsed="false">
      <c r="A215" s="135"/>
      <c r="B215" s="135"/>
      <c r="C215" s="135"/>
      <c r="D215" s="135"/>
      <c r="E215" s="135"/>
      <c r="F215" s="135"/>
      <c r="G215" s="135"/>
      <c r="H215" s="135"/>
      <c r="I215" s="182"/>
      <c r="J215" s="135"/>
      <c r="K215" s="135"/>
      <c r="L215" s="135"/>
    </row>
    <row r="216" customFormat="false" ht="15.75" hidden="false" customHeight="true" outlineLevel="0" collapsed="false">
      <c r="A216" s="135"/>
      <c r="B216" s="135"/>
      <c r="C216" s="135"/>
      <c r="D216" s="135"/>
      <c r="E216" s="135"/>
      <c r="F216" s="135"/>
      <c r="G216" s="135"/>
      <c r="H216" s="135"/>
      <c r="I216" s="182"/>
      <c r="J216" s="135"/>
      <c r="K216" s="135"/>
      <c r="L216" s="135"/>
    </row>
    <row r="217" customFormat="false" ht="15.75" hidden="false" customHeight="true" outlineLevel="0" collapsed="false">
      <c r="A217" s="135"/>
      <c r="B217" s="135"/>
      <c r="C217" s="135"/>
      <c r="D217" s="135"/>
      <c r="E217" s="135"/>
      <c r="F217" s="135"/>
      <c r="G217" s="135"/>
      <c r="H217" s="135"/>
      <c r="I217" s="182"/>
      <c r="J217" s="135"/>
      <c r="K217" s="135"/>
      <c r="L217" s="135"/>
    </row>
    <row r="218" customFormat="false" ht="15.75" hidden="false" customHeight="true" outlineLevel="0" collapsed="false">
      <c r="A218" s="135"/>
      <c r="B218" s="135"/>
      <c r="C218" s="135"/>
      <c r="D218" s="135"/>
      <c r="E218" s="135"/>
      <c r="F218" s="135"/>
      <c r="G218" s="135"/>
      <c r="H218" s="135"/>
      <c r="I218" s="182"/>
      <c r="J218" s="135"/>
      <c r="K218" s="135"/>
      <c r="L218" s="135"/>
    </row>
    <row r="219" customFormat="false" ht="15.75" hidden="false" customHeight="true" outlineLevel="0" collapsed="false">
      <c r="A219" s="135"/>
      <c r="B219" s="135"/>
      <c r="C219" s="135"/>
      <c r="D219" s="135"/>
      <c r="E219" s="135"/>
      <c r="F219" s="135"/>
      <c r="G219" s="135"/>
      <c r="H219" s="135"/>
      <c r="I219" s="182"/>
      <c r="J219" s="135"/>
      <c r="K219" s="135"/>
      <c r="L219" s="135"/>
    </row>
    <row r="220" customFormat="false" ht="15.75" hidden="false" customHeight="true" outlineLevel="0" collapsed="false">
      <c r="A220" s="135"/>
      <c r="B220" s="135"/>
      <c r="C220" s="135"/>
      <c r="D220" s="135"/>
      <c r="E220" s="135"/>
      <c r="F220" s="135"/>
      <c r="G220" s="135"/>
      <c r="H220" s="135"/>
      <c r="I220" s="182"/>
      <c r="J220" s="135"/>
      <c r="K220" s="135"/>
      <c r="L220" s="135"/>
    </row>
    <row r="221" customFormat="false" ht="15.75" hidden="false" customHeight="true" outlineLevel="0" collapsed="false">
      <c r="A221" s="135"/>
      <c r="B221" s="135"/>
      <c r="C221" s="135"/>
      <c r="D221" s="135"/>
      <c r="E221" s="135"/>
      <c r="F221" s="135"/>
      <c r="G221" s="135"/>
      <c r="H221" s="135"/>
      <c r="I221" s="182"/>
      <c r="J221" s="135"/>
      <c r="K221" s="135"/>
      <c r="L221" s="135"/>
    </row>
    <row r="222" customFormat="false" ht="15.75" hidden="false" customHeight="true" outlineLevel="0" collapsed="false">
      <c r="A222" s="135"/>
      <c r="B222" s="135"/>
      <c r="C222" s="135"/>
      <c r="D222" s="135"/>
      <c r="E222" s="135"/>
      <c r="F222" s="135"/>
      <c r="G222" s="135"/>
      <c r="H222" s="135"/>
      <c r="I222" s="182"/>
      <c r="J222" s="135"/>
      <c r="K222" s="135"/>
      <c r="L222" s="135"/>
    </row>
    <row r="223" customFormat="false" ht="15.75" hidden="false" customHeight="true" outlineLevel="0" collapsed="false">
      <c r="A223" s="135"/>
      <c r="B223" s="135"/>
      <c r="C223" s="135"/>
      <c r="D223" s="135"/>
      <c r="E223" s="135"/>
      <c r="F223" s="135"/>
      <c r="G223" s="135"/>
      <c r="H223" s="135"/>
      <c r="I223" s="182"/>
      <c r="J223" s="135"/>
      <c r="K223" s="135"/>
      <c r="L223" s="135"/>
    </row>
    <row r="224" customFormat="false" ht="15.75" hidden="false" customHeight="true" outlineLevel="0" collapsed="false">
      <c r="A224" s="135"/>
      <c r="B224" s="135"/>
      <c r="C224" s="135"/>
      <c r="D224" s="135"/>
      <c r="E224" s="135"/>
      <c r="F224" s="135"/>
      <c r="G224" s="135"/>
      <c r="H224" s="135"/>
      <c r="I224" s="182"/>
      <c r="J224" s="135"/>
      <c r="K224" s="135"/>
      <c r="L224" s="135"/>
    </row>
    <row r="225" customFormat="false" ht="15.75" hidden="false" customHeight="true" outlineLevel="0" collapsed="false">
      <c r="A225" s="135"/>
      <c r="B225" s="135"/>
      <c r="C225" s="135"/>
      <c r="D225" s="135"/>
      <c r="E225" s="135"/>
      <c r="F225" s="135"/>
      <c r="G225" s="135"/>
      <c r="H225" s="135"/>
      <c r="I225" s="182"/>
      <c r="J225" s="135"/>
      <c r="K225" s="135"/>
      <c r="L225" s="135"/>
    </row>
    <row r="226" customFormat="false" ht="15.75" hidden="false" customHeight="true" outlineLevel="0" collapsed="false">
      <c r="A226" s="135"/>
      <c r="B226" s="135"/>
      <c r="C226" s="135"/>
      <c r="D226" s="135"/>
      <c r="E226" s="135"/>
      <c r="F226" s="135"/>
      <c r="G226" s="135"/>
      <c r="H226" s="135"/>
      <c r="I226" s="182"/>
      <c r="J226" s="135"/>
      <c r="K226" s="135"/>
      <c r="L226" s="135"/>
    </row>
    <row r="227" customFormat="false" ht="15.75" hidden="false" customHeight="true" outlineLevel="0" collapsed="false">
      <c r="A227" s="135"/>
      <c r="B227" s="135"/>
      <c r="C227" s="135"/>
      <c r="D227" s="135"/>
      <c r="E227" s="135"/>
      <c r="F227" s="135"/>
      <c r="G227" s="135"/>
      <c r="H227" s="135"/>
      <c r="I227" s="182"/>
      <c r="J227" s="135"/>
      <c r="K227" s="135"/>
      <c r="L227" s="135"/>
    </row>
    <row r="228" customFormat="false" ht="15.75" hidden="false" customHeight="true" outlineLevel="0" collapsed="false">
      <c r="A228" s="135"/>
      <c r="B228" s="135"/>
      <c r="C228" s="135"/>
      <c r="D228" s="135"/>
      <c r="E228" s="135"/>
      <c r="F228" s="135"/>
      <c r="G228" s="135"/>
      <c r="H228" s="135"/>
      <c r="I228" s="182"/>
      <c r="J228" s="135"/>
      <c r="K228" s="135"/>
      <c r="L228" s="135"/>
    </row>
    <row r="229" customFormat="false" ht="15.75" hidden="false" customHeight="true" outlineLevel="0" collapsed="false">
      <c r="A229" s="135"/>
      <c r="B229" s="135"/>
      <c r="C229" s="135"/>
      <c r="D229" s="135"/>
      <c r="E229" s="135"/>
      <c r="F229" s="135"/>
      <c r="G229" s="135"/>
      <c r="H229" s="135"/>
      <c r="I229" s="182"/>
      <c r="J229" s="135"/>
      <c r="K229" s="135"/>
      <c r="L229" s="135"/>
    </row>
    <row r="230" customFormat="false" ht="15.75" hidden="false" customHeight="true" outlineLevel="0" collapsed="false">
      <c r="A230" s="135"/>
      <c r="B230" s="135"/>
      <c r="C230" s="135"/>
      <c r="D230" s="135"/>
      <c r="E230" s="135"/>
      <c r="F230" s="135"/>
      <c r="G230" s="135"/>
      <c r="H230" s="135"/>
      <c r="I230" s="182"/>
      <c r="J230" s="135"/>
      <c r="K230" s="135"/>
      <c r="L230" s="135"/>
    </row>
    <row r="231" customFormat="false" ht="15.75" hidden="false" customHeight="true" outlineLevel="0" collapsed="false">
      <c r="A231" s="135"/>
      <c r="B231" s="135"/>
      <c r="C231" s="135"/>
      <c r="D231" s="135"/>
      <c r="E231" s="135"/>
      <c r="F231" s="135"/>
      <c r="G231" s="135"/>
      <c r="H231" s="135"/>
      <c r="I231" s="182"/>
      <c r="J231" s="135"/>
      <c r="K231" s="135"/>
      <c r="L231" s="135"/>
    </row>
    <row r="232" customFormat="false" ht="15.75" hidden="false" customHeight="true" outlineLevel="0" collapsed="false">
      <c r="A232" s="135"/>
      <c r="B232" s="135"/>
      <c r="C232" s="135"/>
      <c r="D232" s="135"/>
      <c r="E232" s="135"/>
      <c r="F232" s="135"/>
      <c r="G232" s="135"/>
      <c r="H232" s="135"/>
      <c r="I232" s="182"/>
      <c r="J232" s="135"/>
      <c r="K232" s="135"/>
      <c r="L232" s="135"/>
    </row>
    <row r="233" customFormat="false" ht="15.75" hidden="false" customHeight="true" outlineLevel="0" collapsed="false">
      <c r="A233" s="135"/>
      <c r="B233" s="135"/>
      <c r="C233" s="135"/>
      <c r="D233" s="135"/>
      <c r="E233" s="135"/>
      <c r="F233" s="135"/>
      <c r="G233" s="135"/>
      <c r="H233" s="135"/>
      <c r="I233" s="182"/>
      <c r="J233" s="135"/>
      <c r="K233" s="135"/>
      <c r="L233" s="135"/>
    </row>
    <row r="234" customFormat="false" ht="15.75" hidden="false" customHeight="true" outlineLevel="0" collapsed="false">
      <c r="A234" s="135"/>
      <c r="B234" s="135"/>
      <c r="C234" s="135"/>
      <c r="D234" s="135"/>
      <c r="E234" s="135"/>
      <c r="F234" s="135"/>
      <c r="G234" s="135"/>
      <c r="H234" s="135"/>
      <c r="I234" s="182"/>
      <c r="J234" s="135"/>
      <c r="K234" s="135"/>
      <c r="L234" s="135"/>
    </row>
    <row r="235" customFormat="false" ht="15.75" hidden="false" customHeight="true" outlineLevel="0" collapsed="false">
      <c r="A235" s="135"/>
      <c r="B235" s="135"/>
      <c r="C235" s="135"/>
      <c r="D235" s="135"/>
      <c r="E235" s="135"/>
      <c r="F235" s="135"/>
      <c r="G235" s="135"/>
      <c r="H235" s="135"/>
      <c r="I235" s="182"/>
      <c r="J235" s="135"/>
      <c r="K235" s="135"/>
      <c r="L235" s="135"/>
    </row>
    <row r="236" customFormat="false" ht="15.75" hidden="false" customHeight="true" outlineLevel="0" collapsed="false">
      <c r="A236" s="135"/>
      <c r="B236" s="135"/>
      <c r="C236" s="135"/>
      <c r="D236" s="135"/>
      <c r="E236" s="135"/>
      <c r="F236" s="135"/>
      <c r="G236" s="135"/>
      <c r="H236" s="135"/>
      <c r="I236" s="182"/>
      <c r="J236" s="135"/>
      <c r="K236" s="135"/>
      <c r="L236" s="135"/>
    </row>
    <row r="237" customFormat="false" ht="15.75" hidden="false" customHeight="true" outlineLevel="0" collapsed="false">
      <c r="A237" s="135"/>
      <c r="B237" s="135"/>
      <c r="C237" s="135"/>
      <c r="D237" s="135"/>
      <c r="E237" s="135"/>
      <c r="F237" s="135"/>
      <c r="G237" s="135"/>
      <c r="H237" s="135"/>
      <c r="I237" s="182"/>
      <c r="J237" s="135"/>
      <c r="K237" s="135"/>
      <c r="L237" s="135"/>
    </row>
    <row r="238" customFormat="false" ht="15.75" hidden="false" customHeight="true" outlineLevel="0" collapsed="false">
      <c r="A238" s="135"/>
      <c r="B238" s="135"/>
      <c r="C238" s="135"/>
      <c r="D238" s="135"/>
      <c r="E238" s="135"/>
      <c r="F238" s="135"/>
      <c r="G238" s="135"/>
      <c r="H238" s="135"/>
      <c r="I238" s="182"/>
      <c r="J238" s="135"/>
      <c r="K238" s="135"/>
      <c r="L238" s="135"/>
    </row>
    <row r="239" customFormat="false" ht="15.75" hidden="false" customHeight="true" outlineLevel="0" collapsed="false">
      <c r="A239" s="135"/>
      <c r="B239" s="135"/>
      <c r="C239" s="135"/>
      <c r="D239" s="135"/>
      <c r="E239" s="135"/>
      <c r="F239" s="135"/>
      <c r="G239" s="135"/>
      <c r="H239" s="135"/>
      <c r="I239" s="182"/>
      <c r="J239" s="135"/>
      <c r="K239" s="135"/>
      <c r="L239" s="135"/>
    </row>
    <row r="240" customFormat="false" ht="15.75" hidden="false" customHeight="true" outlineLevel="0" collapsed="false">
      <c r="A240" s="135"/>
      <c r="B240" s="135"/>
      <c r="C240" s="135"/>
      <c r="D240" s="135"/>
      <c r="E240" s="135"/>
      <c r="F240" s="135"/>
      <c r="G240" s="135"/>
      <c r="H240" s="135"/>
      <c r="I240" s="182"/>
      <c r="J240" s="135"/>
      <c r="K240" s="135"/>
      <c r="L240" s="135"/>
    </row>
    <row r="241" customFormat="false" ht="15.75" hidden="false" customHeight="true" outlineLevel="0" collapsed="false">
      <c r="A241" s="135"/>
      <c r="B241" s="135"/>
      <c r="C241" s="135"/>
      <c r="D241" s="135"/>
      <c r="E241" s="135"/>
      <c r="F241" s="135"/>
      <c r="G241" s="135"/>
      <c r="H241" s="135"/>
      <c r="I241" s="182"/>
      <c r="J241" s="135"/>
      <c r="K241" s="135"/>
      <c r="L241" s="135"/>
    </row>
    <row r="242" customFormat="false" ht="15.75" hidden="false" customHeight="true" outlineLevel="0" collapsed="false">
      <c r="A242" s="135"/>
      <c r="B242" s="135"/>
      <c r="C242" s="135"/>
      <c r="D242" s="135"/>
      <c r="E242" s="135"/>
      <c r="F242" s="135"/>
      <c r="G242" s="135"/>
      <c r="H242" s="135"/>
      <c r="I242" s="182"/>
      <c r="J242" s="135"/>
      <c r="K242" s="135"/>
      <c r="L242" s="135"/>
    </row>
    <row r="243" customFormat="false" ht="15.75" hidden="false" customHeight="true" outlineLevel="0" collapsed="false">
      <c r="A243" s="135"/>
      <c r="B243" s="135"/>
      <c r="C243" s="135"/>
      <c r="D243" s="135"/>
      <c r="E243" s="135"/>
      <c r="F243" s="135"/>
      <c r="G243" s="135"/>
      <c r="H243" s="135"/>
      <c r="I243" s="182"/>
      <c r="J243" s="135"/>
      <c r="K243" s="135"/>
      <c r="L243" s="135"/>
    </row>
    <row r="244" customFormat="false" ht="15.75" hidden="false" customHeight="true" outlineLevel="0" collapsed="false">
      <c r="A244" s="135"/>
      <c r="B244" s="135"/>
      <c r="C244" s="135"/>
      <c r="D244" s="135"/>
      <c r="E244" s="135"/>
      <c r="F244" s="135"/>
      <c r="G244" s="135"/>
      <c r="H244" s="135"/>
      <c r="I244" s="182"/>
      <c r="J244" s="135"/>
      <c r="K244" s="135"/>
      <c r="L244" s="135"/>
    </row>
    <row r="245" customFormat="false" ht="15.75" hidden="false" customHeight="true" outlineLevel="0" collapsed="false">
      <c r="A245" s="135"/>
      <c r="B245" s="135"/>
      <c r="C245" s="135"/>
      <c r="D245" s="135"/>
      <c r="E245" s="135"/>
      <c r="F245" s="135"/>
      <c r="G245" s="135"/>
      <c r="H245" s="135"/>
      <c r="I245" s="182"/>
      <c r="J245" s="135"/>
      <c r="K245" s="135"/>
      <c r="L245" s="135"/>
    </row>
    <row r="246" customFormat="false" ht="15.75" hidden="false" customHeight="true" outlineLevel="0" collapsed="false">
      <c r="A246" s="135"/>
      <c r="B246" s="135"/>
      <c r="C246" s="135"/>
      <c r="D246" s="135"/>
      <c r="E246" s="135"/>
      <c r="F246" s="135"/>
      <c r="G246" s="135"/>
      <c r="H246" s="135"/>
      <c r="I246" s="182"/>
      <c r="J246" s="135"/>
      <c r="K246" s="135"/>
      <c r="L246" s="135"/>
    </row>
    <row r="247" customFormat="false" ht="15.75" hidden="false" customHeight="true" outlineLevel="0" collapsed="false">
      <c r="A247" s="135"/>
      <c r="B247" s="135"/>
      <c r="C247" s="135"/>
      <c r="D247" s="135"/>
      <c r="E247" s="135"/>
      <c r="F247" s="135"/>
      <c r="G247" s="135"/>
      <c r="H247" s="135"/>
      <c r="I247" s="182"/>
      <c r="J247" s="135"/>
      <c r="K247" s="135"/>
      <c r="L247" s="135"/>
    </row>
    <row r="248" customFormat="false" ht="15.75" hidden="false" customHeight="true" outlineLevel="0" collapsed="false">
      <c r="A248" s="135"/>
      <c r="B248" s="135"/>
      <c r="C248" s="135"/>
      <c r="D248" s="135"/>
      <c r="E248" s="135"/>
      <c r="F248" s="135"/>
      <c r="G248" s="135"/>
      <c r="H248" s="135"/>
      <c r="I248" s="182"/>
      <c r="J248" s="135"/>
      <c r="K248" s="135"/>
      <c r="L248" s="135"/>
    </row>
    <row r="249" customFormat="false" ht="15.75" hidden="false" customHeight="true" outlineLevel="0" collapsed="false">
      <c r="A249" s="135"/>
      <c r="B249" s="135"/>
      <c r="C249" s="135"/>
      <c r="D249" s="135"/>
      <c r="E249" s="135"/>
      <c r="F249" s="135"/>
      <c r="G249" s="135"/>
      <c r="H249" s="135"/>
      <c r="I249" s="182"/>
      <c r="J249" s="135"/>
      <c r="K249" s="135"/>
      <c r="L249" s="135"/>
    </row>
    <row r="250" customFormat="false" ht="15.75" hidden="false" customHeight="true" outlineLevel="0" collapsed="false">
      <c r="A250" s="135"/>
      <c r="B250" s="135"/>
      <c r="C250" s="135"/>
      <c r="D250" s="135"/>
      <c r="E250" s="135"/>
      <c r="F250" s="135"/>
      <c r="G250" s="135"/>
      <c r="H250" s="135"/>
      <c r="I250" s="182"/>
      <c r="J250" s="135"/>
      <c r="K250" s="135"/>
      <c r="L250" s="135"/>
    </row>
    <row r="251" customFormat="false" ht="15.75" hidden="false" customHeight="true" outlineLevel="0" collapsed="false">
      <c r="A251" s="135"/>
      <c r="B251" s="135"/>
      <c r="C251" s="135"/>
      <c r="D251" s="135"/>
      <c r="E251" s="135"/>
      <c r="F251" s="135"/>
      <c r="G251" s="135"/>
      <c r="H251" s="135"/>
      <c r="I251" s="182"/>
      <c r="J251" s="135"/>
      <c r="K251" s="135"/>
      <c r="L251" s="135"/>
    </row>
    <row r="252" customFormat="false" ht="15.75" hidden="false" customHeight="true" outlineLevel="0" collapsed="false">
      <c r="A252" s="135"/>
      <c r="B252" s="135"/>
      <c r="C252" s="135"/>
      <c r="D252" s="135"/>
      <c r="E252" s="135"/>
      <c r="F252" s="135"/>
      <c r="G252" s="135"/>
      <c r="H252" s="135"/>
      <c r="I252" s="182"/>
      <c r="J252" s="135"/>
      <c r="K252" s="135"/>
      <c r="L252" s="135"/>
    </row>
    <row r="253" customFormat="false" ht="15.75" hidden="false" customHeight="true" outlineLevel="0" collapsed="false">
      <c r="A253" s="135"/>
      <c r="B253" s="135"/>
      <c r="C253" s="135"/>
      <c r="D253" s="135"/>
      <c r="E253" s="135"/>
      <c r="F253" s="135"/>
      <c r="G253" s="135"/>
      <c r="H253" s="135"/>
      <c r="I253" s="182"/>
      <c r="J253" s="135"/>
      <c r="K253" s="135"/>
      <c r="L253" s="135"/>
    </row>
    <row r="254" customFormat="false" ht="15.75" hidden="false" customHeight="true" outlineLevel="0" collapsed="false">
      <c r="A254" s="135"/>
      <c r="B254" s="135"/>
      <c r="C254" s="135"/>
      <c r="D254" s="135"/>
      <c r="E254" s="135"/>
      <c r="F254" s="135"/>
      <c r="G254" s="135"/>
      <c r="H254" s="135"/>
      <c r="I254" s="182"/>
      <c r="J254" s="135"/>
      <c r="K254" s="135"/>
      <c r="L254" s="135"/>
    </row>
    <row r="255" customFormat="false" ht="15.75" hidden="false" customHeight="true" outlineLevel="0" collapsed="false">
      <c r="A255" s="135"/>
      <c r="B255" s="135"/>
      <c r="C255" s="135"/>
      <c r="D255" s="135"/>
      <c r="E255" s="135"/>
      <c r="F255" s="135"/>
      <c r="G255" s="135"/>
      <c r="H255" s="135"/>
      <c r="I255" s="182"/>
      <c r="J255" s="135"/>
      <c r="K255" s="135"/>
      <c r="L255" s="135"/>
    </row>
    <row r="256" customFormat="false" ht="15.75" hidden="false" customHeight="true" outlineLevel="0" collapsed="false">
      <c r="A256" s="135"/>
      <c r="B256" s="135"/>
      <c r="C256" s="135"/>
      <c r="D256" s="135"/>
      <c r="E256" s="135"/>
      <c r="F256" s="135"/>
      <c r="G256" s="135"/>
      <c r="H256" s="135"/>
      <c r="I256" s="182"/>
      <c r="J256" s="135"/>
      <c r="K256" s="135"/>
      <c r="L256" s="135"/>
    </row>
    <row r="257" customFormat="false" ht="15.75" hidden="false" customHeight="true" outlineLevel="0" collapsed="false">
      <c r="A257" s="135"/>
      <c r="B257" s="135"/>
      <c r="C257" s="135"/>
      <c r="D257" s="135"/>
      <c r="E257" s="135"/>
      <c r="F257" s="135"/>
      <c r="G257" s="135"/>
      <c r="H257" s="135"/>
      <c r="I257" s="182"/>
      <c r="J257" s="135"/>
      <c r="K257" s="135"/>
      <c r="L257" s="135"/>
    </row>
    <row r="258" customFormat="false" ht="15.75" hidden="false" customHeight="true" outlineLevel="0" collapsed="false">
      <c r="A258" s="135"/>
      <c r="B258" s="135"/>
      <c r="C258" s="135"/>
      <c r="D258" s="135"/>
      <c r="E258" s="135"/>
      <c r="F258" s="135"/>
      <c r="G258" s="135"/>
      <c r="H258" s="135"/>
      <c r="I258" s="182"/>
      <c r="J258" s="135"/>
      <c r="K258" s="135"/>
      <c r="L258" s="135"/>
    </row>
    <row r="259" customFormat="false" ht="15.75" hidden="false" customHeight="true" outlineLevel="0" collapsed="false">
      <c r="A259" s="135"/>
      <c r="B259" s="135"/>
      <c r="C259" s="135"/>
      <c r="D259" s="135"/>
      <c r="E259" s="135"/>
      <c r="F259" s="135"/>
      <c r="G259" s="135"/>
      <c r="H259" s="135"/>
      <c r="I259" s="182"/>
      <c r="J259" s="135"/>
      <c r="K259" s="135"/>
      <c r="L259" s="135"/>
    </row>
    <row r="260" customFormat="false" ht="15.75" hidden="false" customHeight="true" outlineLevel="0" collapsed="false">
      <c r="A260" s="135"/>
      <c r="B260" s="135"/>
      <c r="C260" s="135"/>
      <c r="D260" s="135"/>
      <c r="E260" s="135"/>
      <c r="F260" s="135"/>
      <c r="G260" s="135"/>
      <c r="H260" s="135"/>
      <c r="I260" s="182"/>
      <c r="J260" s="135"/>
      <c r="K260" s="135"/>
      <c r="L260" s="135"/>
    </row>
    <row r="261" customFormat="false" ht="15.75" hidden="false" customHeight="true" outlineLevel="0" collapsed="false">
      <c r="A261" s="135"/>
      <c r="B261" s="135"/>
      <c r="C261" s="135"/>
      <c r="D261" s="135"/>
      <c r="E261" s="135"/>
      <c r="F261" s="135"/>
      <c r="G261" s="135"/>
      <c r="H261" s="135"/>
      <c r="I261" s="182"/>
      <c r="J261" s="135"/>
      <c r="K261" s="135"/>
      <c r="L261" s="135"/>
    </row>
    <row r="262" customFormat="false" ht="15.75" hidden="false" customHeight="true" outlineLevel="0" collapsed="false">
      <c r="A262" s="135"/>
      <c r="B262" s="135"/>
      <c r="C262" s="135"/>
      <c r="D262" s="135"/>
      <c r="E262" s="135"/>
      <c r="F262" s="135"/>
      <c r="G262" s="135"/>
      <c r="H262" s="135"/>
      <c r="I262" s="182"/>
      <c r="J262" s="135"/>
      <c r="K262" s="135"/>
      <c r="L262" s="135"/>
    </row>
    <row r="263" customFormat="false" ht="15.75" hidden="false" customHeight="true" outlineLevel="0" collapsed="false">
      <c r="A263" s="135"/>
      <c r="B263" s="135"/>
      <c r="C263" s="135"/>
      <c r="D263" s="135"/>
      <c r="E263" s="135"/>
      <c r="F263" s="135"/>
      <c r="G263" s="135"/>
      <c r="H263" s="135"/>
      <c r="I263" s="182"/>
      <c r="J263" s="135"/>
      <c r="K263" s="135"/>
      <c r="L263" s="135"/>
    </row>
    <row r="264" customFormat="false" ht="15.75" hidden="false" customHeight="true" outlineLevel="0" collapsed="false">
      <c r="A264" s="135"/>
      <c r="B264" s="135"/>
      <c r="C264" s="135"/>
      <c r="D264" s="135"/>
      <c r="E264" s="135"/>
      <c r="F264" s="135"/>
      <c r="G264" s="135"/>
      <c r="H264" s="135"/>
      <c r="I264" s="182"/>
      <c r="J264" s="135"/>
      <c r="K264" s="135"/>
      <c r="L264" s="135"/>
    </row>
    <row r="265" customFormat="false" ht="15.75" hidden="false" customHeight="true" outlineLevel="0" collapsed="false">
      <c r="A265" s="135"/>
      <c r="B265" s="135"/>
      <c r="C265" s="135"/>
      <c r="D265" s="135"/>
      <c r="E265" s="135"/>
      <c r="F265" s="135"/>
      <c r="G265" s="135"/>
      <c r="H265" s="135"/>
      <c r="I265" s="182"/>
      <c r="J265" s="135"/>
      <c r="K265" s="135"/>
      <c r="L265" s="135"/>
    </row>
    <row r="266" customFormat="false" ht="15.75" hidden="false" customHeight="true" outlineLevel="0" collapsed="false">
      <c r="A266" s="135"/>
      <c r="B266" s="135"/>
      <c r="C266" s="135"/>
      <c r="D266" s="135"/>
      <c r="E266" s="135"/>
      <c r="F266" s="135"/>
      <c r="G266" s="135"/>
      <c r="H266" s="135"/>
      <c r="I266" s="182"/>
      <c r="J266" s="135"/>
      <c r="K266" s="135"/>
      <c r="L266" s="135"/>
    </row>
    <row r="267" customFormat="false" ht="15.75" hidden="false" customHeight="true" outlineLevel="0" collapsed="false">
      <c r="A267" s="135"/>
      <c r="B267" s="135"/>
      <c r="C267" s="135"/>
      <c r="D267" s="135"/>
      <c r="E267" s="135"/>
      <c r="F267" s="135"/>
      <c r="G267" s="135"/>
      <c r="H267" s="135"/>
      <c r="I267" s="182"/>
      <c r="J267" s="135"/>
      <c r="K267" s="135"/>
      <c r="L267" s="135"/>
    </row>
    <row r="268" customFormat="false" ht="15.75" hidden="false" customHeight="true" outlineLevel="0" collapsed="false">
      <c r="A268" s="135"/>
      <c r="B268" s="135"/>
      <c r="C268" s="135"/>
      <c r="D268" s="135"/>
      <c r="E268" s="135"/>
      <c r="F268" s="135"/>
      <c r="G268" s="135"/>
      <c r="H268" s="135"/>
      <c r="I268" s="182"/>
      <c r="J268" s="135"/>
      <c r="K268" s="135"/>
      <c r="L268" s="135"/>
    </row>
    <row r="269" customFormat="false" ht="15.75" hidden="false" customHeight="true" outlineLevel="0" collapsed="false">
      <c r="A269" s="135"/>
      <c r="B269" s="135"/>
      <c r="C269" s="135"/>
      <c r="D269" s="135"/>
      <c r="E269" s="135"/>
      <c r="F269" s="135"/>
      <c r="G269" s="135"/>
      <c r="H269" s="135"/>
      <c r="I269" s="182"/>
      <c r="J269" s="135"/>
      <c r="K269" s="135"/>
      <c r="L269" s="135"/>
    </row>
    <row r="270" customFormat="false" ht="15.75" hidden="false" customHeight="true" outlineLevel="0" collapsed="false">
      <c r="A270" s="135"/>
      <c r="B270" s="135"/>
      <c r="C270" s="135"/>
      <c r="D270" s="135"/>
      <c r="E270" s="135"/>
      <c r="F270" s="135"/>
      <c r="G270" s="135"/>
      <c r="H270" s="135"/>
      <c r="I270" s="182"/>
      <c r="J270" s="135"/>
      <c r="K270" s="135"/>
      <c r="L270" s="135"/>
    </row>
    <row r="271" customFormat="false" ht="15.75" hidden="false" customHeight="true" outlineLevel="0" collapsed="false">
      <c r="A271" s="135"/>
      <c r="B271" s="135"/>
      <c r="C271" s="135"/>
      <c r="D271" s="135"/>
      <c r="E271" s="135"/>
      <c r="F271" s="135"/>
      <c r="G271" s="135"/>
      <c r="H271" s="135"/>
      <c r="I271" s="182"/>
      <c r="J271" s="135"/>
      <c r="K271" s="135"/>
      <c r="L271" s="135"/>
    </row>
    <row r="272" customFormat="false" ht="15.75" hidden="false" customHeight="true" outlineLevel="0" collapsed="false">
      <c r="A272" s="135"/>
      <c r="B272" s="135"/>
      <c r="C272" s="135"/>
      <c r="D272" s="135"/>
      <c r="E272" s="135"/>
      <c r="F272" s="135"/>
      <c r="G272" s="135"/>
      <c r="H272" s="135"/>
      <c r="I272" s="182"/>
      <c r="J272" s="135"/>
      <c r="K272" s="135"/>
      <c r="L272" s="135"/>
    </row>
    <row r="273" customFormat="false" ht="15.75" hidden="false" customHeight="true" outlineLevel="0" collapsed="false">
      <c r="A273" s="135"/>
      <c r="B273" s="135"/>
      <c r="C273" s="135"/>
      <c r="D273" s="135"/>
      <c r="E273" s="135"/>
      <c r="F273" s="135"/>
      <c r="G273" s="135"/>
      <c r="H273" s="135"/>
      <c r="I273" s="182"/>
      <c r="J273" s="135"/>
      <c r="K273" s="135"/>
      <c r="L273" s="135"/>
    </row>
    <row r="274" customFormat="false" ht="15.75" hidden="false" customHeight="true" outlineLevel="0" collapsed="false">
      <c r="A274" s="135"/>
      <c r="B274" s="135"/>
      <c r="C274" s="135"/>
      <c r="D274" s="135"/>
      <c r="E274" s="135"/>
      <c r="F274" s="135"/>
      <c r="G274" s="135"/>
      <c r="H274" s="135"/>
      <c r="I274" s="182"/>
      <c r="J274" s="135"/>
      <c r="K274" s="135"/>
      <c r="L274" s="135"/>
    </row>
    <row r="275" customFormat="false" ht="15.75" hidden="false" customHeight="true" outlineLevel="0" collapsed="false">
      <c r="A275" s="135"/>
      <c r="B275" s="135"/>
      <c r="C275" s="135"/>
      <c r="D275" s="135"/>
      <c r="E275" s="135"/>
      <c r="F275" s="135"/>
      <c r="G275" s="135"/>
      <c r="H275" s="135"/>
      <c r="I275" s="182"/>
      <c r="J275" s="135"/>
      <c r="K275" s="135"/>
      <c r="L275" s="135"/>
    </row>
    <row r="276" customFormat="false" ht="15.75" hidden="false" customHeight="true" outlineLevel="0" collapsed="false">
      <c r="A276" s="135"/>
      <c r="B276" s="135"/>
      <c r="C276" s="135"/>
      <c r="D276" s="135"/>
      <c r="E276" s="135"/>
      <c r="F276" s="135"/>
      <c r="G276" s="135"/>
      <c r="H276" s="135"/>
      <c r="I276" s="182"/>
      <c r="J276" s="135"/>
      <c r="K276" s="135"/>
      <c r="L276" s="135"/>
    </row>
    <row r="277" customFormat="false" ht="15.75" hidden="false" customHeight="true" outlineLevel="0" collapsed="false">
      <c r="A277" s="135"/>
      <c r="B277" s="135"/>
      <c r="C277" s="135"/>
      <c r="D277" s="135"/>
      <c r="E277" s="135"/>
      <c r="F277" s="135"/>
      <c r="G277" s="135"/>
      <c r="H277" s="135"/>
      <c r="I277" s="182"/>
      <c r="J277" s="135"/>
      <c r="K277" s="135"/>
      <c r="L277" s="135"/>
    </row>
    <row r="278" customFormat="false" ht="15.75" hidden="false" customHeight="true" outlineLevel="0" collapsed="false">
      <c r="A278" s="135"/>
      <c r="B278" s="135"/>
      <c r="C278" s="135"/>
      <c r="D278" s="135"/>
      <c r="E278" s="135"/>
      <c r="F278" s="135"/>
      <c r="G278" s="135"/>
      <c r="H278" s="135"/>
      <c r="I278" s="182"/>
      <c r="J278" s="135"/>
      <c r="K278" s="135"/>
      <c r="L278" s="135"/>
    </row>
    <row r="279" customFormat="false" ht="15.75" hidden="false" customHeight="true" outlineLevel="0" collapsed="false">
      <c r="A279" s="135"/>
      <c r="B279" s="135"/>
      <c r="C279" s="135"/>
      <c r="D279" s="135"/>
      <c r="E279" s="135"/>
      <c r="F279" s="135"/>
      <c r="G279" s="135"/>
      <c r="H279" s="135"/>
      <c r="I279" s="182"/>
      <c r="J279" s="135"/>
      <c r="K279" s="135"/>
      <c r="L279" s="135"/>
    </row>
    <row r="280" customFormat="false" ht="15.75" hidden="false" customHeight="true" outlineLevel="0" collapsed="false">
      <c r="A280" s="135"/>
      <c r="B280" s="135"/>
      <c r="C280" s="135"/>
      <c r="D280" s="135"/>
      <c r="E280" s="135"/>
      <c r="F280" s="135"/>
      <c r="G280" s="135"/>
      <c r="H280" s="135"/>
      <c r="I280" s="182"/>
      <c r="J280" s="135"/>
      <c r="K280" s="135"/>
      <c r="L280" s="135"/>
    </row>
    <row r="281" customFormat="false" ht="15.75" hidden="false" customHeight="true" outlineLevel="0" collapsed="false">
      <c r="A281" s="135"/>
      <c r="B281" s="135"/>
      <c r="C281" s="135"/>
      <c r="D281" s="135"/>
      <c r="E281" s="135"/>
      <c r="F281" s="135"/>
      <c r="G281" s="135"/>
      <c r="H281" s="135"/>
      <c r="I281" s="182"/>
      <c r="J281" s="135"/>
      <c r="K281" s="135"/>
      <c r="L281" s="135"/>
    </row>
    <row r="282" customFormat="false" ht="15.75" hidden="false" customHeight="true" outlineLevel="0" collapsed="false">
      <c r="A282" s="135"/>
      <c r="B282" s="135"/>
      <c r="C282" s="135"/>
      <c r="D282" s="135"/>
      <c r="E282" s="135"/>
      <c r="F282" s="135"/>
      <c r="G282" s="135"/>
      <c r="H282" s="135"/>
      <c r="I282" s="182"/>
      <c r="J282" s="135"/>
      <c r="K282" s="135"/>
      <c r="L282" s="135"/>
    </row>
    <row r="283" customFormat="false" ht="15.75" hidden="false" customHeight="true" outlineLevel="0" collapsed="false">
      <c r="A283" s="135"/>
      <c r="B283" s="135"/>
      <c r="C283" s="135"/>
      <c r="D283" s="135"/>
      <c r="E283" s="135"/>
      <c r="F283" s="135"/>
      <c r="G283" s="135"/>
      <c r="H283" s="135"/>
      <c r="I283" s="182"/>
      <c r="J283" s="135"/>
      <c r="K283" s="135"/>
      <c r="L283" s="135"/>
    </row>
    <row r="284" customFormat="false" ht="15.75" hidden="false" customHeight="true" outlineLevel="0" collapsed="false">
      <c r="A284" s="135"/>
      <c r="B284" s="135"/>
      <c r="C284" s="135"/>
      <c r="D284" s="135"/>
      <c r="E284" s="135"/>
      <c r="F284" s="135"/>
      <c r="G284" s="135"/>
      <c r="H284" s="135"/>
      <c r="I284" s="182"/>
      <c r="J284" s="135"/>
      <c r="K284" s="135"/>
      <c r="L284" s="135"/>
    </row>
    <row r="285" customFormat="false" ht="15.75" hidden="false" customHeight="true" outlineLevel="0" collapsed="false">
      <c r="A285" s="135"/>
      <c r="B285" s="135"/>
      <c r="C285" s="135"/>
      <c r="D285" s="135"/>
      <c r="E285" s="135"/>
      <c r="F285" s="135"/>
      <c r="G285" s="135"/>
      <c r="H285" s="135"/>
      <c r="I285" s="182"/>
      <c r="J285" s="135"/>
      <c r="K285" s="135"/>
      <c r="L285" s="135"/>
    </row>
    <row r="286" customFormat="false" ht="15.75" hidden="false" customHeight="true" outlineLevel="0" collapsed="false">
      <c r="A286" s="135"/>
      <c r="B286" s="135"/>
      <c r="C286" s="135"/>
      <c r="D286" s="135"/>
      <c r="E286" s="135"/>
      <c r="F286" s="135"/>
      <c r="G286" s="135"/>
      <c r="H286" s="135"/>
      <c r="I286" s="182"/>
      <c r="J286" s="135"/>
      <c r="K286" s="135"/>
      <c r="L286" s="135"/>
    </row>
    <row r="287" customFormat="false" ht="15.75" hidden="false" customHeight="true" outlineLevel="0" collapsed="false">
      <c r="A287" s="135"/>
      <c r="B287" s="135"/>
      <c r="C287" s="135"/>
      <c r="D287" s="135"/>
      <c r="E287" s="135"/>
      <c r="F287" s="135"/>
      <c r="G287" s="135"/>
      <c r="H287" s="135"/>
      <c r="I287" s="182"/>
      <c r="J287" s="135"/>
      <c r="K287" s="135"/>
      <c r="L287" s="135"/>
    </row>
    <row r="288" customFormat="false" ht="15.75" hidden="false" customHeight="true" outlineLevel="0" collapsed="false">
      <c r="A288" s="135"/>
      <c r="B288" s="135"/>
      <c r="C288" s="135"/>
      <c r="D288" s="135"/>
      <c r="E288" s="135"/>
      <c r="F288" s="135"/>
      <c r="G288" s="135"/>
      <c r="H288" s="135"/>
      <c r="I288" s="182"/>
      <c r="J288" s="135"/>
      <c r="K288" s="135"/>
      <c r="L288" s="135"/>
    </row>
    <row r="289" customFormat="false" ht="15.75" hidden="false" customHeight="true" outlineLevel="0" collapsed="false">
      <c r="A289" s="135"/>
      <c r="B289" s="135"/>
      <c r="C289" s="135"/>
      <c r="D289" s="135"/>
      <c r="E289" s="135"/>
      <c r="F289" s="135"/>
      <c r="G289" s="135"/>
      <c r="H289" s="135"/>
      <c r="I289" s="182"/>
      <c r="J289" s="135"/>
      <c r="K289" s="135"/>
      <c r="L289" s="135"/>
    </row>
    <row r="290" customFormat="false" ht="15.75" hidden="false" customHeight="true" outlineLevel="0" collapsed="false">
      <c r="A290" s="135"/>
      <c r="B290" s="135"/>
      <c r="C290" s="135"/>
      <c r="D290" s="135"/>
      <c r="E290" s="135"/>
      <c r="F290" s="135"/>
      <c r="G290" s="135"/>
      <c r="H290" s="135"/>
      <c r="I290" s="182"/>
      <c r="J290" s="135"/>
      <c r="K290" s="135"/>
      <c r="L290" s="135"/>
    </row>
    <row r="291" customFormat="false" ht="15.75" hidden="false" customHeight="true" outlineLevel="0" collapsed="false">
      <c r="A291" s="135"/>
      <c r="B291" s="135"/>
      <c r="C291" s="135"/>
      <c r="D291" s="135"/>
      <c r="E291" s="135"/>
      <c r="F291" s="135"/>
      <c r="G291" s="135"/>
      <c r="H291" s="135"/>
      <c r="I291" s="182"/>
      <c r="J291" s="135"/>
      <c r="K291" s="135"/>
      <c r="L291" s="135"/>
    </row>
    <row r="292" customFormat="false" ht="15.75" hidden="false" customHeight="true" outlineLevel="0" collapsed="false">
      <c r="A292" s="135"/>
      <c r="B292" s="135"/>
      <c r="C292" s="135"/>
      <c r="D292" s="135"/>
      <c r="E292" s="135"/>
      <c r="F292" s="135"/>
      <c r="G292" s="135"/>
      <c r="H292" s="135"/>
      <c r="I292" s="182"/>
      <c r="J292" s="135"/>
      <c r="K292" s="135"/>
      <c r="L292" s="135"/>
    </row>
    <row r="293" customFormat="false" ht="15.75" hidden="false" customHeight="true" outlineLevel="0" collapsed="false">
      <c r="A293" s="135"/>
      <c r="B293" s="135"/>
      <c r="C293" s="135"/>
      <c r="D293" s="135"/>
      <c r="E293" s="135"/>
      <c r="F293" s="135"/>
      <c r="G293" s="135"/>
      <c r="H293" s="135"/>
      <c r="I293" s="182"/>
      <c r="J293" s="135"/>
      <c r="K293" s="135"/>
      <c r="L293" s="135"/>
    </row>
    <row r="294" customFormat="false" ht="15.75" hidden="false" customHeight="true" outlineLevel="0" collapsed="false">
      <c r="A294" s="135"/>
      <c r="B294" s="135"/>
      <c r="C294" s="135"/>
      <c r="D294" s="135"/>
      <c r="E294" s="135"/>
      <c r="F294" s="135"/>
      <c r="G294" s="135"/>
      <c r="H294" s="135"/>
      <c r="I294" s="182"/>
      <c r="J294" s="135"/>
      <c r="K294" s="135"/>
      <c r="L294" s="135"/>
    </row>
    <row r="295" customFormat="false" ht="15.75" hidden="false" customHeight="true" outlineLevel="0" collapsed="false">
      <c r="A295" s="135"/>
      <c r="B295" s="135"/>
      <c r="C295" s="135"/>
      <c r="D295" s="135"/>
      <c r="E295" s="135"/>
      <c r="F295" s="135"/>
      <c r="G295" s="135"/>
      <c r="H295" s="135"/>
      <c r="I295" s="182"/>
      <c r="J295" s="135"/>
      <c r="K295" s="135"/>
      <c r="L295" s="135"/>
    </row>
    <row r="296" customFormat="false" ht="15.75" hidden="false" customHeight="true" outlineLevel="0" collapsed="false">
      <c r="A296" s="135"/>
      <c r="B296" s="135"/>
      <c r="C296" s="135"/>
      <c r="D296" s="135"/>
      <c r="E296" s="135"/>
      <c r="F296" s="135"/>
      <c r="G296" s="135"/>
      <c r="H296" s="135"/>
      <c r="I296" s="182"/>
      <c r="J296" s="135"/>
      <c r="K296" s="135"/>
      <c r="L296" s="135"/>
    </row>
    <row r="297" customFormat="false" ht="15.75" hidden="false" customHeight="true" outlineLevel="0" collapsed="false">
      <c r="A297" s="135"/>
      <c r="B297" s="135"/>
      <c r="C297" s="135"/>
      <c r="D297" s="135"/>
      <c r="E297" s="135"/>
      <c r="F297" s="135"/>
      <c r="G297" s="135"/>
      <c r="H297" s="135"/>
      <c r="I297" s="182"/>
      <c r="J297" s="135"/>
      <c r="K297" s="135"/>
      <c r="L297" s="135"/>
    </row>
    <row r="298" customFormat="false" ht="15.75" hidden="false" customHeight="true" outlineLevel="0" collapsed="false">
      <c r="A298" s="135"/>
      <c r="B298" s="135"/>
      <c r="C298" s="135"/>
      <c r="D298" s="135"/>
      <c r="E298" s="135"/>
      <c r="F298" s="135"/>
      <c r="G298" s="135"/>
      <c r="H298" s="135"/>
      <c r="I298" s="182"/>
      <c r="J298" s="135"/>
      <c r="K298" s="135"/>
      <c r="L298" s="135"/>
    </row>
    <row r="299" customFormat="false" ht="15.75" hidden="false" customHeight="true" outlineLevel="0" collapsed="false">
      <c r="A299" s="135"/>
      <c r="B299" s="135"/>
      <c r="C299" s="135"/>
      <c r="D299" s="135"/>
      <c r="E299" s="135"/>
      <c r="F299" s="135"/>
      <c r="G299" s="135"/>
      <c r="H299" s="135"/>
      <c r="I299" s="182"/>
      <c r="J299" s="135"/>
      <c r="K299" s="135"/>
      <c r="L299" s="135"/>
    </row>
    <row r="300" customFormat="false" ht="15.75" hidden="false" customHeight="true" outlineLevel="0" collapsed="false">
      <c r="A300" s="135"/>
      <c r="B300" s="135"/>
      <c r="C300" s="135"/>
      <c r="D300" s="135"/>
      <c r="E300" s="135"/>
      <c r="F300" s="135"/>
      <c r="G300" s="135"/>
      <c r="H300" s="135"/>
      <c r="I300" s="182"/>
      <c r="J300" s="135"/>
      <c r="K300" s="135"/>
      <c r="L300" s="135"/>
    </row>
    <row r="301" customFormat="false" ht="15.75" hidden="false" customHeight="true" outlineLevel="0" collapsed="false">
      <c r="A301" s="135"/>
      <c r="B301" s="135"/>
      <c r="C301" s="135"/>
      <c r="D301" s="135"/>
      <c r="E301" s="135"/>
      <c r="F301" s="135"/>
      <c r="G301" s="135"/>
      <c r="H301" s="135"/>
      <c r="I301" s="182"/>
      <c r="J301" s="135"/>
      <c r="K301" s="135"/>
      <c r="L301" s="135"/>
    </row>
    <row r="302" customFormat="false" ht="15.75" hidden="false" customHeight="true" outlineLevel="0" collapsed="false">
      <c r="A302" s="135"/>
      <c r="B302" s="135"/>
      <c r="C302" s="135"/>
      <c r="D302" s="135"/>
      <c r="E302" s="135"/>
      <c r="F302" s="135"/>
      <c r="G302" s="135"/>
      <c r="H302" s="135"/>
      <c r="I302" s="182"/>
      <c r="J302" s="135"/>
      <c r="K302" s="135"/>
      <c r="L302" s="135"/>
    </row>
    <row r="303" customFormat="false" ht="15.75" hidden="false" customHeight="true" outlineLevel="0" collapsed="false">
      <c r="A303" s="135"/>
      <c r="B303" s="135"/>
      <c r="C303" s="135"/>
      <c r="D303" s="135"/>
      <c r="E303" s="135"/>
      <c r="F303" s="135"/>
      <c r="G303" s="135"/>
      <c r="H303" s="135"/>
      <c r="I303" s="182"/>
      <c r="J303" s="135"/>
      <c r="K303" s="135"/>
      <c r="L303" s="135"/>
    </row>
    <row r="304" customFormat="false" ht="15.75" hidden="false" customHeight="true" outlineLevel="0" collapsed="false">
      <c r="A304" s="135"/>
      <c r="B304" s="135"/>
      <c r="C304" s="135"/>
      <c r="D304" s="135"/>
      <c r="E304" s="135"/>
      <c r="F304" s="135"/>
      <c r="G304" s="135"/>
      <c r="H304" s="135"/>
      <c r="I304" s="182"/>
      <c r="J304" s="135"/>
      <c r="K304" s="135"/>
      <c r="L304" s="135"/>
    </row>
    <row r="305" customFormat="false" ht="15.75" hidden="false" customHeight="true" outlineLevel="0" collapsed="false">
      <c r="A305" s="135"/>
      <c r="B305" s="135"/>
      <c r="C305" s="135"/>
      <c r="D305" s="135"/>
      <c r="E305" s="135"/>
      <c r="F305" s="135"/>
      <c r="G305" s="135"/>
      <c r="H305" s="135"/>
      <c r="I305" s="182"/>
      <c r="J305" s="135"/>
      <c r="K305" s="135"/>
      <c r="L305" s="135"/>
    </row>
    <row r="306" customFormat="false" ht="15.75" hidden="false" customHeight="true" outlineLevel="0" collapsed="false">
      <c r="A306" s="135"/>
      <c r="B306" s="135"/>
      <c r="C306" s="135"/>
      <c r="D306" s="135"/>
      <c r="E306" s="135"/>
      <c r="F306" s="135"/>
      <c r="G306" s="135"/>
      <c r="H306" s="135"/>
      <c r="I306" s="182"/>
      <c r="J306" s="135"/>
      <c r="K306" s="135"/>
      <c r="L306" s="135"/>
    </row>
    <row r="307" customFormat="false" ht="15.75" hidden="false" customHeight="true" outlineLevel="0" collapsed="false">
      <c r="A307" s="135"/>
      <c r="B307" s="135"/>
      <c r="C307" s="135"/>
      <c r="D307" s="135"/>
      <c r="E307" s="135"/>
      <c r="F307" s="135"/>
      <c r="G307" s="135"/>
      <c r="H307" s="135"/>
      <c r="I307" s="182"/>
      <c r="J307" s="135"/>
      <c r="K307" s="135"/>
      <c r="L307" s="135"/>
    </row>
    <row r="308" customFormat="false" ht="15.75" hidden="false" customHeight="true" outlineLevel="0" collapsed="false">
      <c r="A308" s="135"/>
      <c r="B308" s="135"/>
      <c r="C308" s="135"/>
      <c r="D308" s="135"/>
      <c r="E308" s="135"/>
      <c r="F308" s="135"/>
      <c r="G308" s="135"/>
      <c r="H308" s="135"/>
      <c r="I308" s="182"/>
      <c r="J308" s="135"/>
      <c r="K308" s="135"/>
      <c r="L308" s="135"/>
    </row>
    <row r="309" customFormat="false" ht="15.75" hidden="false" customHeight="true" outlineLevel="0" collapsed="false">
      <c r="A309" s="135"/>
      <c r="B309" s="135"/>
      <c r="C309" s="135"/>
      <c r="D309" s="135"/>
      <c r="E309" s="135"/>
      <c r="F309" s="135"/>
      <c r="G309" s="135"/>
      <c r="H309" s="135"/>
      <c r="I309" s="182"/>
      <c r="J309" s="135"/>
      <c r="K309" s="135"/>
      <c r="L309" s="135"/>
    </row>
    <row r="310" customFormat="false" ht="15.75" hidden="false" customHeight="true" outlineLevel="0" collapsed="false">
      <c r="A310" s="135"/>
      <c r="B310" s="135"/>
      <c r="C310" s="135"/>
      <c r="D310" s="135"/>
      <c r="E310" s="135"/>
      <c r="F310" s="135"/>
      <c r="G310" s="135"/>
      <c r="H310" s="135"/>
      <c r="I310" s="182"/>
      <c r="J310" s="135"/>
      <c r="K310" s="135"/>
      <c r="L310" s="135"/>
    </row>
    <row r="311" customFormat="false" ht="15.75" hidden="false" customHeight="true" outlineLevel="0" collapsed="false">
      <c r="A311" s="135"/>
      <c r="B311" s="135"/>
      <c r="C311" s="135"/>
      <c r="D311" s="135"/>
      <c r="E311" s="135"/>
      <c r="F311" s="135"/>
      <c r="G311" s="135"/>
      <c r="H311" s="135"/>
      <c r="I311" s="182"/>
      <c r="J311" s="135"/>
      <c r="K311" s="135"/>
      <c r="L311" s="135"/>
    </row>
    <row r="312" customFormat="false" ht="15.75" hidden="false" customHeight="true" outlineLevel="0" collapsed="false">
      <c r="A312" s="135"/>
      <c r="B312" s="135"/>
      <c r="C312" s="135"/>
      <c r="D312" s="135"/>
      <c r="E312" s="135"/>
      <c r="F312" s="135"/>
      <c r="G312" s="135"/>
      <c r="H312" s="135"/>
      <c r="I312" s="182"/>
      <c r="J312" s="135"/>
      <c r="K312" s="135"/>
      <c r="L312" s="135"/>
    </row>
    <row r="313" customFormat="false" ht="15.75" hidden="false" customHeight="true" outlineLevel="0" collapsed="false">
      <c r="A313" s="135"/>
      <c r="B313" s="135"/>
      <c r="C313" s="135"/>
      <c r="D313" s="135"/>
      <c r="E313" s="135"/>
      <c r="F313" s="135"/>
      <c r="G313" s="135"/>
      <c r="H313" s="135"/>
      <c r="I313" s="182"/>
      <c r="J313" s="135"/>
      <c r="K313" s="135"/>
      <c r="L313" s="135"/>
    </row>
    <row r="314" customFormat="false" ht="15.75" hidden="false" customHeight="true" outlineLevel="0" collapsed="false">
      <c r="A314" s="135"/>
      <c r="B314" s="135"/>
      <c r="C314" s="135"/>
      <c r="D314" s="135"/>
      <c r="E314" s="135"/>
      <c r="F314" s="135"/>
      <c r="G314" s="135"/>
      <c r="H314" s="135"/>
      <c r="I314" s="182"/>
      <c r="J314" s="135"/>
      <c r="K314" s="135"/>
      <c r="L314" s="135"/>
    </row>
    <row r="315" customFormat="false" ht="15.75" hidden="false" customHeight="true" outlineLevel="0" collapsed="false">
      <c r="A315" s="135"/>
      <c r="B315" s="135"/>
      <c r="C315" s="135"/>
      <c r="D315" s="135"/>
      <c r="E315" s="135"/>
      <c r="F315" s="135"/>
      <c r="G315" s="135"/>
      <c r="H315" s="135"/>
      <c r="I315" s="182"/>
      <c r="J315" s="135"/>
      <c r="K315" s="135"/>
      <c r="L315" s="135"/>
    </row>
    <row r="316" customFormat="false" ht="15.75" hidden="false" customHeight="true" outlineLevel="0" collapsed="false">
      <c r="A316" s="135"/>
      <c r="B316" s="135"/>
      <c r="C316" s="135"/>
      <c r="D316" s="135"/>
      <c r="E316" s="135"/>
      <c r="F316" s="135"/>
      <c r="G316" s="135"/>
      <c r="H316" s="135"/>
      <c r="I316" s="182"/>
      <c r="J316" s="135"/>
      <c r="K316" s="135"/>
      <c r="L316" s="135"/>
    </row>
    <row r="317" customFormat="false" ht="15.75" hidden="false" customHeight="true" outlineLevel="0" collapsed="false">
      <c r="A317" s="135"/>
      <c r="B317" s="135"/>
      <c r="C317" s="135"/>
      <c r="D317" s="135"/>
      <c r="E317" s="135"/>
      <c r="F317" s="135"/>
      <c r="G317" s="135"/>
      <c r="H317" s="135"/>
      <c r="I317" s="182"/>
      <c r="J317" s="135"/>
      <c r="K317" s="135"/>
      <c r="L317" s="135"/>
    </row>
    <row r="318" customFormat="false" ht="15.75" hidden="false" customHeight="true" outlineLevel="0" collapsed="false">
      <c r="A318" s="135"/>
      <c r="B318" s="135"/>
      <c r="C318" s="135"/>
      <c r="D318" s="135"/>
      <c r="E318" s="135"/>
      <c r="F318" s="135"/>
      <c r="G318" s="135"/>
      <c r="H318" s="135"/>
      <c r="I318" s="182"/>
      <c r="J318" s="135"/>
      <c r="K318" s="135"/>
      <c r="L318" s="135"/>
    </row>
    <row r="319" customFormat="false" ht="15.75" hidden="false" customHeight="true" outlineLevel="0" collapsed="false">
      <c r="A319" s="135"/>
      <c r="B319" s="135"/>
      <c r="C319" s="135"/>
      <c r="D319" s="135"/>
      <c r="E319" s="135"/>
      <c r="F319" s="135"/>
      <c r="G319" s="135"/>
      <c r="H319" s="135"/>
      <c r="I319" s="182"/>
      <c r="J319" s="135"/>
      <c r="K319" s="135"/>
      <c r="L319" s="135"/>
    </row>
    <row r="320" customFormat="false" ht="15.75" hidden="false" customHeight="true" outlineLevel="0" collapsed="false">
      <c r="A320" s="135"/>
      <c r="B320" s="135"/>
      <c r="C320" s="135"/>
      <c r="D320" s="135"/>
      <c r="E320" s="135"/>
      <c r="F320" s="135"/>
      <c r="G320" s="135"/>
      <c r="H320" s="135"/>
      <c r="I320" s="182"/>
      <c r="J320" s="135"/>
      <c r="K320" s="135"/>
      <c r="L320" s="135"/>
    </row>
    <row r="321" customFormat="false" ht="15.75" hidden="false" customHeight="true" outlineLevel="0" collapsed="false">
      <c r="A321" s="135"/>
      <c r="B321" s="135"/>
      <c r="C321" s="135"/>
      <c r="D321" s="135"/>
      <c r="E321" s="135"/>
      <c r="F321" s="135"/>
      <c r="G321" s="135"/>
      <c r="H321" s="135"/>
      <c r="I321" s="182"/>
      <c r="J321" s="135"/>
      <c r="K321" s="135"/>
      <c r="L321" s="135"/>
    </row>
    <row r="322" customFormat="false" ht="15.75" hidden="false" customHeight="true" outlineLevel="0" collapsed="false">
      <c r="A322" s="135"/>
      <c r="B322" s="135"/>
      <c r="C322" s="135"/>
      <c r="D322" s="135"/>
      <c r="E322" s="135"/>
      <c r="F322" s="135"/>
      <c r="G322" s="135"/>
      <c r="H322" s="135"/>
      <c r="I322" s="182"/>
      <c r="J322" s="135"/>
      <c r="K322" s="135"/>
      <c r="L322" s="135"/>
    </row>
    <row r="323" customFormat="false" ht="15.75" hidden="false" customHeight="true" outlineLevel="0" collapsed="false">
      <c r="A323" s="135"/>
      <c r="B323" s="135"/>
      <c r="C323" s="135"/>
      <c r="D323" s="135"/>
      <c r="E323" s="135"/>
      <c r="F323" s="135"/>
      <c r="G323" s="135"/>
      <c r="H323" s="135"/>
      <c r="I323" s="182"/>
      <c r="J323" s="135"/>
      <c r="K323" s="135"/>
      <c r="L323" s="135"/>
    </row>
    <row r="324" customFormat="false" ht="15.75" hidden="false" customHeight="true" outlineLevel="0" collapsed="false">
      <c r="A324" s="135"/>
      <c r="B324" s="135"/>
      <c r="C324" s="135"/>
      <c r="D324" s="135"/>
      <c r="E324" s="135"/>
      <c r="F324" s="135"/>
      <c r="G324" s="135"/>
      <c r="H324" s="135"/>
      <c r="I324" s="182"/>
      <c r="J324" s="135"/>
      <c r="K324" s="135"/>
      <c r="L324" s="135"/>
    </row>
    <row r="325" customFormat="false" ht="15.75" hidden="false" customHeight="true" outlineLevel="0" collapsed="false">
      <c r="A325" s="135"/>
      <c r="B325" s="135"/>
      <c r="C325" s="135"/>
      <c r="D325" s="135"/>
      <c r="E325" s="135"/>
      <c r="F325" s="135"/>
      <c r="G325" s="135"/>
      <c r="H325" s="135"/>
      <c r="I325" s="182"/>
      <c r="J325" s="135"/>
      <c r="K325" s="135"/>
      <c r="L325" s="135"/>
    </row>
    <row r="326" customFormat="false" ht="15.75" hidden="false" customHeight="true" outlineLevel="0" collapsed="false">
      <c r="A326" s="135"/>
      <c r="B326" s="135"/>
      <c r="C326" s="135"/>
      <c r="D326" s="135"/>
      <c r="E326" s="135"/>
      <c r="F326" s="135"/>
      <c r="G326" s="135"/>
      <c r="H326" s="135"/>
      <c r="I326" s="182"/>
      <c r="J326" s="135"/>
      <c r="K326" s="135"/>
      <c r="L326" s="135"/>
    </row>
    <row r="327" customFormat="false" ht="15.75" hidden="false" customHeight="true" outlineLevel="0" collapsed="false">
      <c r="A327" s="135"/>
      <c r="B327" s="135"/>
      <c r="C327" s="135"/>
      <c r="D327" s="135"/>
      <c r="E327" s="135"/>
      <c r="F327" s="135"/>
      <c r="G327" s="135"/>
      <c r="H327" s="135"/>
      <c r="I327" s="182"/>
      <c r="J327" s="135"/>
      <c r="K327" s="135"/>
      <c r="L327" s="135"/>
    </row>
    <row r="328" customFormat="false" ht="15.75" hidden="false" customHeight="true" outlineLevel="0" collapsed="false">
      <c r="A328" s="135"/>
      <c r="B328" s="135"/>
      <c r="C328" s="135"/>
      <c r="D328" s="135"/>
      <c r="E328" s="135"/>
      <c r="F328" s="135"/>
      <c r="G328" s="135"/>
      <c r="H328" s="135"/>
      <c r="I328" s="182"/>
      <c r="J328" s="135"/>
      <c r="K328" s="135"/>
      <c r="L328" s="135"/>
    </row>
    <row r="329" customFormat="false" ht="15.75" hidden="false" customHeight="true" outlineLevel="0" collapsed="false">
      <c r="A329" s="135"/>
      <c r="B329" s="135"/>
      <c r="C329" s="135"/>
      <c r="D329" s="135"/>
      <c r="E329" s="135"/>
      <c r="F329" s="135"/>
      <c r="G329" s="135"/>
      <c r="H329" s="135"/>
      <c r="I329" s="182"/>
      <c r="J329" s="135"/>
      <c r="K329" s="135"/>
      <c r="L329" s="135"/>
    </row>
    <row r="330" customFormat="false" ht="15.75" hidden="false" customHeight="true" outlineLevel="0" collapsed="false">
      <c r="A330" s="135"/>
      <c r="B330" s="135"/>
      <c r="C330" s="135"/>
      <c r="D330" s="135"/>
      <c r="E330" s="135"/>
      <c r="F330" s="135"/>
      <c r="G330" s="135"/>
      <c r="H330" s="135"/>
      <c r="I330" s="182"/>
      <c r="J330" s="135"/>
      <c r="K330" s="135"/>
      <c r="L330" s="135"/>
    </row>
    <row r="331" customFormat="false" ht="15.75" hidden="false" customHeight="true" outlineLevel="0" collapsed="false">
      <c r="A331" s="135"/>
      <c r="B331" s="135"/>
      <c r="C331" s="135"/>
      <c r="D331" s="135"/>
      <c r="E331" s="135"/>
      <c r="F331" s="135"/>
      <c r="G331" s="135"/>
      <c r="H331" s="135"/>
      <c r="I331" s="182"/>
      <c r="J331" s="135"/>
      <c r="K331" s="135"/>
      <c r="L331" s="135"/>
    </row>
    <row r="332" customFormat="false" ht="15.75" hidden="false" customHeight="true" outlineLevel="0" collapsed="false">
      <c r="A332" s="135"/>
      <c r="B332" s="135"/>
      <c r="C332" s="135"/>
      <c r="D332" s="135"/>
      <c r="E332" s="135"/>
      <c r="F332" s="135"/>
      <c r="G332" s="135"/>
      <c r="H332" s="135"/>
      <c r="I332" s="182"/>
      <c r="J332" s="135"/>
      <c r="K332" s="135"/>
      <c r="L332" s="135"/>
    </row>
    <row r="333" customFormat="false" ht="15.75" hidden="false" customHeight="true" outlineLevel="0" collapsed="false">
      <c r="A333" s="135"/>
      <c r="B333" s="135"/>
      <c r="C333" s="135"/>
      <c r="D333" s="135"/>
      <c r="E333" s="135"/>
      <c r="F333" s="135"/>
      <c r="G333" s="135"/>
      <c r="H333" s="135"/>
      <c r="I333" s="182"/>
      <c r="J333" s="135"/>
      <c r="K333" s="135"/>
      <c r="L333" s="135"/>
    </row>
    <row r="334" customFormat="false" ht="15.75" hidden="false" customHeight="true" outlineLevel="0" collapsed="false">
      <c r="A334" s="135"/>
      <c r="B334" s="135"/>
      <c r="C334" s="135"/>
      <c r="D334" s="135"/>
      <c r="E334" s="135"/>
      <c r="F334" s="135"/>
      <c r="G334" s="135"/>
      <c r="H334" s="135"/>
      <c r="I334" s="182"/>
      <c r="J334" s="135"/>
      <c r="K334" s="135"/>
      <c r="L334" s="135"/>
    </row>
    <row r="335" customFormat="false" ht="15.75" hidden="false" customHeight="true" outlineLevel="0" collapsed="false">
      <c r="A335" s="135"/>
      <c r="B335" s="135"/>
      <c r="C335" s="135"/>
      <c r="D335" s="135"/>
      <c r="E335" s="135"/>
      <c r="F335" s="135"/>
      <c r="G335" s="135"/>
      <c r="H335" s="135"/>
      <c r="I335" s="182"/>
      <c r="J335" s="135"/>
      <c r="K335" s="135"/>
      <c r="L335" s="135"/>
    </row>
    <row r="336" customFormat="false" ht="15.75" hidden="false" customHeight="true" outlineLevel="0" collapsed="false">
      <c r="A336" s="135"/>
      <c r="B336" s="135"/>
      <c r="C336" s="135"/>
      <c r="D336" s="135"/>
      <c r="E336" s="135"/>
      <c r="F336" s="135"/>
      <c r="G336" s="135"/>
      <c r="H336" s="135"/>
      <c r="I336" s="182"/>
      <c r="J336" s="135"/>
      <c r="K336" s="135"/>
      <c r="L336" s="135"/>
    </row>
    <row r="337" customFormat="false" ht="15.75" hidden="false" customHeight="true" outlineLevel="0" collapsed="false">
      <c r="A337" s="135"/>
      <c r="B337" s="135"/>
      <c r="C337" s="135"/>
      <c r="D337" s="135"/>
      <c r="E337" s="135"/>
      <c r="F337" s="135"/>
      <c r="G337" s="135"/>
      <c r="H337" s="135"/>
      <c r="I337" s="182"/>
      <c r="J337" s="135"/>
      <c r="K337" s="135"/>
      <c r="L337" s="135"/>
    </row>
    <row r="338" customFormat="false" ht="15.75" hidden="false" customHeight="true" outlineLevel="0" collapsed="false">
      <c r="A338" s="135"/>
      <c r="B338" s="135"/>
      <c r="C338" s="135"/>
      <c r="D338" s="135"/>
      <c r="E338" s="135"/>
      <c r="F338" s="135"/>
      <c r="G338" s="135"/>
      <c r="H338" s="135"/>
      <c r="I338" s="182"/>
      <c r="J338" s="135"/>
      <c r="K338" s="135"/>
      <c r="L338" s="135"/>
    </row>
    <row r="339" customFormat="false" ht="15.75" hidden="false" customHeight="true" outlineLevel="0" collapsed="false">
      <c r="A339" s="135"/>
      <c r="B339" s="135"/>
      <c r="C339" s="135"/>
      <c r="D339" s="135"/>
      <c r="E339" s="135"/>
      <c r="F339" s="135"/>
      <c r="G339" s="135"/>
      <c r="H339" s="135"/>
      <c r="I339" s="182"/>
      <c r="J339" s="135"/>
      <c r="K339" s="135"/>
      <c r="L339" s="135"/>
    </row>
    <row r="340" customFormat="false" ht="15.75" hidden="false" customHeight="true" outlineLevel="0" collapsed="false">
      <c r="A340" s="135"/>
      <c r="B340" s="135"/>
      <c r="C340" s="135"/>
      <c r="D340" s="135"/>
      <c r="E340" s="135"/>
      <c r="F340" s="135"/>
      <c r="G340" s="135"/>
      <c r="H340" s="135"/>
      <c r="I340" s="182"/>
      <c r="J340" s="135"/>
      <c r="K340" s="135"/>
      <c r="L340" s="135"/>
    </row>
    <row r="341" customFormat="false" ht="15.75" hidden="false" customHeight="true" outlineLevel="0" collapsed="false">
      <c r="A341" s="135"/>
      <c r="B341" s="135"/>
      <c r="C341" s="135"/>
      <c r="D341" s="135"/>
      <c r="E341" s="135"/>
      <c r="F341" s="135"/>
      <c r="G341" s="135"/>
      <c r="H341" s="135"/>
      <c r="I341" s="182"/>
      <c r="J341" s="135"/>
      <c r="K341" s="135"/>
      <c r="L341" s="135"/>
    </row>
    <row r="342" customFormat="false" ht="15.75" hidden="false" customHeight="true" outlineLevel="0" collapsed="false">
      <c r="A342" s="135"/>
      <c r="B342" s="135"/>
      <c r="C342" s="135"/>
      <c r="D342" s="135"/>
      <c r="E342" s="135"/>
      <c r="F342" s="135"/>
      <c r="G342" s="135"/>
      <c r="H342" s="135"/>
      <c r="I342" s="182"/>
      <c r="J342" s="135"/>
      <c r="K342" s="135"/>
      <c r="L342" s="135"/>
    </row>
    <row r="343" customFormat="false" ht="15.75" hidden="false" customHeight="true" outlineLevel="0" collapsed="false">
      <c r="A343" s="135"/>
      <c r="B343" s="135"/>
      <c r="C343" s="135"/>
      <c r="D343" s="135"/>
      <c r="E343" s="135"/>
      <c r="F343" s="135"/>
      <c r="G343" s="135"/>
      <c r="H343" s="135"/>
      <c r="I343" s="182"/>
      <c r="J343" s="135"/>
      <c r="K343" s="135"/>
      <c r="L343" s="135"/>
    </row>
    <row r="344" customFormat="false" ht="15.75" hidden="false" customHeight="true" outlineLevel="0" collapsed="false">
      <c r="A344" s="135"/>
      <c r="B344" s="135"/>
      <c r="C344" s="135"/>
      <c r="D344" s="135"/>
      <c r="E344" s="135"/>
      <c r="F344" s="135"/>
      <c r="G344" s="135"/>
      <c r="H344" s="135"/>
      <c r="I344" s="182"/>
      <c r="J344" s="135"/>
      <c r="K344" s="135"/>
      <c r="L344" s="135"/>
    </row>
    <row r="345" customFormat="false" ht="15.75" hidden="false" customHeight="true" outlineLevel="0" collapsed="false">
      <c r="A345" s="135"/>
      <c r="B345" s="135"/>
      <c r="C345" s="135"/>
      <c r="D345" s="135"/>
      <c r="E345" s="135"/>
      <c r="F345" s="135"/>
      <c r="G345" s="135"/>
      <c r="H345" s="135"/>
      <c r="I345" s="182"/>
      <c r="J345" s="135"/>
      <c r="K345" s="135"/>
      <c r="L345" s="135"/>
    </row>
    <row r="346" customFormat="false" ht="15.75" hidden="false" customHeight="true" outlineLevel="0" collapsed="false">
      <c r="A346" s="135"/>
      <c r="B346" s="135"/>
      <c r="C346" s="135"/>
      <c r="D346" s="135"/>
      <c r="E346" s="135"/>
      <c r="F346" s="135"/>
      <c r="G346" s="135"/>
      <c r="H346" s="135"/>
      <c r="I346" s="182"/>
      <c r="J346" s="135"/>
      <c r="K346" s="135"/>
      <c r="L346" s="135"/>
    </row>
    <row r="347" customFormat="false" ht="15.75" hidden="false" customHeight="true" outlineLevel="0" collapsed="false">
      <c r="A347" s="135"/>
      <c r="B347" s="135"/>
      <c r="C347" s="135"/>
      <c r="D347" s="135"/>
      <c r="E347" s="135"/>
      <c r="F347" s="135"/>
      <c r="G347" s="135"/>
      <c r="H347" s="135"/>
      <c r="I347" s="182"/>
      <c r="J347" s="135"/>
      <c r="K347" s="135"/>
      <c r="L347" s="135"/>
    </row>
    <row r="348" customFormat="false" ht="15.75" hidden="false" customHeight="true" outlineLevel="0" collapsed="false">
      <c r="A348" s="135"/>
      <c r="B348" s="135"/>
      <c r="C348" s="135"/>
      <c r="D348" s="135"/>
      <c r="E348" s="135"/>
      <c r="F348" s="135"/>
      <c r="G348" s="135"/>
      <c r="H348" s="135"/>
      <c r="I348" s="182"/>
      <c r="J348" s="135"/>
      <c r="K348" s="135"/>
      <c r="L348" s="135"/>
    </row>
    <row r="349" customFormat="false" ht="15.75" hidden="false" customHeight="true" outlineLevel="0" collapsed="false">
      <c r="A349" s="135"/>
      <c r="B349" s="135"/>
      <c r="C349" s="135"/>
      <c r="D349" s="135"/>
      <c r="E349" s="135"/>
      <c r="F349" s="135"/>
      <c r="G349" s="135"/>
      <c r="H349" s="135"/>
      <c r="I349" s="182"/>
      <c r="J349" s="135"/>
      <c r="K349" s="135"/>
      <c r="L349" s="135"/>
    </row>
    <row r="350" customFormat="false" ht="15.75" hidden="false" customHeight="true" outlineLevel="0" collapsed="false">
      <c r="A350" s="135"/>
      <c r="B350" s="135"/>
      <c r="C350" s="135"/>
      <c r="D350" s="135"/>
      <c r="E350" s="135"/>
      <c r="F350" s="135"/>
      <c r="G350" s="135"/>
      <c r="H350" s="135"/>
      <c r="I350" s="182"/>
      <c r="J350" s="135"/>
      <c r="K350" s="135"/>
      <c r="L350" s="135"/>
    </row>
    <row r="351" customFormat="false" ht="15.75" hidden="false" customHeight="true" outlineLevel="0" collapsed="false">
      <c r="A351" s="135"/>
      <c r="B351" s="135"/>
      <c r="C351" s="135"/>
      <c r="D351" s="135"/>
      <c r="E351" s="135"/>
      <c r="F351" s="135"/>
      <c r="G351" s="135"/>
      <c r="H351" s="135"/>
      <c r="I351" s="182"/>
      <c r="J351" s="135"/>
      <c r="K351" s="135"/>
      <c r="L351" s="135"/>
    </row>
    <row r="352" customFormat="false" ht="15.75" hidden="false" customHeight="true" outlineLevel="0" collapsed="false">
      <c r="A352" s="135"/>
      <c r="B352" s="135"/>
      <c r="C352" s="135"/>
      <c r="D352" s="135"/>
      <c r="E352" s="135"/>
      <c r="F352" s="135"/>
      <c r="G352" s="135"/>
      <c r="H352" s="135"/>
      <c r="I352" s="182"/>
      <c r="J352" s="135"/>
      <c r="K352" s="135"/>
      <c r="L352" s="135"/>
    </row>
    <row r="353" customFormat="false" ht="15.75" hidden="false" customHeight="true" outlineLevel="0" collapsed="false">
      <c r="A353" s="135"/>
      <c r="B353" s="135"/>
      <c r="C353" s="135"/>
      <c r="D353" s="135"/>
      <c r="E353" s="135"/>
      <c r="F353" s="135"/>
      <c r="G353" s="135"/>
      <c r="H353" s="135"/>
      <c r="I353" s="182"/>
      <c r="J353" s="135"/>
      <c r="K353" s="135"/>
      <c r="L353" s="135"/>
    </row>
    <row r="354" customFormat="false" ht="15.75" hidden="false" customHeight="true" outlineLevel="0" collapsed="false">
      <c r="A354" s="135"/>
      <c r="B354" s="135"/>
      <c r="C354" s="135"/>
      <c r="D354" s="135"/>
      <c r="E354" s="135"/>
      <c r="F354" s="135"/>
      <c r="G354" s="135"/>
      <c r="H354" s="135"/>
      <c r="I354" s="182"/>
      <c r="J354" s="135"/>
      <c r="K354" s="135"/>
      <c r="L354" s="135"/>
    </row>
    <row r="355" customFormat="false" ht="15.75" hidden="false" customHeight="true" outlineLevel="0" collapsed="false">
      <c r="A355" s="135"/>
      <c r="B355" s="135"/>
      <c r="C355" s="135"/>
      <c r="D355" s="135"/>
      <c r="E355" s="135"/>
      <c r="F355" s="135"/>
      <c r="G355" s="135"/>
      <c r="H355" s="135"/>
      <c r="I355" s="182"/>
      <c r="J355" s="135"/>
      <c r="K355" s="135"/>
      <c r="L355" s="135"/>
    </row>
    <row r="356" customFormat="false" ht="15.75" hidden="false" customHeight="true" outlineLevel="0" collapsed="false">
      <c r="A356" s="135"/>
      <c r="B356" s="135"/>
      <c r="C356" s="135"/>
      <c r="D356" s="135"/>
      <c r="E356" s="135"/>
      <c r="F356" s="135"/>
      <c r="G356" s="135"/>
      <c r="H356" s="135"/>
      <c r="I356" s="182"/>
      <c r="J356" s="135"/>
      <c r="K356" s="135"/>
      <c r="L356" s="135"/>
    </row>
    <row r="357" customFormat="false" ht="15.75" hidden="false" customHeight="true" outlineLevel="0" collapsed="false">
      <c r="A357" s="135"/>
      <c r="B357" s="135"/>
      <c r="C357" s="135"/>
      <c r="D357" s="135"/>
      <c r="E357" s="135"/>
      <c r="F357" s="135"/>
      <c r="G357" s="135"/>
      <c r="H357" s="135"/>
      <c r="I357" s="182"/>
      <c r="J357" s="135"/>
      <c r="K357" s="135"/>
      <c r="L357" s="135"/>
    </row>
    <row r="358" customFormat="false" ht="15.75" hidden="false" customHeight="true" outlineLevel="0" collapsed="false">
      <c r="A358" s="135"/>
      <c r="B358" s="135"/>
      <c r="C358" s="135"/>
      <c r="D358" s="135"/>
      <c r="E358" s="135"/>
      <c r="F358" s="135"/>
      <c r="G358" s="135"/>
      <c r="H358" s="135"/>
      <c r="I358" s="182"/>
      <c r="J358" s="135"/>
      <c r="K358" s="135"/>
      <c r="L358" s="135"/>
    </row>
    <row r="359" customFormat="false" ht="15.75" hidden="false" customHeight="true" outlineLevel="0" collapsed="false">
      <c r="A359" s="135"/>
      <c r="B359" s="135"/>
      <c r="C359" s="135"/>
      <c r="D359" s="135"/>
      <c r="E359" s="135"/>
      <c r="F359" s="135"/>
      <c r="G359" s="135"/>
      <c r="H359" s="135"/>
      <c r="I359" s="182"/>
      <c r="J359" s="135"/>
      <c r="K359" s="135"/>
      <c r="L359" s="135"/>
    </row>
    <row r="360" customFormat="false" ht="15.75" hidden="false" customHeight="true" outlineLevel="0" collapsed="false">
      <c r="A360" s="135"/>
      <c r="B360" s="135"/>
      <c r="C360" s="135"/>
      <c r="D360" s="135"/>
      <c r="E360" s="135"/>
      <c r="F360" s="135"/>
      <c r="G360" s="135"/>
      <c r="H360" s="135"/>
      <c r="I360" s="182"/>
      <c r="J360" s="135"/>
      <c r="K360" s="135"/>
      <c r="L360" s="135"/>
    </row>
    <row r="361" customFormat="false" ht="15.75" hidden="false" customHeight="true" outlineLevel="0" collapsed="false">
      <c r="A361" s="135"/>
      <c r="B361" s="135"/>
      <c r="C361" s="135"/>
      <c r="D361" s="135"/>
      <c r="E361" s="135"/>
      <c r="F361" s="135"/>
      <c r="G361" s="135"/>
      <c r="H361" s="135"/>
      <c r="I361" s="182"/>
      <c r="J361" s="135"/>
      <c r="K361" s="135"/>
      <c r="L361" s="135"/>
    </row>
    <row r="362" customFormat="false" ht="15.75" hidden="false" customHeight="true" outlineLevel="0" collapsed="false">
      <c r="A362" s="135"/>
      <c r="B362" s="135"/>
      <c r="C362" s="135"/>
      <c r="D362" s="135"/>
      <c r="E362" s="135"/>
      <c r="F362" s="135"/>
      <c r="G362" s="135"/>
      <c r="H362" s="135"/>
      <c r="I362" s="182"/>
      <c r="J362" s="135"/>
      <c r="K362" s="135"/>
      <c r="L362" s="135"/>
    </row>
    <row r="363" customFormat="false" ht="15.75" hidden="false" customHeight="true" outlineLevel="0" collapsed="false">
      <c r="A363" s="135"/>
      <c r="B363" s="135"/>
      <c r="C363" s="135"/>
      <c r="D363" s="135"/>
      <c r="E363" s="135"/>
      <c r="F363" s="135"/>
      <c r="G363" s="135"/>
      <c r="H363" s="135"/>
      <c r="I363" s="182"/>
      <c r="J363" s="135"/>
      <c r="K363" s="135"/>
      <c r="L363" s="135"/>
    </row>
    <row r="364" customFormat="false" ht="15.75" hidden="false" customHeight="true" outlineLevel="0" collapsed="false">
      <c r="A364" s="135"/>
      <c r="B364" s="135"/>
      <c r="C364" s="135"/>
      <c r="D364" s="135"/>
      <c r="E364" s="135"/>
      <c r="F364" s="135"/>
      <c r="G364" s="135"/>
      <c r="H364" s="135"/>
      <c r="I364" s="182"/>
      <c r="J364" s="135"/>
      <c r="K364" s="135"/>
      <c r="L364" s="135"/>
    </row>
    <row r="365" customFormat="false" ht="15.75" hidden="false" customHeight="true" outlineLevel="0" collapsed="false">
      <c r="A365" s="135"/>
      <c r="B365" s="135"/>
      <c r="C365" s="135"/>
      <c r="D365" s="135"/>
      <c r="E365" s="135"/>
      <c r="F365" s="135"/>
      <c r="G365" s="135"/>
      <c r="H365" s="135"/>
      <c r="I365" s="182"/>
      <c r="J365" s="135"/>
      <c r="K365" s="135"/>
      <c r="L365" s="135"/>
    </row>
    <row r="366" customFormat="false" ht="15.75" hidden="false" customHeight="true" outlineLevel="0" collapsed="false">
      <c r="A366" s="135"/>
      <c r="B366" s="135"/>
      <c r="C366" s="135"/>
      <c r="D366" s="135"/>
      <c r="E366" s="135"/>
      <c r="F366" s="135"/>
      <c r="G366" s="135"/>
      <c r="H366" s="135"/>
      <c r="I366" s="182"/>
      <c r="J366" s="135"/>
      <c r="K366" s="135"/>
      <c r="L366" s="135"/>
    </row>
    <row r="367" customFormat="false" ht="15.75" hidden="false" customHeight="true" outlineLevel="0" collapsed="false">
      <c r="A367" s="135"/>
      <c r="B367" s="135"/>
      <c r="C367" s="135"/>
      <c r="D367" s="135"/>
      <c r="E367" s="135"/>
      <c r="F367" s="135"/>
      <c r="G367" s="135"/>
      <c r="H367" s="135"/>
      <c r="I367" s="182"/>
      <c r="J367" s="135"/>
      <c r="K367" s="135"/>
      <c r="L367" s="135"/>
    </row>
    <row r="368" customFormat="false" ht="15.75" hidden="false" customHeight="true" outlineLevel="0" collapsed="false">
      <c r="A368" s="135"/>
      <c r="B368" s="135"/>
      <c r="C368" s="135"/>
      <c r="D368" s="135"/>
      <c r="E368" s="135"/>
      <c r="F368" s="135"/>
      <c r="G368" s="135"/>
      <c r="H368" s="135"/>
      <c r="I368" s="182"/>
      <c r="J368" s="135"/>
      <c r="K368" s="135"/>
      <c r="L368" s="135"/>
    </row>
    <row r="369" customFormat="false" ht="15.75" hidden="false" customHeight="true" outlineLevel="0" collapsed="false">
      <c r="A369" s="135"/>
      <c r="B369" s="135"/>
      <c r="C369" s="135"/>
      <c r="D369" s="135"/>
      <c r="E369" s="135"/>
      <c r="F369" s="135"/>
      <c r="G369" s="135"/>
      <c r="H369" s="135"/>
      <c r="I369" s="182"/>
      <c r="J369" s="135"/>
      <c r="K369" s="135"/>
      <c r="L369" s="135"/>
    </row>
    <row r="370" customFormat="false" ht="15.75" hidden="false" customHeight="true" outlineLevel="0" collapsed="false">
      <c r="A370" s="135"/>
      <c r="B370" s="135"/>
      <c r="C370" s="135"/>
      <c r="D370" s="135"/>
      <c r="E370" s="135"/>
      <c r="F370" s="135"/>
      <c r="G370" s="135"/>
      <c r="H370" s="135"/>
      <c r="I370" s="182"/>
      <c r="J370" s="135"/>
      <c r="K370" s="135"/>
      <c r="L370" s="135"/>
    </row>
    <row r="371" customFormat="false" ht="15.75" hidden="false" customHeight="true" outlineLevel="0" collapsed="false">
      <c r="A371" s="135"/>
      <c r="B371" s="135"/>
      <c r="C371" s="135"/>
      <c r="D371" s="135"/>
      <c r="E371" s="135"/>
      <c r="F371" s="135"/>
      <c r="G371" s="135"/>
      <c r="H371" s="135"/>
      <c r="I371" s="182"/>
      <c r="J371" s="135"/>
      <c r="K371" s="135"/>
      <c r="L371" s="135"/>
    </row>
    <row r="372" customFormat="false" ht="15.75" hidden="false" customHeight="true" outlineLevel="0" collapsed="false">
      <c r="A372" s="135"/>
      <c r="B372" s="135"/>
      <c r="C372" s="135"/>
      <c r="D372" s="135"/>
      <c r="E372" s="135"/>
      <c r="F372" s="135"/>
      <c r="G372" s="135"/>
      <c r="H372" s="135"/>
      <c r="I372" s="182"/>
      <c r="J372" s="135"/>
      <c r="K372" s="135"/>
      <c r="L372" s="135"/>
    </row>
    <row r="373" customFormat="false" ht="15.75" hidden="false" customHeight="true" outlineLevel="0" collapsed="false">
      <c r="A373" s="135"/>
      <c r="B373" s="135"/>
      <c r="C373" s="135"/>
      <c r="D373" s="135"/>
      <c r="E373" s="135"/>
      <c r="F373" s="135"/>
      <c r="G373" s="135"/>
      <c r="H373" s="135"/>
      <c r="I373" s="182"/>
      <c r="J373" s="135"/>
      <c r="K373" s="135"/>
      <c r="L373" s="135"/>
    </row>
    <row r="374" customFormat="false" ht="15.75" hidden="false" customHeight="true" outlineLevel="0" collapsed="false">
      <c r="A374" s="135"/>
      <c r="B374" s="135"/>
      <c r="C374" s="135"/>
      <c r="D374" s="135"/>
      <c r="E374" s="135"/>
      <c r="F374" s="135"/>
      <c r="G374" s="135"/>
      <c r="H374" s="135"/>
      <c r="I374" s="182"/>
      <c r="J374" s="135"/>
      <c r="K374" s="135"/>
      <c r="L374" s="135"/>
    </row>
    <row r="375" customFormat="false" ht="15.75" hidden="false" customHeight="true" outlineLevel="0" collapsed="false">
      <c r="A375" s="135"/>
      <c r="B375" s="135"/>
      <c r="C375" s="135"/>
      <c r="D375" s="135"/>
      <c r="E375" s="135"/>
      <c r="F375" s="135"/>
      <c r="G375" s="135"/>
      <c r="H375" s="135"/>
      <c r="I375" s="182"/>
      <c r="J375" s="135"/>
      <c r="K375" s="135"/>
      <c r="L375" s="135"/>
    </row>
    <row r="376" customFormat="false" ht="15.75" hidden="false" customHeight="true" outlineLevel="0" collapsed="false">
      <c r="A376" s="135"/>
      <c r="B376" s="135"/>
      <c r="C376" s="135"/>
      <c r="D376" s="135"/>
      <c r="E376" s="135"/>
      <c r="F376" s="135"/>
      <c r="G376" s="135"/>
      <c r="H376" s="135"/>
      <c r="I376" s="182"/>
      <c r="J376" s="135"/>
      <c r="K376" s="135"/>
      <c r="L376" s="135"/>
    </row>
    <row r="377" customFormat="false" ht="15.75" hidden="false" customHeight="true" outlineLevel="0" collapsed="false">
      <c r="A377" s="135"/>
      <c r="B377" s="135"/>
      <c r="C377" s="135"/>
      <c r="D377" s="135"/>
      <c r="E377" s="135"/>
      <c r="F377" s="135"/>
      <c r="G377" s="135"/>
      <c r="H377" s="135"/>
      <c r="I377" s="182"/>
      <c r="J377" s="135"/>
      <c r="K377" s="135"/>
      <c r="L377" s="135"/>
    </row>
    <row r="378" customFormat="false" ht="15.75" hidden="false" customHeight="true" outlineLevel="0" collapsed="false">
      <c r="A378" s="135"/>
      <c r="B378" s="135"/>
      <c r="C378" s="135"/>
      <c r="D378" s="135"/>
      <c r="E378" s="135"/>
      <c r="F378" s="135"/>
      <c r="G378" s="135"/>
      <c r="H378" s="135"/>
      <c r="I378" s="182"/>
      <c r="J378" s="135"/>
      <c r="K378" s="135"/>
      <c r="L378" s="135"/>
    </row>
    <row r="379" customFormat="false" ht="15.75" hidden="false" customHeight="true" outlineLevel="0" collapsed="false">
      <c r="A379" s="135"/>
      <c r="B379" s="135"/>
      <c r="C379" s="135"/>
      <c r="D379" s="135"/>
      <c r="E379" s="135"/>
      <c r="F379" s="135"/>
      <c r="G379" s="135"/>
      <c r="H379" s="135"/>
      <c r="I379" s="182"/>
      <c r="J379" s="135"/>
      <c r="K379" s="135"/>
      <c r="L379" s="135"/>
    </row>
    <row r="380" customFormat="false" ht="15.75" hidden="false" customHeight="true" outlineLevel="0" collapsed="false">
      <c r="A380" s="135"/>
      <c r="B380" s="135"/>
      <c r="C380" s="135"/>
      <c r="D380" s="135"/>
      <c r="E380" s="135"/>
      <c r="F380" s="135"/>
      <c r="G380" s="135"/>
      <c r="H380" s="135"/>
      <c r="I380" s="182"/>
      <c r="J380" s="135"/>
      <c r="K380" s="135"/>
      <c r="L380" s="135"/>
    </row>
    <row r="381" customFormat="false" ht="15.75" hidden="false" customHeight="true" outlineLevel="0" collapsed="false">
      <c r="A381" s="135"/>
      <c r="B381" s="135"/>
      <c r="C381" s="135"/>
      <c r="D381" s="135"/>
      <c r="E381" s="135"/>
      <c r="F381" s="135"/>
      <c r="G381" s="135"/>
      <c r="H381" s="135"/>
      <c r="I381" s="182"/>
      <c r="J381" s="135"/>
      <c r="K381" s="135"/>
      <c r="L381" s="135"/>
    </row>
    <row r="382" customFormat="false" ht="15.75" hidden="false" customHeight="true" outlineLevel="0" collapsed="false">
      <c r="A382" s="135"/>
      <c r="B382" s="135"/>
      <c r="C382" s="135"/>
      <c r="D382" s="135"/>
      <c r="E382" s="135"/>
      <c r="F382" s="135"/>
      <c r="G382" s="135"/>
      <c r="H382" s="135"/>
      <c r="I382" s="182"/>
      <c r="J382" s="135"/>
      <c r="K382" s="135"/>
      <c r="L382" s="135"/>
    </row>
    <row r="383" customFormat="false" ht="15.75" hidden="false" customHeight="true" outlineLevel="0" collapsed="false">
      <c r="A383" s="135"/>
      <c r="B383" s="135"/>
      <c r="C383" s="135"/>
      <c r="D383" s="135"/>
      <c r="E383" s="135"/>
      <c r="F383" s="135"/>
      <c r="G383" s="135"/>
      <c r="H383" s="135"/>
      <c r="I383" s="182"/>
      <c r="J383" s="135"/>
      <c r="K383" s="135"/>
      <c r="L383" s="135"/>
    </row>
    <row r="384" customFormat="false" ht="15.75" hidden="false" customHeight="true" outlineLevel="0" collapsed="false">
      <c r="A384" s="135"/>
      <c r="B384" s="135"/>
      <c r="C384" s="135"/>
      <c r="D384" s="135"/>
      <c r="E384" s="135"/>
      <c r="F384" s="135"/>
      <c r="G384" s="135"/>
      <c r="H384" s="135"/>
      <c r="I384" s="182"/>
      <c r="J384" s="135"/>
      <c r="K384" s="135"/>
      <c r="L384" s="135"/>
    </row>
    <row r="385" customFormat="false" ht="15.75" hidden="false" customHeight="true" outlineLevel="0" collapsed="false">
      <c r="A385" s="135"/>
      <c r="B385" s="135"/>
      <c r="C385" s="135"/>
      <c r="D385" s="135"/>
      <c r="E385" s="135"/>
      <c r="F385" s="135"/>
      <c r="G385" s="135"/>
      <c r="H385" s="135"/>
      <c r="I385" s="182"/>
      <c r="J385" s="135"/>
      <c r="K385" s="135"/>
      <c r="L385" s="135"/>
    </row>
    <row r="386" customFormat="false" ht="15.75" hidden="false" customHeight="true" outlineLevel="0" collapsed="false">
      <c r="A386" s="135"/>
      <c r="B386" s="135"/>
      <c r="C386" s="135"/>
      <c r="D386" s="135"/>
      <c r="E386" s="135"/>
      <c r="F386" s="135"/>
      <c r="G386" s="135"/>
      <c r="H386" s="135"/>
      <c r="I386" s="182"/>
      <c r="J386" s="135"/>
      <c r="K386" s="135"/>
      <c r="L386" s="135"/>
    </row>
    <row r="387" customFormat="false" ht="15.75" hidden="false" customHeight="true" outlineLevel="0" collapsed="false">
      <c r="A387" s="135"/>
      <c r="B387" s="135"/>
      <c r="C387" s="135"/>
      <c r="D387" s="135"/>
      <c r="E387" s="135"/>
      <c r="F387" s="135"/>
      <c r="G387" s="135"/>
      <c r="H387" s="135"/>
      <c r="I387" s="182"/>
      <c r="J387" s="135"/>
      <c r="K387" s="135"/>
      <c r="L387" s="135"/>
    </row>
    <row r="388" customFormat="false" ht="15.75" hidden="false" customHeight="true" outlineLevel="0" collapsed="false">
      <c r="A388" s="135"/>
      <c r="B388" s="135"/>
      <c r="C388" s="135"/>
      <c r="D388" s="135"/>
      <c r="E388" s="135"/>
      <c r="F388" s="135"/>
      <c r="G388" s="135"/>
      <c r="H388" s="135"/>
      <c r="I388" s="182"/>
      <c r="J388" s="135"/>
      <c r="K388" s="135"/>
      <c r="L388" s="135"/>
    </row>
    <row r="389" customFormat="false" ht="15.75" hidden="false" customHeight="true" outlineLevel="0" collapsed="false">
      <c r="A389" s="135"/>
      <c r="B389" s="135"/>
      <c r="C389" s="135"/>
      <c r="D389" s="135"/>
      <c r="E389" s="135"/>
      <c r="F389" s="135"/>
      <c r="G389" s="135"/>
      <c r="H389" s="135"/>
      <c r="I389" s="182"/>
      <c r="J389" s="135"/>
      <c r="K389" s="135"/>
      <c r="L389" s="135"/>
    </row>
    <row r="390" customFormat="false" ht="15.75" hidden="false" customHeight="true" outlineLevel="0" collapsed="false">
      <c r="A390" s="135"/>
      <c r="B390" s="135"/>
      <c r="C390" s="135"/>
      <c r="D390" s="135"/>
      <c r="E390" s="135"/>
      <c r="F390" s="135"/>
      <c r="G390" s="135"/>
      <c r="H390" s="135"/>
      <c r="I390" s="182"/>
      <c r="J390" s="135"/>
      <c r="K390" s="135"/>
      <c r="L390" s="135"/>
    </row>
    <row r="391" customFormat="false" ht="15.75" hidden="false" customHeight="true" outlineLevel="0" collapsed="false">
      <c r="A391" s="135"/>
      <c r="B391" s="135"/>
      <c r="C391" s="135"/>
      <c r="D391" s="135"/>
      <c r="E391" s="135"/>
      <c r="F391" s="135"/>
      <c r="G391" s="135"/>
      <c r="H391" s="135"/>
      <c r="I391" s="182"/>
      <c r="J391" s="135"/>
      <c r="K391" s="135"/>
      <c r="L391" s="135"/>
    </row>
    <row r="392" customFormat="false" ht="15.75" hidden="false" customHeight="true" outlineLevel="0" collapsed="false">
      <c r="A392" s="135"/>
      <c r="B392" s="135"/>
      <c r="C392" s="135"/>
      <c r="D392" s="135"/>
      <c r="E392" s="135"/>
      <c r="F392" s="135"/>
      <c r="G392" s="135"/>
      <c r="H392" s="135"/>
      <c r="I392" s="182"/>
      <c r="J392" s="135"/>
      <c r="K392" s="135"/>
      <c r="L392" s="135"/>
    </row>
    <row r="393" customFormat="false" ht="15.75" hidden="false" customHeight="true" outlineLevel="0" collapsed="false">
      <c r="A393" s="135"/>
      <c r="B393" s="135"/>
      <c r="C393" s="135"/>
      <c r="D393" s="135"/>
      <c r="E393" s="135"/>
      <c r="F393" s="135"/>
      <c r="G393" s="135"/>
      <c r="H393" s="135"/>
      <c r="I393" s="182"/>
      <c r="J393" s="135"/>
      <c r="K393" s="135"/>
      <c r="L393" s="135"/>
    </row>
    <row r="394" customFormat="false" ht="15.75" hidden="false" customHeight="true" outlineLevel="0" collapsed="false">
      <c r="A394" s="135"/>
      <c r="B394" s="135"/>
      <c r="C394" s="135"/>
      <c r="D394" s="135"/>
      <c r="E394" s="135"/>
      <c r="F394" s="135"/>
      <c r="G394" s="135"/>
      <c r="H394" s="135"/>
      <c r="I394" s="182"/>
      <c r="J394" s="135"/>
      <c r="K394" s="135"/>
      <c r="L394" s="135"/>
    </row>
    <row r="395" customFormat="false" ht="15.75" hidden="false" customHeight="true" outlineLevel="0" collapsed="false">
      <c r="A395" s="135"/>
      <c r="B395" s="135"/>
      <c r="C395" s="135"/>
      <c r="D395" s="135"/>
      <c r="E395" s="135"/>
      <c r="F395" s="135"/>
      <c r="G395" s="135"/>
      <c r="H395" s="135"/>
      <c r="I395" s="182"/>
      <c r="J395" s="135"/>
      <c r="K395" s="135"/>
      <c r="L395" s="135"/>
    </row>
    <row r="396" customFormat="false" ht="15.75" hidden="false" customHeight="true" outlineLevel="0" collapsed="false">
      <c r="A396" s="135"/>
      <c r="B396" s="135"/>
      <c r="C396" s="135"/>
      <c r="D396" s="135"/>
      <c r="E396" s="135"/>
      <c r="F396" s="135"/>
      <c r="G396" s="135"/>
      <c r="H396" s="135"/>
      <c r="I396" s="182"/>
      <c r="J396" s="135"/>
      <c r="K396" s="135"/>
      <c r="L396" s="135"/>
    </row>
    <row r="397" customFormat="false" ht="15.75" hidden="false" customHeight="true" outlineLevel="0" collapsed="false">
      <c r="A397" s="135"/>
      <c r="B397" s="135"/>
      <c r="C397" s="135"/>
      <c r="D397" s="135"/>
      <c r="E397" s="135"/>
      <c r="F397" s="135"/>
      <c r="G397" s="135"/>
      <c r="H397" s="135"/>
      <c r="I397" s="182"/>
      <c r="J397" s="135"/>
      <c r="K397" s="135"/>
      <c r="L397" s="135"/>
    </row>
    <row r="398" customFormat="false" ht="15.75" hidden="false" customHeight="true" outlineLevel="0" collapsed="false">
      <c r="A398" s="135"/>
      <c r="B398" s="135"/>
      <c r="C398" s="135"/>
      <c r="D398" s="135"/>
      <c r="E398" s="135"/>
      <c r="F398" s="135"/>
      <c r="G398" s="135"/>
      <c r="H398" s="135"/>
      <c r="I398" s="182"/>
      <c r="J398" s="135"/>
      <c r="K398" s="135"/>
      <c r="L398" s="135"/>
    </row>
    <row r="399" customFormat="false" ht="15.75" hidden="false" customHeight="true" outlineLevel="0" collapsed="false">
      <c r="A399" s="135"/>
      <c r="B399" s="135"/>
      <c r="C399" s="135"/>
      <c r="D399" s="135"/>
      <c r="E399" s="135"/>
      <c r="F399" s="135"/>
      <c r="G399" s="135"/>
      <c r="H399" s="135"/>
      <c r="I399" s="182"/>
      <c r="J399" s="135"/>
      <c r="K399" s="135"/>
      <c r="L399" s="135"/>
    </row>
    <row r="400" customFormat="false" ht="15.75" hidden="false" customHeight="true" outlineLevel="0" collapsed="false">
      <c r="A400" s="135"/>
      <c r="B400" s="135"/>
      <c r="C400" s="135"/>
      <c r="D400" s="135"/>
      <c r="E400" s="135"/>
      <c r="F400" s="135"/>
      <c r="G400" s="135"/>
      <c r="H400" s="135"/>
      <c r="I400" s="182"/>
      <c r="J400" s="135"/>
      <c r="K400" s="135"/>
      <c r="L400" s="135"/>
    </row>
    <row r="401" customFormat="false" ht="15.75" hidden="false" customHeight="true" outlineLevel="0" collapsed="false">
      <c r="A401" s="135"/>
      <c r="B401" s="135"/>
      <c r="C401" s="135"/>
      <c r="D401" s="135"/>
      <c r="E401" s="135"/>
      <c r="F401" s="135"/>
      <c r="G401" s="135"/>
      <c r="H401" s="135"/>
      <c r="I401" s="182"/>
      <c r="J401" s="135"/>
      <c r="K401" s="135"/>
      <c r="L401" s="135"/>
    </row>
    <row r="402" customFormat="false" ht="15.75" hidden="false" customHeight="true" outlineLevel="0" collapsed="false">
      <c r="A402" s="135"/>
      <c r="B402" s="135"/>
      <c r="C402" s="135"/>
      <c r="D402" s="135"/>
      <c r="E402" s="135"/>
      <c r="F402" s="135"/>
      <c r="G402" s="135"/>
      <c r="H402" s="135"/>
      <c r="I402" s="182"/>
      <c r="J402" s="135"/>
      <c r="K402" s="135"/>
      <c r="L402" s="135"/>
    </row>
    <row r="403" customFormat="false" ht="15.75" hidden="false" customHeight="true" outlineLevel="0" collapsed="false">
      <c r="A403" s="135"/>
      <c r="B403" s="135"/>
      <c r="C403" s="135"/>
      <c r="D403" s="135"/>
      <c r="E403" s="135"/>
      <c r="F403" s="135"/>
      <c r="G403" s="135"/>
      <c r="H403" s="135"/>
      <c r="I403" s="182"/>
      <c r="J403" s="135"/>
      <c r="K403" s="135"/>
      <c r="L403" s="135"/>
    </row>
    <row r="404" customFormat="false" ht="15.75" hidden="false" customHeight="true" outlineLevel="0" collapsed="false">
      <c r="A404" s="135"/>
      <c r="B404" s="135"/>
      <c r="C404" s="135"/>
      <c r="D404" s="135"/>
      <c r="E404" s="135"/>
      <c r="F404" s="135"/>
      <c r="G404" s="135"/>
      <c r="H404" s="135"/>
      <c r="I404" s="182"/>
      <c r="J404" s="135"/>
      <c r="K404" s="135"/>
      <c r="L404" s="135"/>
    </row>
    <row r="405" customFormat="false" ht="15.75" hidden="false" customHeight="true" outlineLevel="0" collapsed="false">
      <c r="A405" s="135"/>
      <c r="B405" s="135"/>
      <c r="C405" s="135"/>
      <c r="D405" s="135"/>
      <c r="E405" s="135"/>
      <c r="F405" s="135"/>
      <c r="G405" s="135"/>
      <c r="H405" s="135"/>
      <c r="I405" s="182"/>
      <c r="J405" s="135"/>
      <c r="K405" s="135"/>
      <c r="L405" s="135"/>
    </row>
    <row r="406" customFormat="false" ht="15.75" hidden="false" customHeight="true" outlineLevel="0" collapsed="false">
      <c r="A406" s="135"/>
      <c r="B406" s="135"/>
      <c r="C406" s="135"/>
      <c r="D406" s="135"/>
      <c r="E406" s="135"/>
      <c r="F406" s="135"/>
      <c r="G406" s="135"/>
      <c r="H406" s="135"/>
      <c r="I406" s="182"/>
      <c r="J406" s="135"/>
      <c r="K406" s="135"/>
      <c r="L406" s="135"/>
    </row>
    <row r="407" customFormat="false" ht="15.75" hidden="false" customHeight="true" outlineLevel="0" collapsed="false">
      <c r="A407" s="135"/>
      <c r="B407" s="135"/>
      <c r="C407" s="135"/>
      <c r="D407" s="135"/>
      <c r="E407" s="135"/>
      <c r="F407" s="135"/>
      <c r="G407" s="135"/>
      <c r="H407" s="135"/>
      <c r="I407" s="182"/>
      <c r="J407" s="135"/>
      <c r="K407" s="135"/>
      <c r="L407" s="135"/>
    </row>
    <row r="408" customFormat="false" ht="15.75" hidden="false" customHeight="true" outlineLevel="0" collapsed="false">
      <c r="A408" s="135"/>
      <c r="B408" s="135"/>
      <c r="C408" s="135"/>
      <c r="D408" s="135"/>
      <c r="E408" s="135"/>
      <c r="F408" s="135"/>
      <c r="G408" s="135"/>
      <c r="H408" s="135"/>
      <c r="I408" s="182"/>
      <c r="J408" s="135"/>
      <c r="K408" s="135"/>
      <c r="L408" s="135"/>
    </row>
    <row r="409" customFormat="false" ht="15.75" hidden="false" customHeight="true" outlineLevel="0" collapsed="false">
      <c r="A409" s="135"/>
      <c r="B409" s="135"/>
      <c r="C409" s="135"/>
      <c r="D409" s="135"/>
      <c r="E409" s="135"/>
      <c r="F409" s="135"/>
      <c r="G409" s="135"/>
      <c r="H409" s="135"/>
      <c r="I409" s="182"/>
      <c r="J409" s="135"/>
      <c r="K409" s="135"/>
      <c r="L409" s="135"/>
    </row>
    <row r="410" customFormat="false" ht="15.75" hidden="false" customHeight="true" outlineLevel="0" collapsed="false">
      <c r="A410" s="135"/>
      <c r="B410" s="135"/>
      <c r="C410" s="135"/>
      <c r="D410" s="135"/>
      <c r="E410" s="135"/>
      <c r="F410" s="135"/>
      <c r="G410" s="135"/>
      <c r="H410" s="135"/>
      <c r="I410" s="182"/>
      <c r="J410" s="135"/>
      <c r="K410" s="135"/>
      <c r="L410" s="135"/>
    </row>
    <row r="411" customFormat="false" ht="15.75" hidden="false" customHeight="true" outlineLevel="0" collapsed="false">
      <c r="A411" s="135"/>
      <c r="B411" s="135"/>
      <c r="C411" s="135"/>
      <c r="D411" s="135"/>
      <c r="E411" s="135"/>
      <c r="F411" s="135"/>
      <c r="G411" s="135"/>
      <c r="H411" s="135"/>
      <c r="I411" s="182"/>
      <c r="J411" s="135"/>
      <c r="K411" s="135"/>
      <c r="L411" s="135"/>
    </row>
    <row r="412" customFormat="false" ht="15.75" hidden="false" customHeight="true" outlineLevel="0" collapsed="false">
      <c r="A412" s="135"/>
      <c r="B412" s="135"/>
      <c r="C412" s="135"/>
      <c r="D412" s="135"/>
      <c r="E412" s="135"/>
      <c r="F412" s="135"/>
      <c r="G412" s="135"/>
      <c r="H412" s="135"/>
      <c r="I412" s="182"/>
      <c r="J412" s="135"/>
      <c r="K412" s="135"/>
      <c r="L412" s="135"/>
    </row>
    <row r="413" customFormat="false" ht="15.75" hidden="false" customHeight="true" outlineLevel="0" collapsed="false">
      <c r="A413" s="135"/>
      <c r="B413" s="135"/>
      <c r="C413" s="135"/>
      <c r="D413" s="135"/>
      <c r="E413" s="135"/>
      <c r="F413" s="135"/>
      <c r="G413" s="135"/>
      <c r="H413" s="135"/>
      <c r="I413" s="182"/>
      <c r="J413" s="135"/>
      <c r="K413" s="135"/>
      <c r="L413" s="135"/>
    </row>
    <row r="414" customFormat="false" ht="15.75" hidden="false" customHeight="true" outlineLevel="0" collapsed="false">
      <c r="A414" s="135"/>
      <c r="B414" s="135"/>
      <c r="C414" s="135"/>
      <c r="D414" s="135"/>
      <c r="E414" s="135"/>
      <c r="F414" s="135"/>
      <c r="G414" s="135"/>
      <c r="H414" s="135"/>
      <c r="I414" s="182"/>
      <c r="J414" s="135"/>
      <c r="K414" s="135"/>
      <c r="L414" s="135"/>
    </row>
    <row r="415" customFormat="false" ht="15.75" hidden="false" customHeight="true" outlineLevel="0" collapsed="false">
      <c r="A415" s="135"/>
      <c r="B415" s="135"/>
      <c r="C415" s="135"/>
      <c r="D415" s="135"/>
      <c r="E415" s="135"/>
      <c r="F415" s="135"/>
      <c r="G415" s="135"/>
      <c r="H415" s="135"/>
      <c r="I415" s="182"/>
      <c r="J415" s="135"/>
      <c r="K415" s="135"/>
      <c r="L415" s="135"/>
    </row>
    <row r="416" customFormat="false" ht="15.75" hidden="false" customHeight="true" outlineLevel="0" collapsed="false">
      <c r="A416" s="135"/>
      <c r="B416" s="135"/>
      <c r="C416" s="135"/>
      <c r="D416" s="135"/>
      <c r="E416" s="135"/>
      <c r="F416" s="135"/>
      <c r="G416" s="135"/>
      <c r="H416" s="135"/>
      <c r="I416" s="182"/>
      <c r="J416" s="135"/>
      <c r="K416" s="135"/>
      <c r="L416" s="135"/>
    </row>
    <row r="417" customFormat="false" ht="15.75" hidden="false" customHeight="true" outlineLevel="0" collapsed="false">
      <c r="A417" s="135"/>
      <c r="B417" s="135"/>
      <c r="C417" s="135"/>
      <c r="D417" s="135"/>
      <c r="E417" s="135"/>
      <c r="F417" s="135"/>
      <c r="G417" s="135"/>
      <c r="H417" s="135"/>
      <c r="I417" s="182"/>
      <c r="J417" s="135"/>
      <c r="K417" s="135"/>
      <c r="L417" s="135"/>
    </row>
    <row r="418" customFormat="false" ht="15.75" hidden="false" customHeight="true" outlineLevel="0" collapsed="false">
      <c r="A418" s="135"/>
      <c r="B418" s="135"/>
      <c r="C418" s="135"/>
      <c r="D418" s="135"/>
      <c r="E418" s="135"/>
      <c r="F418" s="135"/>
      <c r="G418" s="135"/>
      <c r="H418" s="135"/>
      <c r="I418" s="182"/>
      <c r="J418" s="135"/>
      <c r="K418" s="135"/>
      <c r="L418" s="135"/>
    </row>
    <row r="419" customFormat="false" ht="15.75" hidden="false" customHeight="true" outlineLevel="0" collapsed="false">
      <c r="A419" s="135"/>
      <c r="B419" s="135"/>
      <c r="C419" s="135"/>
      <c r="D419" s="135"/>
      <c r="E419" s="135"/>
      <c r="F419" s="135"/>
      <c r="G419" s="135"/>
      <c r="H419" s="135"/>
      <c r="I419" s="182"/>
      <c r="J419" s="135"/>
      <c r="K419" s="135"/>
      <c r="L419" s="135"/>
    </row>
    <row r="420" customFormat="false" ht="15.75" hidden="false" customHeight="true" outlineLevel="0" collapsed="false">
      <c r="A420" s="135"/>
      <c r="B420" s="135"/>
      <c r="C420" s="135"/>
      <c r="D420" s="135"/>
      <c r="E420" s="135"/>
      <c r="F420" s="135"/>
      <c r="G420" s="135"/>
      <c r="H420" s="135"/>
      <c r="I420" s="182"/>
      <c r="J420" s="135"/>
      <c r="K420" s="135"/>
      <c r="L420" s="135"/>
    </row>
    <row r="421" customFormat="false" ht="15.75" hidden="false" customHeight="true" outlineLevel="0" collapsed="false">
      <c r="A421" s="135"/>
      <c r="B421" s="135"/>
      <c r="C421" s="135"/>
      <c r="D421" s="135"/>
      <c r="E421" s="135"/>
      <c r="F421" s="135"/>
      <c r="G421" s="135"/>
      <c r="H421" s="135"/>
      <c r="I421" s="182"/>
      <c r="J421" s="135"/>
      <c r="K421" s="135"/>
      <c r="L421" s="135"/>
    </row>
    <row r="422" customFormat="false" ht="15.75" hidden="false" customHeight="true" outlineLevel="0" collapsed="false">
      <c r="A422" s="135"/>
      <c r="B422" s="135"/>
      <c r="C422" s="135"/>
      <c r="D422" s="135"/>
      <c r="E422" s="135"/>
      <c r="F422" s="135"/>
      <c r="G422" s="135"/>
      <c r="H422" s="135"/>
      <c r="I422" s="182"/>
      <c r="J422" s="135"/>
      <c r="K422" s="135"/>
      <c r="L422" s="135"/>
    </row>
    <row r="423" customFormat="false" ht="15.75" hidden="false" customHeight="true" outlineLevel="0" collapsed="false">
      <c r="A423" s="135"/>
      <c r="B423" s="135"/>
      <c r="C423" s="135"/>
      <c r="D423" s="135"/>
      <c r="E423" s="135"/>
      <c r="F423" s="135"/>
      <c r="G423" s="135"/>
      <c r="H423" s="135"/>
      <c r="I423" s="182"/>
      <c r="J423" s="135"/>
      <c r="K423" s="135"/>
      <c r="L423" s="135"/>
    </row>
    <row r="424" customFormat="false" ht="15.75" hidden="false" customHeight="true" outlineLevel="0" collapsed="false">
      <c r="A424" s="135"/>
      <c r="B424" s="135"/>
      <c r="C424" s="135"/>
      <c r="D424" s="135"/>
      <c r="E424" s="135"/>
      <c r="F424" s="135"/>
      <c r="G424" s="135"/>
      <c r="H424" s="135"/>
      <c r="I424" s="182"/>
      <c r="J424" s="135"/>
      <c r="K424" s="135"/>
      <c r="L424" s="135"/>
    </row>
    <row r="425" customFormat="false" ht="15.75" hidden="false" customHeight="true" outlineLevel="0" collapsed="false">
      <c r="A425" s="135"/>
      <c r="B425" s="135"/>
      <c r="C425" s="135"/>
      <c r="D425" s="135"/>
      <c r="E425" s="135"/>
      <c r="F425" s="135"/>
      <c r="G425" s="135"/>
      <c r="H425" s="135"/>
      <c r="I425" s="182"/>
      <c r="J425" s="135"/>
      <c r="K425" s="135"/>
      <c r="L425" s="135"/>
    </row>
    <row r="426" customFormat="false" ht="15.75" hidden="false" customHeight="true" outlineLevel="0" collapsed="false">
      <c r="A426" s="135"/>
      <c r="B426" s="135"/>
      <c r="C426" s="135"/>
      <c r="D426" s="135"/>
      <c r="E426" s="135"/>
      <c r="F426" s="135"/>
      <c r="G426" s="135"/>
      <c r="H426" s="135"/>
      <c r="I426" s="182"/>
      <c r="J426" s="135"/>
      <c r="K426" s="135"/>
      <c r="L426" s="135"/>
    </row>
    <row r="427" customFormat="false" ht="15.75" hidden="false" customHeight="true" outlineLevel="0" collapsed="false">
      <c r="A427" s="135"/>
      <c r="B427" s="135"/>
      <c r="C427" s="135"/>
      <c r="D427" s="135"/>
      <c r="E427" s="135"/>
      <c r="F427" s="135"/>
      <c r="G427" s="135"/>
      <c r="H427" s="135"/>
      <c r="I427" s="182"/>
      <c r="J427" s="135"/>
      <c r="K427" s="135"/>
      <c r="L427" s="135"/>
    </row>
    <row r="428" customFormat="false" ht="15.75" hidden="false" customHeight="true" outlineLevel="0" collapsed="false">
      <c r="A428" s="135"/>
      <c r="B428" s="135"/>
      <c r="C428" s="135"/>
      <c r="D428" s="135"/>
      <c r="E428" s="135"/>
      <c r="F428" s="135"/>
      <c r="G428" s="135"/>
      <c r="H428" s="135"/>
      <c r="I428" s="182"/>
      <c r="J428" s="135"/>
      <c r="K428" s="135"/>
      <c r="L428" s="135"/>
    </row>
    <row r="429" customFormat="false" ht="15.75" hidden="false" customHeight="true" outlineLevel="0" collapsed="false">
      <c r="A429" s="135"/>
      <c r="B429" s="135"/>
      <c r="C429" s="135"/>
      <c r="D429" s="135"/>
      <c r="E429" s="135"/>
      <c r="F429" s="135"/>
      <c r="G429" s="135"/>
      <c r="H429" s="135"/>
      <c r="I429" s="182"/>
      <c r="J429" s="135"/>
      <c r="K429" s="135"/>
      <c r="L429" s="135"/>
    </row>
    <row r="430" customFormat="false" ht="15.75" hidden="false" customHeight="true" outlineLevel="0" collapsed="false">
      <c r="A430" s="135"/>
      <c r="B430" s="135"/>
      <c r="C430" s="135"/>
      <c r="D430" s="135"/>
      <c r="E430" s="135"/>
      <c r="F430" s="135"/>
      <c r="G430" s="135"/>
      <c r="H430" s="135"/>
      <c r="I430" s="182"/>
      <c r="J430" s="135"/>
      <c r="K430" s="135"/>
      <c r="L430" s="135"/>
    </row>
    <row r="431" customFormat="false" ht="15.75" hidden="false" customHeight="true" outlineLevel="0" collapsed="false">
      <c r="A431" s="135"/>
      <c r="B431" s="135"/>
      <c r="C431" s="135"/>
      <c r="D431" s="135"/>
      <c r="E431" s="135"/>
      <c r="F431" s="135"/>
      <c r="G431" s="135"/>
      <c r="H431" s="135"/>
      <c r="I431" s="182"/>
      <c r="J431" s="135"/>
      <c r="K431" s="135"/>
      <c r="L431" s="135"/>
    </row>
    <row r="432" customFormat="false" ht="15.75" hidden="false" customHeight="true" outlineLevel="0" collapsed="false">
      <c r="A432" s="135"/>
      <c r="B432" s="135"/>
      <c r="C432" s="135"/>
      <c r="D432" s="135"/>
      <c r="E432" s="135"/>
      <c r="F432" s="135"/>
      <c r="G432" s="135"/>
      <c r="H432" s="135"/>
      <c r="I432" s="182"/>
      <c r="J432" s="135"/>
      <c r="K432" s="135"/>
      <c r="L432" s="135"/>
    </row>
    <row r="433" customFormat="false" ht="15.75" hidden="false" customHeight="true" outlineLevel="0" collapsed="false">
      <c r="A433" s="135"/>
      <c r="B433" s="135"/>
      <c r="C433" s="135"/>
      <c r="D433" s="135"/>
      <c r="E433" s="135"/>
      <c r="F433" s="135"/>
      <c r="G433" s="135"/>
      <c r="H433" s="135"/>
      <c r="I433" s="182"/>
      <c r="J433" s="135"/>
      <c r="K433" s="135"/>
      <c r="L433" s="135"/>
    </row>
    <row r="434" customFormat="false" ht="15.75" hidden="false" customHeight="true" outlineLevel="0" collapsed="false">
      <c r="A434" s="135"/>
      <c r="B434" s="135"/>
      <c r="C434" s="135"/>
      <c r="D434" s="135"/>
      <c r="E434" s="135"/>
      <c r="F434" s="135"/>
      <c r="G434" s="135"/>
      <c r="H434" s="135"/>
      <c r="I434" s="182"/>
      <c r="J434" s="135"/>
      <c r="K434" s="135"/>
      <c r="L434" s="135"/>
    </row>
    <row r="435" customFormat="false" ht="15.75" hidden="false" customHeight="true" outlineLevel="0" collapsed="false">
      <c r="A435" s="135"/>
      <c r="B435" s="135"/>
      <c r="C435" s="135"/>
      <c r="D435" s="135"/>
      <c r="E435" s="135"/>
      <c r="F435" s="135"/>
      <c r="G435" s="135"/>
      <c r="H435" s="135"/>
      <c r="I435" s="182"/>
      <c r="J435" s="135"/>
      <c r="K435" s="135"/>
      <c r="L435" s="135"/>
    </row>
    <row r="436" customFormat="false" ht="15.75" hidden="false" customHeight="true" outlineLevel="0" collapsed="false">
      <c r="A436" s="135"/>
      <c r="B436" s="135"/>
      <c r="C436" s="135"/>
      <c r="D436" s="135"/>
      <c r="E436" s="135"/>
      <c r="F436" s="135"/>
      <c r="G436" s="135"/>
      <c r="H436" s="135"/>
      <c r="I436" s="182"/>
      <c r="J436" s="135"/>
      <c r="K436" s="135"/>
      <c r="L436" s="135"/>
    </row>
    <row r="437" customFormat="false" ht="15.75" hidden="false" customHeight="true" outlineLevel="0" collapsed="false">
      <c r="A437" s="135"/>
      <c r="B437" s="135"/>
      <c r="C437" s="135"/>
      <c r="D437" s="135"/>
      <c r="E437" s="135"/>
      <c r="F437" s="135"/>
      <c r="G437" s="135"/>
      <c r="H437" s="135"/>
      <c r="I437" s="182"/>
      <c r="J437" s="135"/>
      <c r="K437" s="135"/>
      <c r="L437" s="135"/>
    </row>
    <row r="438" customFormat="false" ht="15.75" hidden="false" customHeight="true" outlineLevel="0" collapsed="false">
      <c r="A438" s="135"/>
      <c r="B438" s="135"/>
      <c r="C438" s="135"/>
      <c r="D438" s="135"/>
      <c r="E438" s="135"/>
      <c r="F438" s="135"/>
      <c r="G438" s="135"/>
      <c r="H438" s="135"/>
      <c r="I438" s="182"/>
      <c r="J438" s="135"/>
      <c r="K438" s="135"/>
      <c r="L438" s="135"/>
    </row>
    <row r="439" customFormat="false" ht="15.75" hidden="false" customHeight="true" outlineLevel="0" collapsed="false">
      <c r="A439" s="135"/>
      <c r="B439" s="135"/>
      <c r="C439" s="135"/>
      <c r="D439" s="135"/>
      <c r="E439" s="135"/>
      <c r="F439" s="135"/>
      <c r="G439" s="135"/>
      <c r="H439" s="135"/>
      <c r="I439" s="182"/>
      <c r="J439" s="135"/>
      <c r="K439" s="135"/>
      <c r="L439" s="135"/>
    </row>
    <row r="440" customFormat="false" ht="15.75" hidden="false" customHeight="true" outlineLevel="0" collapsed="false">
      <c r="A440" s="135"/>
      <c r="B440" s="135"/>
      <c r="C440" s="135"/>
      <c r="D440" s="135"/>
      <c r="E440" s="135"/>
      <c r="F440" s="135"/>
      <c r="G440" s="135"/>
      <c r="H440" s="135"/>
      <c r="I440" s="182"/>
      <c r="J440" s="135"/>
      <c r="K440" s="135"/>
      <c r="L440" s="135"/>
    </row>
    <row r="441" customFormat="false" ht="15.75" hidden="false" customHeight="true" outlineLevel="0" collapsed="false">
      <c r="A441" s="135"/>
      <c r="B441" s="135"/>
      <c r="C441" s="135"/>
      <c r="D441" s="135"/>
      <c r="E441" s="135"/>
      <c r="F441" s="135"/>
      <c r="G441" s="135"/>
      <c r="H441" s="135"/>
      <c r="I441" s="182"/>
      <c r="J441" s="135"/>
      <c r="K441" s="135"/>
      <c r="L441" s="135"/>
    </row>
    <row r="442" customFormat="false" ht="15.75" hidden="false" customHeight="true" outlineLevel="0" collapsed="false">
      <c r="A442" s="135"/>
      <c r="B442" s="135"/>
      <c r="C442" s="135"/>
      <c r="D442" s="135"/>
      <c r="E442" s="135"/>
      <c r="F442" s="135"/>
      <c r="G442" s="135"/>
      <c r="H442" s="135"/>
      <c r="I442" s="182"/>
      <c r="J442" s="135"/>
      <c r="K442" s="135"/>
      <c r="L442" s="135"/>
    </row>
    <row r="443" customFormat="false" ht="15.75" hidden="false" customHeight="true" outlineLevel="0" collapsed="false">
      <c r="A443" s="135"/>
      <c r="B443" s="135"/>
      <c r="C443" s="135"/>
      <c r="D443" s="135"/>
      <c r="E443" s="135"/>
      <c r="F443" s="135"/>
      <c r="G443" s="135"/>
      <c r="H443" s="135"/>
      <c r="I443" s="182"/>
      <c r="J443" s="135"/>
      <c r="K443" s="135"/>
      <c r="L443" s="135"/>
    </row>
    <row r="444" customFormat="false" ht="15.75" hidden="false" customHeight="true" outlineLevel="0" collapsed="false">
      <c r="A444" s="135"/>
      <c r="B444" s="135"/>
      <c r="C444" s="135"/>
      <c r="D444" s="135"/>
      <c r="E444" s="135"/>
      <c r="F444" s="135"/>
      <c r="G444" s="135"/>
      <c r="H444" s="135"/>
      <c r="I444" s="182"/>
      <c r="J444" s="135"/>
      <c r="K444" s="135"/>
      <c r="L444" s="135"/>
    </row>
    <row r="445" customFormat="false" ht="15.75" hidden="false" customHeight="true" outlineLevel="0" collapsed="false">
      <c r="A445" s="135"/>
      <c r="B445" s="135"/>
      <c r="C445" s="135"/>
      <c r="D445" s="135"/>
      <c r="E445" s="135"/>
      <c r="F445" s="135"/>
      <c r="G445" s="135"/>
      <c r="H445" s="135"/>
      <c r="I445" s="182"/>
      <c r="J445" s="135"/>
      <c r="K445" s="135"/>
      <c r="L445" s="135"/>
    </row>
    <row r="446" customFormat="false" ht="15.75" hidden="false" customHeight="true" outlineLevel="0" collapsed="false">
      <c r="A446" s="135"/>
      <c r="B446" s="135"/>
      <c r="C446" s="135"/>
      <c r="D446" s="135"/>
      <c r="E446" s="135"/>
      <c r="F446" s="135"/>
      <c r="G446" s="135"/>
      <c r="H446" s="135"/>
      <c r="I446" s="182"/>
      <c r="J446" s="135"/>
      <c r="K446" s="135"/>
      <c r="L446" s="135"/>
    </row>
    <row r="447" customFormat="false" ht="15.75" hidden="false" customHeight="true" outlineLevel="0" collapsed="false">
      <c r="A447" s="135"/>
      <c r="B447" s="135"/>
      <c r="C447" s="135"/>
      <c r="D447" s="135"/>
      <c r="E447" s="135"/>
      <c r="F447" s="135"/>
      <c r="G447" s="135"/>
      <c r="H447" s="135"/>
      <c r="I447" s="182"/>
      <c r="J447" s="135"/>
      <c r="K447" s="135"/>
      <c r="L447" s="135"/>
    </row>
    <row r="448" customFormat="false" ht="15.75" hidden="false" customHeight="true" outlineLevel="0" collapsed="false">
      <c r="A448" s="135"/>
      <c r="B448" s="135"/>
      <c r="C448" s="135"/>
      <c r="D448" s="135"/>
      <c r="E448" s="135"/>
      <c r="F448" s="135"/>
      <c r="G448" s="135"/>
      <c r="H448" s="135"/>
      <c r="I448" s="182"/>
      <c r="J448" s="135"/>
      <c r="K448" s="135"/>
      <c r="L448" s="135"/>
    </row>
    <row r="449" customFormat="false" ht="15.75" hidden="false" customHeight="true" outlineLevel="0" collapsed="false">
      <c r="A449" s="135"/>
      <c r="B449" s="135"/>
      <c r="C449" s="135"/>
      <c r="D449" s="135"/>
      <c r="E449" s="135"/>
      <c r="F449" s="135"/>
      <c r="G449" s="135"/>
      <c r="H449" s="135"/>
      <c r="I449" s="182"/>
      <c r="J449" s="135"/>
      <c r="K449" s="135"/>
      <c r="L449" s="135"/>
    </row>
    <row r="450" customFormat="false" ht="15.75" hidden="false" customHeight="true" outlineLevel="0" collapsed="false">
      <c r="A450" s="135"/>
      <c r="B450" s="135"/>
      <c r="C450" s="135"/>
      <c r="D450" s="135"/>
      <c r="E450" s="135"/>
      <c r="F450" s="135"/>
      <c r="G450" s="135"/>
      <c r="H450" s="135"/>
      <c r="I450" s="182"/>
      <c r="J450" s="135"/>
      <c r="K450" s="135"/>
      <c r="L450" s="135"/>
    </row>
    <row r="451" customFormat="false" ht="15.75" hidden="false" customHeight="true" outlineLevel="0" collapsed="false">
      <c r="A451" s="135"/>
      <c r="B451" s="135"/>
      <c r="C451" s="135"/>
      <c r="D451" s="135"/>
      <c r="E451" s="135"/>
      <c r="F451" s="135"/>
      <c r="G451" s="135"/>
      <c r="H451" s="135"/>
      <c r="I451" s="182"/>
      <c r="J451" s="135"/>
      <c r="K451" s="135"/>
      <c r="L451" s="135"/>
    </row>
    <row r="452" customFormat="false" ht="15.75" hidden="false" customHeight="true" outlineLevel="0" collapsed="false">
      <c r="A452" s="135"/>
      <c r="B452" s="135"/>
      <c r="C452" s="135"/>
      <c r="D452" s="135"/>
      <c r="E452" s="135"/>
      <c r="F452" s="135"/>
      <c r="G452" s="135"/>
      <c r="H452" s="135"/>
      <c r="I452" s="182"/>
      <c r="J452" s="135"/>
      <c r="K452" s="135"/>
      <c r="L452" s="135"/>
    </row>
    <row r="453" customFormat="false" ht="15.75" hidden="false" customHeight="true" outlineLevel="0" collapsed="false">
      <c r="A453" s="135"/>
      <c r="B453" s="135"/>
      <c r="C453" s="135"/>
      <c r="D453" s="135"/>
      <c r="E453" s="135"/>
      <c r="F453" s="135"/>
      <c r="G453" s="135"/>
      <c r="H453" s="135"/>
      <c r="I453" s="182"/>
      <c r="J453" s="135"/>
      <c r="K453" s="135"/>
      <c r="L453" s="135"/>
    </row>
    <row r="454" customFormat="false" ht="15.75" hidden="false" customHeight="true" outlineLevel="0" collapsed="false">
      <c r="A454" s="135"/>
      <c r="B454" s="135"/>
      <c r="C454" s="135"/>
      <c r="D454" s="135"/>
      <c r="E454" s="135"/>
      <c r="F454" s="135"/>
      <c r="G454" s="135"/>
      <c r="H454" s="135"/>
      <c r="I454" s="182"/>
      <c r="J454" s="135"/>
      <c r="K454" s="135"/>
      <c r="L454" s="135"/>
    </row>
    <row r="455" customFormat="false" ht="15.75" hidden="false" customHeight="true" outlineLevel="0" collapsed="false">
      <c r="A455" s="135"/>
      <c r="B455" s="135"/>
      <c r="C455" s="135"/>
      <c r="D455" s="135"/>
      <c r="E455" s="135"/>
      <c r="F455" s="135"/>
      <c r="G455" s="135"/>
      <c r="H455" s="135"/>
      <c r="I455" s="182"/>
      <c r="J455" s="135"/>
      <c r="K455" s="135"/>
      <c r="L455" s="135"/>
    </row>
    <row r="456" customFormat="false" ht="15.75" hidden="false" customHeight="true" outlineLevel="0" collapsed="false">
      <c r="A456" s="135"/>
      <c r="B456" s="135"/>
      <c r="C456" s="135"/>
      <c r="D456" s="135"/>
      <c r="E456" s="135"/>
      <c r="F456" s="135"/>
      <c r="G456" s="135"/>
      <c r="H456" s="135"/>
      <c r="I456" s="182"/>
      <c r="J456" s="135"/>
      <c r="K456" s="135"/>
      <c r="L456" s="135"/>
    </row>
    <row r="457" customFormat="false" ht="15.75" hidden="false" customHeight="true" outlineLevel="0" collapsed="false">
      <c r="A457" s="135"/>
      <c r="B457" s="135"/>
      <c r="C457" s="135"/>
      <c r="D457" s="135"/>
      <c r="E457" s="135"/>
      <c r="F457" s="135"/>
      <c r="G457" s="135"/>
      <c r="H457" s="135"/>
      <c r="I457" s="182"/>
      <c r="J457" s="135"/>
      <c r="K457" s="135"/>
      <c r="L457" s="135"/>
    </row>
    <row r="458" customFormat="false" ht="15.75" hidden="false" customHeight="true" outlineLevel="0" collapsed="false">
      <c r="A458" s="135"/>
      <c r="B458" s="135"/>
      <c r="C458" s="135"/>
      <c r="D458" s="135"/>
      <c r="E458" s="135"/>
      <c r="F458" s="135"/>
      <c r="G458" s="135"/>
      <c r="H458" s="135"/>
      <c r="I458" s="182"/>
      <c r="J458" s="135"/>
      <c r="K458" s="135"/>
      <c r="L458" s="135"/>
    </row>
    <row r="459" customFormat="false" ht="15.75" hidden="false" customHeight="true" outlineLevel="0" collapsed="false">
      <c r="A459" s="135"/>
      <c r="B459" s="135"/>
      <c r="C459" s="135"/>
      <c r="D459" s="135"/>
      <c r="E459" s="135"/>
      <c r="F459" s="135"/>
      <c r="G459" s="135"/>
      <c r="H459" s="135"/>
      <c r="I459" s="182"/>
      <c r="J459" s="135"/>
      <c r="K459" s="135"/>
      <c r="L459" s="135"/>
    </row>
    <row r="460" customFormat="false" ht="15.75" hidden="false" customHeight="true" outlineLevel="0" collapsed="false">
      <c r="A460" s="135"/>
      <c r="B460" s="135"/>
      <c r="C460" s="135"/>
      <c r="D460" s="135"/>
      <c r="E460" s="135"/>
      <c r="F460" s="135"/>
      <c r="G460" s="135"/>
      <c r="H460" s="135"/>
      <c r="I460" s="182"/>
      <c r="J460" s="135"/>
      <c r="K460" s="135"/>
      <c r="L460" s="135"/>
    </row>
    <row r="461" customFormat="false" ht="15.75" hidden="false" customHeight="true" outlineLevel="0" collapsed="false">
      <c r="A461" s="135"/>
      <c r="B461" s="135"/>
      <c r="C461" s="135"/>
      <c r="D461" s="135"/>
      <c r="E461" s="135"/>
      <c r="F461" s="135"/>
      <c r="G461" s="135"/>
      <c r="H461" s="135"/>
      <c r="I461" s="182"/>
      <c r="J461" s="135"/>
      <c r="K461" s="135"/>
      <c r="L461" s="135"/>
    </row>
    <row r="462" customFormat="false" ht="15.75" hidden="false" customHeight="true" outlineLevel="0" collapsed="false">
      <c r="A462" s="135"/>
      <c r="B462" s="135"/>
      <c r="C462" s="135"/>
      <c r="D462" s="135"/>
      <c r="E462" s="135"/>
      <c r="F462" s="135"/>
      <c r="G462" s="135"/>
      <c r="H462" s="135"/>
      <c r="I462" s="182"/>
      <c r="J462" s="135"/>
      <c r="K462" s="135"/>
      <c r="L462" s="135"/>
    </row>
    <row r="463" customFormat="false" ht="15.75" hidden="false" customHeight="true" outlineLevel="0" collapsed="false">
      <c r="A463" s="135"/>
      <c r="B463" s="135"/>
      <c r="C463" s="135"/>
      <c r="D463" s="135"/>
      <c r="E463" s="135"/>
      <c r="F463" s="135"/>
      <c r="G463" s="135"/>
      <c r="H463" s="135"/>
      <c r="I463" s="182"/>
      <c r="J463" s="135"/>
      <c r="K463" s="135"/>
      <c r="L463" s="135"/>
    </row>
    <row r="464" customFormat="false" ht="15.75" hidden="false" customHeight="true" outlineLevel="0" collapsed="false">
      <c r="A464" s="135"/>
      <c r="B464" s="135"/>
      <c r="C464" s="135"/>
      <c r="D464" s="135"/>
      <c r="E464" s="135"/>
      <c r="F464" s="135"/>
      <c r="G464" s="135"/>
      <c r="H464" s="135"/>
      <c r="I464" s="182"/>
      <c r="J464" s="135"/>
      <c r="K464" s="135"/>
      <c r="L464" s="135"/>
    </row>
    <row r="465" customFormat="false" ht="15.75" hidden="false" customHeight="true" outlineLevel="0" collapsed="false">
      <c r="A465" s="135"/>
      <c r="B465" s="135"/>
      <c r="C465" s="135"/>
      <c r="D465" s="135"/>
      <c r="E465" s="135"/>
      <c r="F465" s="135"/>
      <c r="G465" s="135"/>
      <c r="H465" s="135"/>
      <c r="I465" s="182"/>
      <c r="J465" s="135"/>
      <c r="K465" s="135"/>
      <c r="L465" s="135"/>
    </row>
    <row r="466" customFormat="false" ht="15.75" hidden="false" customHeight="true" outlineLevel="0" collapsed="false">
      <c r="A466" s="135"/>
      <c r="B466" s="135"/>
      <c r="C466" s="135"/>
      <c r="D466" s="135"/>
      <c r="E466" s="135"/>
      <c r="F466" s="135"/>
      <c r="G466" s="135"/>
      <c r="H466" s="135"/>
      <c r="I466" s="182"/>
      <c r="J466" s="135"/>
      <c r="K466" s="135"/>
      <c r="L466" s="135"/>
    </row>
    <row r="467" customFormat="false" ht="15.75" hidden="false" customHeight="true" outlineLevel="0" collapsed="false">
      <c r="A467" s="135"/>
      <c r="B467" s="135"/>
      <c r="C467" s="135"/>
      <c r="D467" s="135"/>
      <c r="E467" s="135"/>
      <c r="F467" s="135"/>
      <c r="G467" s="135"/>
      <c r="H467" s="135"/>
      <c r="I467" s="182"/>
      <c r="J467" s="135"/>
      <c r="K467" s="135"/>
      <c r="L467" s="135"/>
    </row>
    <row r="468" customFormat="false" ht="15.75" hidden="false" customHeight="true" outlineLevel="0" collapsed="false">
      <c r="A468" s="135"/>
      <c r="B468" s="135"/>
      <c r="C468" s="135"/>
      <c r="D468" s="135"/>
      <c r="E468" s="135"/>
      <c r="F468" s="135"/>
      <c r="G468" s="135"/>
      <c r="H468" s="135"/>
      <c r="I468" s="182"/>
      <c r="J468" s="135"/>
      <c r="K468" s="135"/>
      <c r="L468" s="135"/>
    </row>
    <row r="469" customFormat="false" ht="15.75" hidden="false" customHeight="true" outlineLevel="0" collapsed="false">
      <c r="A469" s="135"/>
      <c r="B469" s="135"/>
      <c r="C469" s="135"/>
      <c r="D469" s="135"/>
      <c r="E469" s="135"/>
      <c r="F469" s="135"/>
      <c r="G469" s="135"/>
      <c r="H469" s="135"/>
      <c r="I469" s="182"/>
      <c r="J469" s="135"/>
      <c r="K469" s="135"/>
      <c r="L469" s="135"/>
    </row>
    <row r="470" customFormat="false" ht="15.75" hidden="false" customHeight="true" outlineLevel="0" collapsed="false">
      <c r="A470" s="135"/>
      <c r="B470" s="135"/>
      <c r="C470" s="135"/>
      <c r="D470" s="135"/>
      <c r="E470" s="135"/>
      <c r="F470" s="135"/>
      <c r="G470" s="135"/>
      <c r="H470" s="135"/>
      <c r="I470" s="182"/>
      <c r="J470" s="135"/>
      <c r="K470" s="135"/>
      <c r="L470" s="135"/>
    </row>
    <row r="471" customFormat="false" ht="15.75" hidden="false" customHeight="true" outlineLevel="0" collapsed="false">
      <c r="A471" s="135"/>
      <c r="B471" s="135"/>
      <c r="C471" s="135"/>
      <c r="D471" s="135"/>
      <c r="E471" s="135"/>
      <c r="F471" s="135"/>
      <c r="G471" s="135"/>
      <c r="H471" s="135"/>
      <c r="I471" s="182"/>
      <c r="J471" s="135"/>
      <c r="K471" s="135"/>
      <c r="L471" s="135"/>
    </row>
    <row r="472" customFormat="false" ht="15.75" hidden="false" customHeight="true" outlineLevel="0" collapsed="false">
      <c r="A472" s="135"/>
      <c r="B472" s="135"/>
      <c r="C472" s="135"/>
      <c r="D472" s="135"/>
      <c r="E472" s="135"/>
      <c r="F472" s="135"/>
      <c r="G472" s="135"/>
      <c r="H472" s="135"/>
      <c r="I472" s="182"/>
      <c r="J472" s="135"/>
      <c r="K472" s="135"/>
      <c r="L472" s="135"/>
    </row>
    <row r="473" customFormat="false" ht="15.75" hidden="false" customHeight="true" outlineLevel="0" collapsed="false">
      <c r="A473" s="135"/>
      <c r="B473" s="135"/>
      <c r="C473" s="135"/>
      <c r="D473" s="135"/>
      <c r="E473" s="135"/>
      <c r="F473" s="135"/>
      <c r="G473" s="135"/>
      <c r="H473" s="135"/>
      <c r="I473" s="182"/>
      <c r="J473" s="135"/>
      <c r="K473" s="135"/>
      <c r="L473" s="135"/>
    </row>
    <row r="474" customFormat="false" ht="15.75" hidden="false" customHeight="true" outlineLevel="0" collapsed="false">
      <c r="A474" s="135"/>
      <c r="B474" s="135"/>
      <c r="C474" s="135"/>
      <c r="D474" s="135"/>
      <c r="E474" s="135"/>
      <c r="F474" s="135"/>
      <c r="G474" s="135"/>
      <c r="H474" s="135"/>
      <c r="I474" s="182"/>
      <c r="J474" s="135"/>
      <c r="K474" s="135"/>
      <c r="L474" s="135"/>
    </row>
    <row r="475" customFormat="false" ht="15.75" hidden="false" customHeight="true" outlineLevel="0" collapsed="false">
      <c r="A475" s="135"/>
      <c r="B475" s="135"/>
      <c r="C475" s="135"/>
      <c r="D475" s="135"/>
      <c r="E475" s="135"/>
      <c r="F475" s="135"/>
      <c r="G475" s="135"/>
      <c r="H475" s="135"/>
      <c r="I475" s="182"/>
      <c r="J475" s="135"/>
      <c r="K475" s="135"/>
      <c r="L475" s="135"/>
    </row>
    <row r="476" customFormat="false" ht="15.75" hidden="false" customHeight="true" outlineLevel="0" collapsed="false">
      <c r="A476" s="135"/>
      <c r="B476" s="135"/>
      <c r="C476" s="135"/>
      <c r="D476" s="135"/>
      <c r="E476" s="135"/>
      <c r="F476" s="135"/>
      <c r="G476" s="135"/>
      <c r="H476" s="135"/>
      <c r="I476" s="182"/>
      <c r="J476" s="135"/>
      <c r="K476" s="135"/>
      <c r="L476" s="135"/>
    </row>
    <row r="477" customFormat="false" ht="15.75" hidden="false" customHeight="true" outlineLevel="0" collapsed="false">
      <c r="A477" s="135"/>
      <c r="B477" s="135"/>
      <c r="C477" s="135"/>
      <c r="D477" s="135"/>
      <c r="E477" s="135"/>
      <c r="F477" s="135"/>
      <c r="G477" s="135"/>
      <c r="H477" s="135"/>
      <c r="I477" s="182"/>
      <c r="J477" s="135"/>
      <c r="K477" s="135"/>
      <c r="L477" s="135"/>
    </row>
    <row r="478" customFormat="false" ht="15.75" hidden="false" customHeight="true" outlineLevel="0" collapsed="false">
      <c r="A478" s="135"/>
      <c r="B478" s="135"/>
      <c r="C478" s="135"/>
      <c r="D478" s="135"/>
      <c r="E478" s="135"/>
      <c r="F478" s="135"/>
      <c r="G478" s="135"/>
      <c r="H478" s="135"/>
      <c r="I478" s="182"/>
      <c r="J478" s="135"/>
      <c r="K478" s="135"/>
      <c r="L478" s="135"/>
    </row>
    <row r="479" customFormat="false" ht="15.75" hidden="false" customHeight="true" outlineLevel="0" collapsed="false">
      <c r="A479" s="135"/>
      <c r="B479" s="135"/>
      <c r="C479" s="135"/>
      <c r="D479" s="135"/>
      <c r="E479" s="135"/>
      <c r="F479" s="135"/>
      <c r="G479" s="135"/>
      <c r="H479" s="135"/>
      <c r="I479" s="182"/>
      <c r="J479" s="135"/>
      <c r="K479" s="135"/>
      <c r="L479" s="135"/>
    </row>
    <row r="480" customFormat="false" ht="15.75" hidden="false" customHeight="true" outlineLevel="0" collapsed="false">
      <c r="A480" s="135"/>
      <c r="B480" s="135"/>
      <c r="C480" s="135"/>
      <c r="D480" s="135"/>
      <c r="E480" s="135"/>
      <c r="F480" s="135"/>
      <c r="G480" s="135"/>
      <c r="H480" s="135"/>
      <c r="I480" s="182"/>
      <c r="J480" s="135"/>
      <c r="K480" s="135"/>
      <c r="L480" s="135"/>
    </row>
    <row r="481" customFormat="false" ht="15.75" hidden="false" customHeight="true" outlineLevel="0" collapsed="false">
      <c r="A481" s="135"/>
      <c r="B481" s="135"/>
      <c r="C481" s="135"/>
      <c r="D481" s="135"/>
      <c r="E481" s="135"/>
      <c r="F481" s="135"/>
      <c r="G481" s="135"/>
      <c r="H481" s="135"/>
      <c r="I481" s="182"/>
      <c r="J481" s="135"/>
      <c r="K481" s="135"/>
      <c r="L481" s="135"/>
    </row>
    <row r="482" customFormat="false" ht="15.75" hidden="false" customHeight="true" outlineLevel="0" collapsed="false">
      <c r="A482" s="135"/>
      <c r="B482" s="135"/>
      <c r="C482" s="135"/>
      <c r="D482" s="135"/>
      <c r="E482" s="135"/>
      <c r="F482" s="135"/>
      <c r="G482" s="135"/>
      <c r="H482" s="135"/>
      <c r="I482" s="182"/>
      <c r="J482" s="135"/>
      <c r="K482" s="135"/>
      <c r="L482" s="135"/>
    </row>
    <row r="483" customFormat="false" ht="15.75" hidden="false" customHeight="true" outlineLevel="0" collapsed="false">
      <c r="A483" s="135"/>
      <c r="B483" s="135"/>
      <c r="C483" s="135"/>
      <c r="D483" s="135"/>
      <c r="E483" s="135"/>
      <c r="F483" s="135"/>
      <c r="G483" s="135"/>
      <c r="H483" s="135"/>
      <c r="I483" s="182"/>
      <c r="J483" s="135"/>
      <c r="K483" s="135"/>
      <c r="L483" s="135"/>
    </row>
    <row r="484" customFormat="false" ht="15.75" hidden="false" customHeight="true" outlineLevel="0" collapsed="false">
      <c r="A484" s="135"/>
      <c r="B484" s="135"/>
      <c r="C484" s="135"/>
      <c r="D484" s="135"/>
      <c r="E484" s="135"/>
      <c r="F484" s="135"/>
      <c r="G484" s="135"/>
      <c r="H484" s="135"/>
      <c r="I484" s="182"/>
      <c r="J484" s="135"/>
      <c r="K484" s="135"/>
      <c r="L484" s="135"/>
    </row>
    <row r="485" customFormat="false" ht="15.75" hidden="false" customHeight="true" outlineLevel="0" collapsed="false">
      <c r="A485" s="135"/>
      <c r="B485" s="135"/>
      <c r="C485" s="135"/>
      <c r="D485" s="135"/>
      <c r="E485" s="135"/>
      <c r="F485" s="135"/>
      <c r="G485" s="135"/>
      <c r="H485" s="135"/>
      <c r="I485" s="182"/>
      <c r="J485" s="135"/>
      <c r="K485" s="135"/>
      <c r="L485" s="135"/>
    </row>
    <row r="486" customFormat="false" ht="15.75" hidden="false" customHeight="true" outlineLevel="0" collapsed="false">
      <c r="A486" s="135"/>
      <c r="B486" s="135"/>
      <c r="C486" s="135"/>
      <c r="D486" s="135"/>
      <c r="E486" s="135"/>
      <c r="F486" s="135"/>
      <c r="G486" s="135"/>
      <c r="H486" s="135"/>
      <c r="I486" s="182"/>
      <c r="J486" s="135"/>
      <c r="K486" s="135"/>
      <c r="L486" s="135"/>
    </row>
    <row r="487" customFormat="false" ht="15.75" hidden="false" customHeight="true" outlineLevel="0" collapsed="false">
      <c r="A487" s="135"/>
      <c r="B487" s="135"/>
      <c r="C487" s="135"/>
      <c r="D487" s="135"/>
      <c r="E487" s="135"/>
      <c r="F487" s="135"/>
      <c r="G487" s="135"/>
      <c r="H487" s="135"/>
      <c r="I487" s="182"/>
      <c r="J487" s="135"/>
      <c r="K487" s="135"/>
      <c r="L487" s="135"/>
    </row>
    <row r="488" customFormat="false" ht="15.75" hidden="false" customHeight="true" outlineLevel="0" collapsed="false">
      <c r="A488" s="135"/>
      <c r="B488" s="135"/>
      <c r="C488" s="135"/>
      <c r="D488" s="135"/>
      <c r="E488" s="135"/>
      <c r="F488" s="135"/>
      <c r="G488" s="135"/>
      <c r="H488" s="135"/>
      <c r="I488" s="182"/>
      <c r="J488" s="135"/>
      <c r="K488" s="135"/>
      <c r="L488" s="135"/>
    </row>
    <row r="489" customFormat="false" ht="15.75" hidden="false" customHeight="true" outlineLevel="0" collapsed="false">
      <c r="A489" s="135"/>
      <c r="B489" s="135"/>
      <c r="C489" s="135"/>
      <c r="D489" s="135"/>
      <c r="E489" s="135"/>
      <c r="F489" s="135"/>
      <c r="G489" s="135"/>
      <c r="H489" s="135"/>
      <c r="I489" s="182"/>
      <c r="J489" s="135"/>
      <c r="K489" s="135"/>
      <c r="L489" s="135"/>
    </row>
    <row r="490" customFormat="false" ht="15.75" hidden="false" customHeight="true" outlineLevel="0" collapsed="false">
      <c r="A490" s="135"/>
      <c r="B490" s="135"/>
      <c r="C490" s="135"/>
      <c r="D490" s="135"/>
      <c r="E490" s="135"/>
      <c r="F490" s="135"/>
      <c r="G490" s="135"/>
      <c r="H490" s="135"/>
      <c r="I490" s="182"/>
      <c r="J490" s="135"/>
      <c r="K490" s="135"/>
      <c r="L490" s="135"/>
    </row>
    <row r="491" customFormat="false" ht="15.75" hidden="false" customHeight="true" outlineLevel="0" collapsed="false">
      <c r="A491" s="135"/>
      <c r="B491" s="135"/>
      <c r="C491" s="135"/>
      <c r="D491" s="135"/>
      <c r="E491" s="135"/>
      <c r="F491" s="135"/>
      <c r="G491" s="135"/>
      <c r="H491" s="135"/>
      <c r="I491" s="182"/>
      <c r="J491" s="135"/>
      <c r="K491" s="135"/>
      <c r="L491" s="135"/>
    </row>
    <row r="492" customFormat="false" ht="15.75" hidden="false" customHeight="true" outlineLevel="0" collapsed="false">
      <c r="A492" s="135"/>
      <c r="B492" s="135"/>
      <c r="C492" s="135"/>
      <c r="D492" s="135"/>
      <c r="E492" s="135"/>
      <c r="F492" s="135"/>
      <c r="G492" s="135"/>
      <c r="H492" s="135"/>
      <c r="I492" s="182"/>
      <c r="J492" s="135"/>
      <c r="K492" s="135"/>
      <c r="L492" s="135"/>
    </row>
    <row r="493" customFormat="false" ht="15.75" hidden="false" customHeight="true" outlineLevel="0" collapsed="false">
      <c r="A493" s="135"/>
      <c r="B493" s="135"/>
      <c r="C493" s="135"/>
      <c r="D493" s="135"/>
      <c r="E493" s="135"/>
      <c r="F493" s="135"/>
      <c r="G493" s="135"/>
      <c r="H493" s="135"/>
      <c r="I493" s="182"/>
      <c r="J493" s="135"/>
      <c r="K493" s="135"/>
      <c r="L493" s="135"/>
    </row>
    <row r="494" customFormat="false" ht="15.75" hidden="false" customHeight="true" outlineLevel="0" collapsed="false">
      <c r="A494" s="135"/>
      <c r="B494" s="135"/>
      <c r="C494" s="135"/>
      <c r="D494" s="135"/>
      <c r="E494" s="135"/>
      <c r="F494" s="135"/>
      <c r="G494" s="135"/>
      <c r="H494" s="135"/>
      <c r="I494" s="182"/>
      <c r="J494" s="135"/>
      <c r="K494" s="135"/>
      <c r="L494" s="135"/>
    </row>
    <row r="495" customFormat="false" ht="15.75" hidden="false" customHeight="true" outlineLevel="0" collapsed="false">
      <c r="A495" s="135"/>
      <c r="B495" s="135"/>
      <c r="C495" s="135"/>
      <c r="D495" s="135"/>
      <c r="E495" s="135"/>
      <c r="F495" s="135"/>
      <c r="G495" s="135"/>
      <c r="H495" s="135"/>
      <c r="I495" s="182"/>
      <c r="J495" s="135"/>
      <c r="K495" s="135"/>
      <c r="L495" s="135"/>
    </row>
    <row r="496" customFormat="false" ht="15.75" hidden="false" customHeight="true" outlineLevel="0" collapsed="false">
      <c r="A496" s="135"/>
      <c r="B496" s="135"/>
      <c r="C496" s="135"/>
      <c r="D496" s="135"/>
      <c r="E496" s="135"/>
      <c r="F496" s="135"/>
      <c r="G496" s="135"/>
      <c r="H496" s="135"/>
      <c r="I496" s="182"/>
      <c r="J496" s="135"/>
      <c r="K496" s="135"/>
      <c r="L496" s="135"/>
    </row>
    <row r="497" customFormat="false" ht="15.75" hidden="false" customHeight="true" outlineLevel="0" collapsed="false">
      <c r="A497" s="135"/>
      <c r="B497" s="135"/>
      <c r="C497" s="135"/>
      <c r="D497" s="135"/>
      <c r="E497" s="135"/>
      <c r="F497" s="135"/>
      <c r="G497" s="135"/>
      <c r="H497" s="135"/>
      <c r="I497" s="182"/>
      <c r="J497" s="135"/>
      <c r="K497" s="135"/>
      <c r="L497" s="135"/>
    </row>
    <row r="498" customFormat="false" ht="15.75" hidden="false" customHeight="true" outlineLevel="0" collapsed="false">
      <c r="A498" s="135"/>
      <c r="B498" s="135"/>
      <c r="C498" s="135"/>
      <c r="D498" s="135"/>
      <c r="E498" s="135"/>
      <c r="F498" s="135"/>
      <c r="G498" s="135"/>
      <c r="H498" s="135"/>
      <c r="I498" s="182"/>
      <c r="J498" s="135"/>
      <c r="K498" s="135"/>
      <c r="L498" s="135"/>
    </row>
    <row r="499" customFormat="false" ht="15.75" hidden="false" customHeight="true" outlineLevel="0" collapsed="false">
      <c r="A499" s="135"/>
      <c r="B499" s="135"/>
      <c r="C499" s="135"/>
      <c r="D499" s="135"/>
      <c r="E499" s="135"/>
      <c r="F499" s="135"/>
      <c r="G499" s="135"/>
      <c r="H499" s="135"/>
      <c r="I499" s="182"/>
      <c r="J499" s="135"/>
      <c r="K499" s="135"/>
      <c r="L499" s="135"/>
    </row>
    <row r="500" customFormat="false" ht="15.75" hidden="false" customHeight="true" outlineLevel="0" collapsed="false">
      <c r="A500" s="135"/>
      <c r="B500" s="135"/>
      <c r="C500" s="135"/>
      <c r="D500" s="135"/>
      <c r="E500" s="135"/>
      <c r="F500" s="135"/>
      <c r="G500" s="135"/>
      <c r="H500" s="135"/>
      <c r="I500" s="182"/>
      <c r="J500" s="135"/>
      <c r="K500" s="135"/>
      <c r="L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K38"/>
  <dataValidations count="4">
    <dataValidation allowBlank="true" errorStyle="stop" operator="between" showDropDown="false" showErrorMessage="false" showInputMessage="false" sqref="J4:J200" type="list">
      <formula1>'CH1. Danh mục lựa chọn'!$B$392:$B$394</formula1>
      <formula2>0</formula2>
    </dataValidation>
    <dataValidation allowBlank="true" errorStyle="stop" operator="between" prompt="Email không hợp lệ - Email phải chứa ký tự @ (VD: ten@ieltsthetutors.edu.vn)" showDropDown="false" showErrorMessage="true" showInputMessage="true" sqref="H4:H500" type="custom">
      <formula1>ISNUMBER(SEARCH("@",H4))</formula1>
      <formula2>0</formula2>
    </dataValidation>
    <dataValidation allowBlank="true" errorStyle="stop" operator="between" showDropDown="false" showErrorMessage="false" showInputMessage="false" sqref="C4:C200" type="list">
      <formula1>'CH1. Danh mục lựa chọn'!$B$367:$B$388</formula1>
      <formula2>0</formula2>
    </dataValidation>
    <dataValidation allowBlank="true" errorStyle="stop" operator="between" showDropDown="false" showErrorMessage="false" showInputMessage="false" sqref="F4:F200" type="list">
      <formula1>'CH1. Danh mục lựa chọn'!$B$423:$B$428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9.29"/>
    <col collapsed="false" customWidth="true" hidden="false" outlineLevel="0" max="2" min="2" style="1" width="24"/>
    <col collapsed="false" customWidth="true" hidden="false" outlineLevel="0" max="3" min="3" style="1" width="19.14"/>
    <col collapsed="false" customWidth="true" hidden="false" outlineLevel="0" max="4" min="4" style="1" width="19.43"/>
    <col collapsed="false" customWidth="true" hidden="false" outlineLevel="0" max="5" min="5" style="1" width="20.14"/>
    <col collapsed="false" customWidth="true" hidden="false" outlineLevel="0" max="6" min="6" style="1" width="20.85"/>
    <col collapsed="false" customWidth="true" hidden="false" outlineLevel="0" max="7" min="7" style="1" width="13"/>
    <col collapsed="false" customWidth="true" hidden="false" outlineLevel="0" max="8" min="8" style="1" width="28"/>
    <col collapsed="false" customWidth="true" hidden="false" outlineLevel="0" max="9" min="9" style="1" width="20"/>
    <col collapsed="false" customWidth="true" hidden="false" outlineLevel="0" max="10" min="10" style="1" width="18.86"/>
    <col collapsed="false" customWidth="true" hidden="false" outlineLevel="0" max="11" min="11" style="1" width="28.71"/>
    <col collapsed="false" customWidth="true" hidden="false" outlineLevel="0" max="12" min="12" style="1" width="27.86"/>
    <col collapsed="false" customWidth="true" hidden="false" outlineLevel="0" max="13" min="13" style="1" width="22"/>
    <col collapsed="false" customWidth="true" hidden="false" outlineLevel="0" max="14" min="14" style="1" width="25"/>
    <col collapsed="false" customWidth="true" hidden="false" outlineLevel="0" max="15" min="15" style="1" width="31.29"/>
    <col collapsed="false" customWidth="true" hidden="false" outlineLevel="0" max="16" min="16" style="1" width="30"/>
    <col collapsed="false" customWidth="true" hidden="false" outlineLevel="0" max="17" min="17" style="1" width="25.71"/>
    <col collapsed="false" customWidth="true" hidden="false" outlineLevel="0" max="18" min="18" style="1" width="22"/>
    <col collapsed="false" customWidth="true" hidden="false" outlineLevel="0" max="19" min="19" style="1" width="50"/>
    <col collapsed="false" customWidth="true" hidden="false" outlineLevel="0" max="20" min="20" style="1" width="46"/>
    <col collapsed="false" customWidth="true" hidden="false" outlineLevel="0" max="21" min="21" style="1" width="17"/>
    <col collapsed="false" customWidth="true" hidden="false" outlineLevel="0" max="22" min="22" style="1" width="21.29"/>
    <col collapsed="false" customWidth="true" hidden="false" outlineLevel="0" max="23" min="23" style="1" width="20"/>
    <col collapsed="false" customWidth="true" hidden="false" outlineLevel="0" max="24" min="24" style="1" width="24.43"/>
    <col collapsed="false" customWidth="true" hidden="false" outlineLevel="0" max="26" min="25" style="1" width="8.71"/>
  </cols>
  <sheetData>
    <row r="1" customFormat="false" ht="21.75" hidden="false" customHeight="true" outlineLevel="0" collapsed="false">
      <c r="A1" s="77" t="s">
        <v>837</v>
      </c>
      <c r="B1" s="77" t="s">
        <v>2471</v>
      </c>
      <c r="C1" s="77" t="s">
        <v>826</v>
      </c>
      <c r="D1" s="77" t="s">
        <v>828</v>
      </c>
      <c r="E1" s="77" t="s">
        <v>2263</v>
      </c>
      <c r="F1" s="77" t="s">
        <v>2472</v>
      </c>
      <c r="G1" s="77" t="s">
        <v>2473</v>
      </c>
      <c r="H1" s="77" t="s">
        <v>2474</v>
      </c>
      <c r="I1" s="77" t="s">
        <v>2475</v>
      </c>
      <c r="J1" s="77" t="s">
        <v>2476</v>
      </c>
      <c r="K1" s="77" t="s">
        <v>2477</v>
      </c>
      <c r="L1" s="77" t="s">
        <v>2478</v>
      </c>
      <c r="M1" s="77" t="s">
        <v>2479</v>
      </c>
      <c r="N1" s="77" t="s">
        <v>2480</v>
      </c>
      <c r="O1" s="77" t="s">
        <v>2481</v>
      </c>
      <c r="P1" s="77" t="s">
        <v>2482</v>
      </c>
      <c r="Q1" s="77" t="s">
        <v>2483</v>
      </c>
      <c r="R1" s="77" t="s">
        <v>2267</v>
      </c>
      <c r="S1" s="77" t="s">
        <v>2484</v>
      </c>
      <c r="T1" s="183" t="s">
        <v>480</v>
      </c>
      <c r="U1" s="77" t="s">
        <v>830</v>
      </c>
      <c r="V1" s="77" t="s">
        <v>832</v>
      </c>
      <c r="W1" s="77" t="s">
        <v>2485</v>
      </c>
      <c r="X1" s="77" t="s">
        <v>834</v>
      </c>
    </row>
    <row r="2" customFormat="false" ht="18" hidden="false" customHeight="true" outlineLevel="0" collapsed="false">
      <c r="A2" s="176" t="s">
        <v>2486</v>
      </c>
      <c r="B2" s="176" t="s">
        <v>2487</v>
      </c>
      <c r="C2" s="176" t="s">
        <v>2488</v>
      </c>
      <c r="D2" s="176" t="s">
        <v>2489</v>
      </c>
      <c r="E2" s="176" t="s">
        <v>2490</v>
      </c>
      <c r="F2" s="176" t="s">
        <v>2278</v>
      </c>
      <c r="G2" s="176" t="s">
        <v>2491</v>
      </c>
      <c r="H2" s="176" t="s">
        <v>2492</v>
      </c>
      <c r="I2" s="176" t="s">
        <v>2493</v>
      </c>
      <c r="J2" s="176" t="s">
        <v>2494</v>
      </c>
      <c r="K2" s="176" t="s">
        <v>2495</v>
      </c>
      <c r="L2" s="176" t="s">
        <v>2496</v>
      </c>
      <c r="M2" s="176" t="s">
        <v>2497</v>
      </c>
      <c r="N2" s="176" t="s">
        <v>2498</v>
      </c>
      <c r="O2" s="176" t="s">
        <v>2499</v>
      </c>
      <c r="P2" s="176" t="s">
        <v>2500</v>
      </c>
      <c r="Q2" s="176" t="s">
        <v>2501</v>
      </c>
      <c r="R2" s="176" t="s">
        <v>2277</v>
      </c>
      <c r="S2" s="176" t="s">
        <v>2502</v>
      </c>
      <c r="T2" s="176" t="s">
        <v>2503</v>
      </c>
      <c r="U2" s="176" t="s">
        <v>2504</v>
      </c>
      <c r="V2" s="176" t="s">
        <v>2505</v>
      </c>
      <c r="W2" s="176" t="s">
        <v>2506</v>
      </c>
      <c r="X2" s="176" t="s">
        <v>2507</v>
      </c>
    </row>
    <row r="3" customFormat="false" ht="27.75" hidden="false" customHeight="true" outlineLevel="0" collapsed="false">
      <c r="A3" s="177" t="s">
        <v>2508</v>
      </c>
      <c r="B3" s="177" t="s">
        <v>2509</v>
      </c>
      <c r="C3" s="177" t="s">
        <v>2510</v>
      </c>
      <c r="D3" s="184" t="s">
        <v>2511</v>
      </c>
      <c r="E3" s="177" t="s">
        <v>2284</v>
      </c>
      <c r="F3" s="177" t="s">
        <v>2512</v>
      </c>
      <c r="G3" s="177" t="s">
        <v>2513</v>
      </c>
      <c r="H3" s="177" t="s">
        <v>2514</v>
      </c>
      <c r="I3" s="177" t="s">
        <v>2515</v>
      </c>
      <c r="J3" s="177" t="s">
        <v>2516</v>
      </c>
      <c r="K3" s="177" t="s">
        <v>2517</v>
      </c>
      <c r="L3" s="177" t="s">
        <v>2518</v>
      </c>
      <c r="M3" s="177" t="s">
        <v>2519</v>
      </c>
      <c r="N3" s="177" t="s">
        <v>2514</v>
      </c>
      <c r="O3" s="177" t="s">
        <v>2520</v>
      </c>
      <c r="P3" s="177" t="s">
        <v>2514</v>
      </c>
      <c r="Q3" s="177" t="s">
        <v>2521</v>
      </c>
      <c r="R3" s="177" t="s">
        <v>2519</v>
      </c>
      <c r="S3" s="177" t="s">
        <v>2522</v>
      </c>
      <c r="T3" s="177" t="s">
        <v>2523</v>
      </c>
      <c r="U3" s="177" t="s">
        <v>2524</v>
      </c>
      <c r="V3" s="177" t="s">
        <v>2525</v>
      </c>
      <c r="W3" s="177" t="s">
        <v>2526</v>
      </c>
      <c r="X3" s="177" t="s">
        <v>2294</v>
      </c>
    </row>
    <row r="4" customFormat="false" ht="45" hidden="false" customHeight="true" outlineLevel="0" collapsed="false">
      <c r="A4" s="21" t="s">
        <v>2527</v>
      </c>
      <c r="B4" s="185" t="n">
        <v>46208.4468865741</v>
      </c>
      <c r="C4" s="180" t="str">
        <f aca="false">IFERROR(HYPERLINK("#'DL01. Nhân viên'!A"&amp;MATCH("NV001",'DL01. Nhân viên'!A:A,0),"NV001"),"NV001")</f>
        <v>NV001</v>
      </c>
      <c r="D4" s="185" t="str">
        <f aca="false">IF(COUNTIF('DL02b. Lịch sử liên hệ'!$B$4:$B$300,A4)=0,"",SUMPRODUCT(MIN(('DL02b. Lịch sử liên hệ'!$B$4:$B$300=A4)*'DL02b. Lịch sử liên hệ'!$D$4:$D$300+('DL02b. Lịch sử liên hệ'!$B$4:$B$300&lt;&gt;A4)*1000000000000)))</f>
        <v/>
      </c>
      <c r="E4" s="21" t="s">
        <v>2528</v>
      </c>
      <c r="F4" s="21" t="s">
        <v>2529</v>
      </c>
      <c r="G4" s="21" t="s">
        <v>2529</v>
      </c>
      <c r="H4" s="21" t="s">
        <v>1012</v>
      </c>
      <c r="I4" s="21" t="s">
        <v>1015</v>
      </c>
      <c r="J4" s="186" t="n">
        <v>6.5</v>
      </c>
      <c r="K4" s="185" t="n">
        <v>46228.375</v>
      </c>
      <c r="L4" s="21" t="s">
        <v>2530</v>
      </c>
      <c r="M4" s="21" t="s">
        <v>1028</v>
      </c>
      <c r="N4" s="21" t="s">
        <v>947</v>
      </c>
      <c r="O4" s="21" t="s">
        <v>972</v>
      </c>
      <c r="P4" s="21" t="s">
        <v>977</v>
      </c>
      <c r="Q4" s="185"/>
      <c r="R4" s="21"/>
      <c r="S4" s="21" t="s">
        <v>2531</v>
      </c>
      <c r="T4" s="187" t="str">
        <f aca="true" t="array" ref="T4:T4">IF(AND(C4&lt;&gt;"",D4="",(NOW()-N(B4))*24&gt;slaLeadReassign_hours),INDEX('CH4. Thông điệp nhắc việc'!$G:$G,MATCH("NA046",'CH4. Thông điệp nhắc việc'!$A:$A,0)),IF(AND(U4&gt;=thresholdContacted_attempts,ISNUMBER(SEARCH("no_response",P4))+ISNUMBER(SEARCH("considering",P4))),INDEX('CH4. Thông điệp nhắc việc'!$G:$G,MATCH("NA047",'CH4. Thông điệp nhắc việc'!$A:$A,0)),IF(AND(ISNUMBER(SEARCH("contacted",P4)),D4&lt;&gt;"",(NOW()-N(D4))&gt;thresholdContacted_days),INDEX('CH4. Thông điệp nhắc việc'!$G:$G,MATCH("NA048",'CH4. Thông điệp nhắc việc'!$A:$A,0)),IF(AND(ISNUMBER(SEARCH("new",P4)),(NOW()-N(B4))*1440&gt;slaLRT_minutes),INDEX('CH4. Thông điệp nhắc việc'!$G:$G,MATCH("NA049",'CH4. Thông điệp nhắc việc'!$A:$A,0)),IF(AND(ISNUMBER(SEARCH("new",P4)),(NOW()-N(B4))*1440&lt;=slaLRT_minutes),INDEX('CH4. Thông điệp nhắc việc'!$G:$G,MATCH("NA050",'CH4. Thông điệp nhắc việc'!$A:$A,0)),IF(AND(ISNUMBER(SEARCH("contacted",P4)+SEARCH("considering",P4)+SEARCH("no_response",P4)),Q4&lt;&gt;"",Q4&lt;=TODAY()),INDEX('CH4. Thông điệp nhắc việc'!$G:$G,MATCH("NA051",'CH4. Thông điệp nhắc việc'!$A:$A,0)),IF(AND(Q4&lt;&gt;"",Q4&lt;=TODAY()+1),INDEX('CH4. Thông điệp nhắc việc'!$G:$G,MATCH("NA052",'CH4. Thông điệp nhắc việc'!$A:$A,0)),IF(ISNUMBER(SEARCH("rejected",P4))+ISNUMBER(SEARCH("unreachable",P4)),INDEX('CH4. Thông điệp nhắc việc'!$G:$G,MATCH("NA053",'CH4. Thông điệp nhắc việc'!$A:$A,0)),""))))))))</f>
        <v>Lead đã giao cho NV nhưng quá 4 giờ (cấu hình slaLeadReassign_hours) chưa gọi. Việc cần làm: gọi gấp hoặc giao lại cho NV khác.</v>
      </c>
      <c r="U4" s="44" t="n">
        <f aca="false">COUNTIF('DL02b. Lịch sử liên hệ'!B:B,A4)</f>
        <v>0</v>
      </c>
      <c r="V4" s="188" t="str">
        <f aca="false">IF(COUNTIF('DL02b. Lịch sử liên hệ'!$B$4:$B$300,A4)=0,"",SUMPRODUCT(MAX(('DL02b. Lịch sử liên hệ'!$B$4:$B$300=A4)*'DL02b. Lịch sử liên hệ'!$D$4:$D$300)))</f>
        <v/>
      </c>
      <c r="W4" s="44"/>
      <c r="X4" s="181" t="str">
        <f aca="false">IFERROR(VLOOKUP(C4,'DL01. Nhân viên'!$A:$B,2,FALSE()),"")</f>
        <v>Nguyễn Hoàng Anh Kiệt</v>
      </c>
    </row>
    <row r="5" customFormat="false" ht="45" hidden="false" customHeight="true" outlineLevel="0" collapsed="false">
      <c r="A5" s="21" t="s">
        <v>2532</v>
      </c>
      <c r="B5" s="185" t="n">
        <v>46208.5663310185</v>
      </c>
      <c r="C5" s="180" t="str">
        <f aca="false">IFERROR(HYPERLINK("#'DL01. Nhân viên'!A"&amp;MATCH("NV002",'DL01. Nhân viên'!A:A,0),"NV002"),"NV002")</f>
        <v>NV002</v>
      </c>
      <c r="D5" s="185" t="str">
        <f aca="false">IF(COUNTIF('DL02b. Lịch sử liên hệ'!$B$4:$B$300,A5)=0,"",SUMPRODUCT(MIN(('DL02b. Lịch sử liên hệ'!$B$4:$B$300=A5)*'DL02b. Lịch sử liên hệ'!$D$4:$D$300+('DL02b. Lịch sử liên hệ'!$B$4:$B$300&lt;&gt;A5)*1000000000000)))</f>
        <v/>
      </c>
      <c r="E5" s="21" t="s">
        <v>2533</v>
      </c>
      <c r="F5" s="21" t="s">
        <v>2534</v>
      </c>
      <c r="G5" s="21" t="s">
        <v>2534</v>
      </c>
      <c r="H5" s="21" t="s">
        <v>1012</v>
      </c>
      <c r="I5" s="21" t="s">
        <v>1021</v>
      </c>
      <c r="J5" s="186" t="n">
        <v>6</v>
      </c>
      <c r="K5" s="185" t="n">
        <v>46228.375</v>
      </c>
      <c r="L5" s="21" t="s">
        <v>2530</v>
      </c>
      <c r="M5" s="21" t="s">
        <v>1028</v>
      </c>
      <c r="N5" s="21" t="s">
        <v>947</v>
      </c>
      <c r="O5" s="21" t="s">
        <v>972</v>
      </c>
      <c r="P5" s="21" t="s">
        <v>977</v>
      </c>
      <c r="Q5" s="185"/>
      <c r="R5" s="21"/>
      <c r="S5" s="21" t="s">
        <v>2535</v>
      </c>
      <c r="T5" s="187" t="str">
        <f aca="true" t="array" ref="T5:T5">IF(AND(C5&lt;&gt;"",D5="",(NOW()-N(B5))*24&gt;slaLeadReassign_hours),INDEX('CH4. Thông điệp nhắc việc'!$G:$G,MATCH("NA046",'CH4. Thông điệp nhắc việc'!$A:$A,0)),IF(AND(U5&gt;=thresholdContacted_attempts,ISNUMBER(SEARCH("no_response",P5))+ISNUMBER(SEARCH("considering",P5))),INDEX('CH4. Thông điệp nhắc việc'!$G:$G,MATCH("NA047",'CH4. Thông điệp nhắc việc'!$A:$A,0)),IF(AND(ISNUMBER(SEARCH("contacted",P5)),D5&lt;&gt;"",(NOW()-N(D5))&gt;thresholdContacted_days),INDEX('CH4. Thông điệp nhắc việc'!$G:$G,MATCH("NA048",'CH4. Thông điệp nhắc việc'!$A:$A,0)),IF(AND(ISNUMBER(SEARCH("new",P5)),(NOW()-N(B5))*1440&gt;slaLRT_minutes),INDEX('CH4. Thông điệp nhắc việc'!$G:$G,MATCH("NA049",'CH4. Thông điệp nhắc việc'!$A:$A,0)),IF(AND(ISNUMBER(SEARCH("new",P5)),(NOW()-N(B5))*1440&lt;=slaLRT_minutes),INDEX('CH4. Thông điệp nhắc việc'!$G:$G,MATCH("NA050",'CH4. Thông điệp nhắc việc'!$A:$A,0)),IF(AND(ISNUMBER(SEARCH("contacted",P5)+SEARCH("considering",P5)+SEARCH("no_response",P5)),Q5&lt;&gt;"",Q5&lt;=TODAY()),INDEX('CH4. Thông điệp nhắc việc'!$G:$G,MATCH("NA051",'CH4. Thông điệp nhắc việc'!$A:$A,0)),IF(AND(Q5&lt;&gt;"",Q5&lt;=TODAY()+1),INDEX('CH4. Thông điệp nhắc việc'!$G:$G,MATCH("NA052",'CH4. Thông điệp nhắc việc'!$A:$A,0)),IF(ISNUMBER(SEARCH("rejected",P5))+ISNUMBER(SEARCH("unreachable",P5)),INDEX('CH4. Thông điệp nhắc việc'!$G:$G,MATCH("NA053",'CH4. Thông điệp nhắc việc'!$A:$A,0)),""))))))))</f>
        <v>Lead đã giao cho NV nhưng quá 4 giờ (cấu hình slaLeadReassign_hours) chưa gọi. Việc cần làm: gọi gấp hoặc giao lại cho NV khác.</v>
      </c>
      <c r="U5" s="44" t="n">
        <f aca="false">COUNTIF('DL02b. Lịch sử liên hệ'!B:B,A5)</f>
        <v>0</v>
      </c>
      <c r="V5" s="188" t="str">
        <f aca="false">IF(COUNTIF('DL02b. Lịch sử liên hệ'!$B$4:$B$300,A5)=0,"",SUMPRODUCT(MAX(('DL02b. Lịch sử liên hệ'!$B$4:$B$300=A5)*'DL02b. Lịch sử liên hệ'!$D$4:$D$300)))</f>
        <v/>
      </c>
      <c r="W5" s="44"/>
      <c r="X5" s="181" t="str">
        <f aca="false">IFERROR(VLOOKUP(C5,'DL01. Nhân viên'!$A:$B,2,FALSE()),"")</f>
        <v>Nguyễn Văn Thanh Thuyên</v>
      </c>
    </row>
    <row r="6" customFormat="false" ht="45" hidden="false" customHeight="true" outlineLevel="0" collapsed="false">
      <c r="A6" s="21" t="s">
        <v>2536</v>
      </c>
      <c r="B6" s="185" t="n">
        <v>46206.375</v>
      </c>
      <c r="C6" s="180" t="str">
        <f aca="false">IFERROR(HYPERLINK("#'DL01. Nhân viên'!A"&amp;MATCH("NV023",'DL01. Nhân viên'!A:A,0),"NV023"),"NV023")</f>
        <v>NV023</v>
      </c>
      <c r="D6" s="185" t="n">
        <f aca="false">IF(COUNTIF('DL02b. Lịch sử liên hệ'!$B$4:$B$300,A6)=0,"",SUMPRODUCT(MIN(('DL02b. Lịch sử liên hệ'!$B$4:$B$300=A6)*'DL02b. Lịch sử liên hệ'!$D$4:$D$300+('DL02b. Lịch sử liên hệ'!$B$4:$B$300&lt;&gt;A6)*1000000000000)))</f>
        <v>46206.4166666667</v>
      </c>
      <c r="E6" s="21" t="s">
        <v>2537</v>
      </c>
      <c r="F6" s="21" t="s">
        <v>2538</v>
      </c>
      <c r="G6" s="21" t="s">
        <v>2538</v>
      </c>
      <c r="H6" s="21" t="s">
        <v>1012</v>
      </c>
      <c r="I6" s="21" t="s">
        <v>1023</v>
      </c>
      <c r="J6" s="186" t="n">
        <v>6.5</v>
      </c>
      <c r="K6" s="185" t="n">
        <v>46228.375</v>
      </c>
      <c r="L6" s="21" t="s">
        <v>2530</v>
      </c>
      <c r="M6" s="21" t="s">
        <v>1028</v>
      </c>
      <c r="N6" s="21" t="s">
        <v>947</v>
      </c>
      <c r="O6" s="21" t="s">
        <v>970</v>
      </c>
      <c r="P6" s="21" t="s">
        <v>979</v>
      </c>
      <c r="Q6" s="185" t="n">
        <v>46208.375</v>
      </c>
      <c r="R6" s="21"/>
      <c r="S6" s="21" t="s">
        <v>2539</v>
      </c>
      <c r="T6" s="187" t="str">
        <f aca="true" t="array" ref="T6:T6">IF(AND(C6&lt;&gt;"",D6="",(NOW()-N(B6))*24&gt;slaLeadReassign_hours),INDEX('CH4. Thông điệp nhắc việc'!$G:$G,MATCH("NA046",'CH4. Thông điệp nhắc việc'!$A:$A,0)),IF(AND(U6&gt;=thresholdContacted_attempts,ISNUMBER(SEARCH("no_response",P6))+ISNUMBER(SEARCH("considering",P6))),INDEX('CH4. Thông điệp nhắc việc'!$G:$G,MATCH("NA047",'CH4. Thông điệp nhắc việc'!$A:$A,0)),IF(AND(ISNUMBER(SEARCH("contacted",P6)),D6&lt;&gt;"",(NOW()-N(D6))&gt;thresholdContacted_days),INDEX('CH4. Thông điệp nhắc việc'!$G:$G,MATCH("NA048",'CH4. Thông điệp nhắc việc'!$A:$A,0)),IF(AND(ISNUMBER(SEARCH("new",P6)),(NOW()-N(B6))*1440&gt;slaLRT_minutes),INDEX('CH4. Thông điệp nhắc việc'!$G:$G,MATCH("NA049",'CH4. Thông điệp nhắc việc'!$A:$A,0)),IF(AND(ISNUMBER(SEARCH("new",P6)),(NOW()-N(B6))*1440&lt;=slaLRT_minutes),INDEX('CH4. Thông điệp nhắc việc'!$G:$G,MATCH("NA050",'CH4. Thông điệp nhắc việc'!$A:$A,0)),IF(AND(ISNUMBER(SEARCH("contacted",P6)+SEARCH("considering",P6)+SEARCH("no_response",P6)),Q6&lt;&gt;"",Q6&lt;=TODAY()),INDEX('CH4. Thông điệp nhắc việc'!$G:$G,MATCH("NA051",'CH4. Thông điệp nhắc việc'!$A:$A,0)),IF(AND(Q6&lt;&gt;"",Q6&lt;=TODAY()+1),INDEX('CH4. Thông điệp nhắc việc'!$G:$G,MATCH("NA052",'CH4. Thông điệp nhắc việc'!$A:$A,0)),IF(ISNUMBER(SEARCH("rejected",P6))+ISNUMBER(SEARCH("unreachable",P6)),INDEX('CH4. Thông điệp nhắc việc'!$G:$G,MATCH("NA053",'CH4. Thông điệp nhắc việc'!$A:$A,0)),""))))))))</f>
        <v>Sắp tới hẹn theo dõi lead (trong vòng 24 giờ). Việc cần làm: chuẩn bị liên hệ khách.</v>
      </c>
      <c r="U6" s="44" t="n">
        <f aca="false">COUNTIF('DL02b. Lịch sử liên hệ'!B:B,A6)</f>
        <v>1</v>
      </c>
      <c r="V6" s="188" t="n">
        <f aca="false">IF(COUNTIF('DL02b. Lịch sử liên hệ'!$B$4:$B$300,A6)=0,"",SUMPRODUCT(MAX(('DL02b. Lịch sử liên hệ'!$B$4:$B$300=A6)*'DL02b. Lịch sử liên hệ'!$D$4:$D$300)))</f>
        <v>46206.4166666667</v>
      </c>
      <c r="W6" s="44"/>
      <c r="X6" s="181" t="str">
        <f aca="false">IFERROR(VLOOKUP(C6,'DL01. Nhân viên'!$A:$B,2,FALSE()),"")</f>
        <v>Nguyễn Thị Phương Duyên</v>
      </c>
    </row>
    <row r="7" customFormat="false" ht="45" hidden="false" customHeight="true" outlineLevel="0" collapsed="false">
      <c r="A7" s="21" t="s">
        <v>2540</v>
      </c>
      <c r="B7" s="185" t="n">
        <v>46204.375</v>
      </c>
      <c r="C7" s="180" t="str">
        <f aca="false">IFERROR(HYPERLINK("#'DL01. Nhân viên'!A"&amp;MATCH("NV024",'DL01. Nhân viên'!A:A,0),"NV024"),"NV024")</f>
        <v>NV024</v>
      </c>
      <c r="D7" s="185" t="n">
        <f aca="false">IF(COUNTIF('DL02b. Lịch sử liên hệ'!$B$4:$B$300,A7)=0,"",SUMPRODUCT(MIN(('DL02b. Lịch sử liên hệ'!$B$4:$B$300=A7)*'DL02b. Lịch sử liên hệ'!$D$4:$D$300+('DL02b. Lịch sử liên hệ'!$B$4:$B$300&lt;&gt;A7)*1000000000000)))</f>
        <v>46204.375</v>
      </c>
      <c r="E7" s="21" t="s">
        <v>2541</v>
      </c>
      <c r="F7" s="21" t="s">
        <v>2542</v>
      </c>
      <c r="G7" s="21" t="s">
        <v>2542</v>
      </c>
      <c r="H7" s="21" t="s">
        <v>1012</v>
      </c>
      <c r="I7" s="21" t="s">
        <v>1015</v>
      </c>
      <c r="J7" s="186" t="n">
        <v>6.5</v>
      </c>
      <c r="K7" s="185" t="n">
        <v>46228.375</v>
      </c>
      <c r="L7" s="21" t="s">
        <v>2530</v>
      </c>
      <c r="M7" s="21" t="s">
        <v>1028</v>
      </c>
      <c r="N7" s="21" t="s">
        <v>947</v>
      </c>
      <c r="O7" s="21" t="s">
        <v>970</v>
      </c>
      <c r="P7" s="21" t="s">
        <v>979</v>
      </c>
      <c r="Q7" s="185" t="n">
        <v>46210.375</v>
      </c>
      <c r="R7" s="21"/>
      <c r="S7" s="21" t="s">
        <v>2543</v>
      </c>
      <c r="T7" s="187" t="str">
        <f aca="true" t="array" ref="T7:T7">IF(AND(C7&lt;&gt;"",D7="",(NOW()-N(B7))*24&gt;slaLeadReassign_hours),INDEX('CH4. Thông điệp nhắc việc'!$G:$G,MATCH("NA046",'CH4. Thông điệp nhắc việc'!$A:$A,0)),IF(AND(U7&gt;=thresholdContacted_attempts,ISNUMBER(SEARCH("no_response",P7))+ISNUMBER(SEARCH("considering",P7))),INDEX('CH4. Thông điệp nhắc việc'!$G:$G,MATCH("NA047",'CH4. Thông điệp nhắc việc'!$A:$A,0)),IF(AND(ISNUMBER(SEARCH("contacted",P7)),D7&lt;&gt;"",(NOW()-N(D7))&gt;thresholdContacted_days),INDEX('CH4. Thông điệp nhắc việc'!$G:$G,MATCH("NA048",'CH4. Thông điệp nhắc việc'!$A:$A,0)),IF(AND(ISNUMBER(SEARCH("new",P7)),(NOW()-N(B7))*1440&gt;slaLRT_minutes),INDEX('CH4. Thông điệp nhắc việc'!$G:$G,MATCH("NA049",'CH4. Thông điệp nhắc việc'!$A:$A,0)),IF(AND(ISNUMBER(SEARCH("new",P7)),(NOW()-N(B7))*1440&lt;=slaLRT_minutes),INDEX('CH4. Thông điệp nhắc việc'!$G:$G,MATCH("NA050",'CH4. Thông điệp nhắc việc'!$A:$A,0)),IF(AND(ISNUMBER(SEARCH("contacted",P7)+SEARCH("considering",P7)+SEARCH("no_response",P7)),Q7&lt;&gt;"",Q7&lt;=TODAY()),INDEX('CH4. Thông điệp nhắc việc'!$G:$G,MATCH("NA051",'CH4. Thông điệp nhắc việc'!$A:$A,0)),IF(AND(Q7&lt;&gt;"",Q7&lt;=TODAY()+1),INDEX('CH4. Thông điệp nhắc việc'!$G:$G,MATCH("NA052",'CH4. Thông điệp nhắc việc'!$A:$A,0)),IF(ISNUMBER(SEARCH("rejected",P7))+ISNUMBER(SEARCH("unreachable",P7)),INDEX('CH4. Thông điệp nhắc việc'!$G:$G,MATCH("NA053",'CH4. Thông điệp nhắc việc'!$A:$A,0)),""))))))))</f>
        <v/>
      </c>
      <c r="U7" s="44" t="n">
        <f aca="false">COUNTIF('DL02b. Lịch sử liên hệ'!B:B,A7)</f>
        <v>1</v>
      </c>
      <c r="V7" s="188" t="n">
        <f aca="false">IF(COUNTIF('DL02b. Lịch sử liên hệ'!$B$4:$B$300,A7)=0,"",SUMPRODUCT(MAX(('DL02b. Lịch sử liên hệ'!$B$4:$B$300=A7)*'DL02b. Lịch sử liên hệ'!$D$4:$D$300)))</f>
        <v>46204.375</v>
      </c>
      <c r="W7" s="44"/>
      <c r="X7" s="181" t="str">
        <f aca="false">IFERROR(VLOOKUP(C7,'DL01. Nhân viên'!$A:$B,2,FALSE()),"")</f>
        <v>Huỳnh Quốc Khánh</v>
      </c>
    </row>
    <row r="8" customFormat="false" ht="45" hidden="false" customHeight="true" outlineLevel="0" collapsed="false">
      <c r="A8" s="21" t="s">
        <v>2544</v>
      </c>
      <c r="B8" s="185" t="n">
        <v>46202.375</v>
      </c>
      <c r="C8" s="180" t="str">
        <f aca="false">IFERROR(HYPERLINK("#'DL01. Nhân viên'!A"&amp;MATCH("NV025",'DL01. Nhân viên'!A:A,0),"NV025"),"NV025")</f>
        <v>NV025</v>
      </c>
      <c r="D8" s="185" t="n">
        <f aca="false">IF(COUNTIF('DL02b. Lịch sử liên hệ'!$B$4:$B$300,A8)=0,"",SUMPRODUCT(MIN(('DL02b. Lịch sử liên hệ'!$B$4:$B$300=A8)*'DL02b. Lịch sử liên hệ'!$D$4:$D$300+('DL02b. Lịch sử liên hệ'!$B$4:$B$300&lt;&gt;A8)*1000000000000)))</f>
        <v>46202.5833333333</v>
      </c>
      <c r="E8" s="21" t="s">
        <v>2545</v>
      </c>
      <c r="F8" s="21" t="s">
        <v>2546</v>
      </c>
      <c r="G8" s="21" t="s">
        <v>2546</v>
      </c>
      <c r="H8" s="21" t="s">
        <v>1012</v>
      </c>
      <c r="I8" s="21" t="s">
        <v>1021</v>
      </c>
      <c r="J8" s="186" t="n">
        <v>6</v>
      </c>
      <c r="K8" s="185" t="n">
        <v>46228.375</v>
      </c>
      <c r="L8" s="21" t="s">
        <v>2530</v>
      </c>
      <c r="M8" s="21" t="s">
        <v>1028</v>
      </c>
      <c r="N8" s="21" t="s">
        <v>947</v>
      </c>
      <c r="O8" s="21" t="s">
        <v>970</v>
      </c>
      <c r="P8" s="21" t="s">
        <v>981</v>
      </c>
      <c r="Q8" s="185" t="n">
        <v>46207.375</v>
      </c>
      <c r="R8" s="21"/>
      <c r="S8" s="21" t="s">
        <v>2547</v>
      </c>
      <c r="T8" s="187" t="str">
        <f aca="true" t="array" ref="T8:T8">IF(AND(C8&lt;&gt;"",D8="",(NOW()-N(B8))*24&gt;slaLeadReassign_hours),INDEX('CH4. Thông điệp nhắc việc'!$G:$G,MATCH("NA046",'CH4. Thông điệp nhắc việc'!$A:$A,0)),IF(AND(U8&gt;=thresholdContacted_attempts,ISNUMBER(SEARCH("no_response",P8))+ISNUMBER(SEARCH("considering",P8))),INDEX('CH4. Thông điệp nhắc việc'!$G:$G,MATCH("NA047",'CH4. Thông điệp nhắc việc'!$A:$A,0)),IF(AND(ISNUMBER(SEARCH("contacted",P8)),D8&lt;&gt;"",(NOW()-N(D8))&gt;thresholdContacted_days),INDEX('CH4. Thông điệp nhắc việc'!$G:$G,MATCH("NA048",'CH4. Thông điệp nhắc việc'!$A:$A,0)),IF(AND(ISNUMBER(SEARCH("new",P8)),(NOW()-N(B8))*1440&gt;slaLRT_minutes),INDEX('CH4. Thông điệp nhắc việc'!$G:$G,MATCH("NA049",'CH4. Thông điệp nhắc việc'!$A:$A,0)),IF(AND(ISNUMBER(SEARCH("new",P8)),(NOW()-N(B8))*1440&lt;=slaLRT_minutes),INDEX('CH4. Thông điệp nhắc việc'!$G:$G,MATCH("NA050",'CH4. Thông điệp nhắc việc'!$A:$A,0)),IF(AND(ISNUMBER(SEARCH("contacted",P8)+SEARCH("considering",P8)+SEARCH("no_response",P8)),Q8&lt;&gt;"",Q8&lt;=TODAY()),INDEX('CH4. Thông điệp nhắc việc'!$G:$G,MATCH("NA051",'CH4. Thông điệp nhắc việc'!$A:$A,0)),IF(AND(Q8&lt;&gt;"",Q8&lt;=TODAY()+1),INDEX('CH4. Thông điệp nhắc việc'!$G:$G,MATCH("NA052",'CH4. Thông điệp nhắc việc'!$A:$A,0)),IF(ISNUMBER(SEARCH("rejected",P8))+ISNUMBER(SEARCH("unreachable",P8)),INDEX('CH4. Thông điệp nhắc việc'!$G:$G,MATCH("NA053",'CH4. Thông điệp nhắc việc'!$A:$A,0)),""))))))))</f>
        <v>Sắp tới hẹn theo dõi lead (trong vòng 24 giờ). Việc cần làm: chuẩn bị liên hệ khách.</v>
      </c>
      <c r="U8" s="44" t="n">
        <f aca="false">COUNTIF('DL02b. Lịch sử liên hệ'!B:B,A8)</f>
        <v>1</v>
      </c>
      <c r="V8" s="188" t="n">
        <f aca="false">IF(COUNTIF('DL02b. Lịch sử liên hệ'!$B$4:$B$300,A8)=0,"",SUMPRODUCT(MAX(('DL02b. Lịch sử liên hệ'!$B$4:$B$300=A8)*'DL02b. Lịch sử liên hệ'!$D$4:$D$300)))</f>
        <v>46202.5833333333</v>
      </c>
      <c r="W8" s="44"/>
      <c r="X8" s="181" t="str">
        <f aca="false">IFERROR(VLOOKUP(C8,'DL01. Nhân viên'!$A:$B,2,FALSE()),"")</f>
        <v>Thái Phạm Tố Trinh</v>
      </c>
    </row>
    <row r="9" customFormat="false" ht="45" hidden="false" customHeight="true" outlineLevel="0" collapsed="false">
      <c r="A9" s="21" t="s">
        <v>114</v>
      </c>
      <c r="B9" s="185" t="n">
        <v>46153.375</v>
      </c>
      <c r="C9" s="180" t="str">
        <f aca="false">IFERROR(HYPERLINK("#'DL01. Nhân viên'!A"&amp;MATCH("NV001",'DL01. Nhân viên'!A:A,0),"NV001"),"NV001")</f>
        <v>NV001</v>
      </c>
      <c r="D9" s="185" t="n">
        <f aca="false">IF(COUNTIF('DL02b. Lịch sử liên hệ'!$B$4:$B$300,A9)=0,"",SUMPRODUCT(MIN(('DL02b. Lịch sử liên hệ'!$B$4:$B$300=A9)*'DL02b. Lịch sử liên hệ'!$D$4:$D$300+('DL02b. Lịch sử liên hệ'!$B$4:$B$300&lt;&gt;A9)*1000000000000)))</f>
        <v>46153.4166666667</v>
      </c>
      <c r="E9" s="21" t="s">
        <v>2548</v>
      </c>
      <c r="F9" s="21" t="s">
        <v>2549</v>
      </c>
      <c r="G9" s="21" t="s">
        <v>2549</v>
      </c>
      <c r="H9" s="21" t="s">
        <v>1012</v>
      </c>
      <c r="I9" s="21" t="s">
        <v>1023</v>
      </c>
      <c r="J9" s="186" t="n">
        <v>5</v>
      </c>
      <c r="K9" s="185" t="n">
        <v>46228.375</v>
      </c>
      <c r="L9" s="21" t="s">
        <v>2530</v>
      </c>
      <c r="M9" s="21" t="s">
        <v>1028</v>
      </c>
      <c r="N9" s="21" t="s">
        <v>947</v>
      </c>
      <c r="O9" s="21" t="s">
        <v>970</v>
      </c>
      <c r="P9" s="21" t="s">
        <v>989</v>
      </c>
      <c r="Q9" s="185"/>
      <c r="R9" s="21"/>
      <c r="S9" s="21" t="s">
        <v>2550</v>
      </c>
      <c r="T9" s="187" t="str">
        <f aca="true" t="array" ref="T9:T9">IF(AND(C9&lt;&gt;"",D9="",(NOW()-N(B9))*24&gt;slaLeadReassign_hours),INDEX('CH4. Thông điệp nhắc việc'!$G:$G,MATCH("NA046",'CH4. Thông điệp nhắc việc'!$A:$A,0)),IF(AND(U9&gt;=thresholdContacted_attempts,ISNUMBER(SEARCH("no_response",P9))+ISNUMBER(SEARCH("considering",P9))),INDEX('CH4. Thông điệp nhắc việc'!$G:$G,MATCH("NA047",'CH4. Thông điệp nhắc việc'!$A:$A,0)),IF(AND(ISNUMBER(SEARCH("contacted",P9)),D9&lt;&gt;"",(NOW()-N(D9))&gt;thresholdContacted_days),INDEX('CH4. Thông điệp nhắc việc'!$G:$G,MATCH("NA048",'CH4. Thông điệp nhắc việc'!$A:$A,0)),IF(AND(ISNUMBER(SEARCH("new",P9)),(NOW()-N(B9))*1440&gt;slaLRT_minutes),INDEX('CH4. Thông điệp nhắc việc'!$G:$G,MATCH("NA049",'CH4. Thông điệp nhắc việc'!$A:$A,0)),IF(AND(ISNUMBER(SEARCH("new",P9)),(NOW()-N(B9))*1440&lt;=slaLRT_minutes),INDEX('CH4. Thông điệp nhắc việc'!$G:$G,MATCH("NA050",'CH4. Thông điệp nhắc việc'!$A:$A,0)),IF(AND(ISNUMBER(SEARCH("contacted",P9)+SEARCH("considering",P9)+SEARCH("no_response",P9)),Q9&lt;&gt;"",Q9&lt;=TODAY()),INDEX('CH4. Thông điệp nhắc việc'!$G:$G,MATCH("NA051",'CH4. Thông điệp nhắc việc'!$A:$A,0)),IF(AND(Q9&lt;&gt;"",Q9&lt;=TODAY()+1),INDEX('CH4. Thông điệp nhắc việc'!$G:$G,MATCH("NA052",'CH4. Thông điệp nhắc việc'!$A:$A,0)),IF(ISNUMBER(SEARCH("rejected",P9))+ISNUMBER(SEARCH("unreachable",P9)),INDEX('CH4. Thông điệp nhắc việc'!$G:$G,MATCH("NA053",'CH4. Thông điệp nhắc việc'!$A:$A,0)),""))))))))</f>
        <v/>
      </c>
      <c r="U9" s="44" t="n">
        <f aca="false">COUNTIF('DL02b. Lịch sử liên hệ'!B:B,A9)</f>
        <v>2</v>
      </c>
      <c r="V9" s="188" t="n">
        <f aca="false">IF(COUNTIF('DL02b. Lịch sử liên hệ'!$B$4:$B$300,A9)=0,"",SUMPRODUCT(MAX(('DL02b. Lịch sử liên hệ'!$B$4:$B$300=A9)*'DL02b. Lịch sử liên hệ'!$D$4:$D$300)))</f>
        <v>46205.4166666667</v>
      </c>
      <c r="W9" s="44"/>
      <c r="X9" s="181" t="str">
        <f aca="false">IFERROR(VLOOKUP(C9,'DL01. Nhân viên'!$A:$B,2,FALSE()),"")</f>
        <v>Nguyễn Hoàng Anh Kiệt</v>
      </c>
    </row>
    <row r="10" customFormat="false" ht="45" hidden="false" customHeight="true" outlineLevel="0" collapsed="false">
      <c r="A10" s="21" t="s">
        <v>2551</v>
      </c>
      <c r="B10" s="185" t="n">
        <v>46138.375</v>
      </c>
      <c r="C10" s="180" t="str">
        <f aca="false">IFERROR(HYPERLINK("#'DL01. Nhân viên'!A"&amp;MATCH("NV002",'DL01. Nhân viên'!A:A,0),"NV002"),"NV002")</f>
        <v>NV002</v>
      </c>
      <c r="D10" s="185" t="n">
        <f aca="false">IF(COUNTIF('DL02b. Lịch sử liên hệ'!$B$4:$B$300,A10)=0,"",SUMPRODUCT(MIN(('DL02b. Lịch sử liên hệ'!$B$4:$B$300=A10)*'DL02b. Lịch sử liên hệ'!$D$4:$D$300+('DL02b. Lịch sử liên hệ'!$B$4:$B$300&lt;&gt;A10)*1000000000000)))</f>
        <v>46138.375</v>
      </c>
      <c r="E10" s="21" t="s">
        <v>2552</v>
      </c>
      <c r="F10" s="21" t="s">
        <v>2553</v>
      </c>
      <c r="G10" s="21" t="s">
        <v>2553</v>
      </c>
      <c r="H10" s="21" t="s">
        <v>1012</v>
      </c>
      <c r="I10" s="21" t="s">
        <v>1015</v>
      </c>
      <c r="J10" s="186" t="n">
        <v>6.5</v>
      </c>
      <c r="K10" s="185" t="n">
        <v>46228.375</v>
      </c>
      <c r="L10" s="21" t="s">
        <v>2530</v>
      </c>
      <c r="M10" s="21" t="s">
        <v>1028</v>
      </c>
      <c r="N10" s="21" t="s">
        <v>947</v>
      </c>
      <c r="O10" s="21" t="s">
        <v>970</v>
      </c>
      <c r="P10" s="21" t="s">
        <v>989</v>
      </c>
      <c r="Q10" s="185"/>
      <c r="R10" s="21"/>
      <c r="S10" s="21" t="s">
        <v>2554</v>
      </c>
      <c r="T10" s="187" t="str">
        <f aca="true" t="array" ref="T10:T10">IF(AND(C10&lt;&gt;"",D10="",(NOW()-N(B10))*24&gt;slaLeadReassign_hours),INDEX('CH4. Thông điệp nhắc việc'!$G:$G,MATCH("NA046",'CH4. Thông điệp nhắc việc'!$A:$A,0)),IF(AND(U10&gt;=thresholdContacted_attempts,ISNUMBER(SEARCH("no_response",P10))+ISNUMBER(SEARCH("considering",P10))),INDEX('CH4. Thông điệp nhắc việc'!$G:$G,MATCH("NA047",'CH4. Thông điệp nhắc việc'!$A:$A,0)),IF(AND(ISNUMBER(SEARCH("contacted",P10)),D10&lt;&gt;"",(NOW()-N(D10))&gt;thresholdContacted_days),INDEX('CH4. Thông điệp nhắc việc'!$G:$G,MATCH("NA048",'CH4. Thông điệp nhắc việc'!$A:$A,0)),IF(AND(ISNUMBER(SEARCH("new",P10)),(NOW()-N(B10))*1440&gt;slaLRT_minutes),INDEX('CH4. Thông điệp nhắc việc'!$G:$G,MATCH("NA049",'CH4. Thông điệp nhắc việc'!$A:$A,0)),IF(AND(ISNUMBER(SEARCH("new",P10)),(NOW()-N(B10))*1440&lt;=slaLRT_minutes),INDEX('CH4. Thông điệp nhắc việc'!$G:$G,MATCH("NA050",'CH4. Thông điệp nhắc việc'!$A:$A,0)),IF(AND(ISNUMBER(SEARCH("contacted",P10)+SEARCH("considering",P10)+SEARCH("no_response",P10)),Q10&lt;&gt;"",Q10&lt;=TODAY()),INDEX('CH4. Thông điệp nhắc việc'!$G:$G,MATCH("NA051",'CH4. Thông điệp nhắc việc'!$A:$A,0)),IF(AND(Q10&lt;&gt;"",Q10&lt;=TODAY()+1),INDEX('CH4. Thông điệp nhắc việc'!$G:$G,MATCH("NA052",'CH4. Thông điệp nhắc việc'!$A:$A,0)),IF(ISNUMBER(SEARCH("rejected",P10))+ISNUMBER(SEARCH("unreachable",P10)),INDEX('CH4. Thông điệp nhắc việc'!$G:$G,MATCH("NA053",'CH4. Thông điệp nhắc việc'!$A:$A,0)),""))))))))</f>
        <v/>
      </c>
      <c r="U10" s="44" t="n">
        <f aca="false">COUNTIF('DL02b. Lịch sử liên hệ'!B:B,A10)</f>
        <v>2</v>
      </c>
      <c r="V10" s="188" t="n">
        <f aca="false">IF(COUNTIF('DL02b. Lịch sử liên hệ'!$B$4:$B$300,A10)=0,"",SUMPRODUCT(MAX(('DL02b. Lịch sử liên hệ'!$B$4:$B$300=A10)*'DL02b. Lịch sử liên hệ'!$D$4:$D$300)))</f>
        <v>46204.4166666667</v>
      </c>
      <c r="W10" s="44"/>
      <c r="X10" s="181" t="str">
        <f aca="false">IFERROR(VLOOKUP(C10,'DL01. Nhân viên'!$A:$B,2,FALSE()),"")</f>
        <v>Nguyễn Văn Thanh Thuyên</v>
      </c>
    </row>
    <row r="11" customFormat="false" ht="45" hidden="false" customHeight="true" outlineLevel="0" collapsed="false">
      <c r="A11" s="21" t="s">
        <v>2555</v>
      </c>
      <c r="B11" s="185" t="n">
        <v>46158.375</v>
      </c>
      <c r="C11" s="180" t="str">
        <f aca="false">IFERROR(HYPERLINK("#'DL01. Nhân viên'!A"&amp;MATCH("NV023",'DL01. Nhân viên'!A:A,0),"NV023"),"NV023")</f>
        <v>NV023</v>
      </c>
      <c r="D11" s="185" t="n">
        <f aca="false">IF(COUNTIF('DL02b. Lịch sử liên hệ'!$B$4:$B$300,A11)=0,"",SUMPRODUCT(MIN(('DL02b. Lịch sử liên hệ'!$B$4:$B$300=A11)*'DL02b. Lịch sử liên hệ'!$D$4:$D$300+('DL02b. Lịch sử liên hệ'!$B$4:$B$300&lt;&gt;A11)*1000000000000)))</f>
        <v>46158.4166666667</v>
      </c>
      <c r="E11" s="21" t="s">
        <v>2556</v>
      </c>
      <c r="F11" s="21" t="s">
        <v>2557</v>
      </c>
      <c r="G11" s="21" t="s">
        <v>2557</v>
      </c>
      <c r="H11" s="21" t="s">
        <v>1012</v>
      </c>
      <c r="I11" s="21" t="s">
        <v>1021</v>
      </c>
      <c r="J11" s="186" t="n">
        <v>6</v>
      </c>
      <c r="K11" s="185" t="n">
        <v>46228.375</v>
      </c>
      <c r="L11" s="21" t="s">
        <v>2530</v>
      </c>
      <c r="M11" s="21" t="s">
        <v>1028</v>
      </c>
      <c r="N11" s="21" t="s">
        <v>947</v>
      </c>
      <c r="O11" s="21" t="s">
        <v>970</v>
      </c>
      <c r="P11" s="21" t="s">
        <v>989</v>
      </c>
      <c r="Q11" s="185"/>
      <c r="R11" s="21"/>
      <c r="S11" s="21" t="s">
        <v>2558</v>
      </c>
      <c r="T11" s="187" t="str">
        <f aca="true" t="array" ref="T11:T11">IF(AND(C11&lt;&gt;"",D11="",(NOW()-N(B11))*24&gt;slaLeadReassign_hours),INDEX('CH4. Thông điệp nhắc việc'!$G:$G,MATCH("NA046",'CH4. Thông điệp nhắc việc'!$A:$A,0)),IF(AND(U11&gt;=thresholdContacted_attempts,ISNUMBER(SEARCH("no_response",P11))+ISNUMBER(SEARCH("considering",P11))),INDEX('CH4. Thông điệp nhắc việc'!$G:$G,MATCH("NA047",'CH4. Thông điệp nhắc việc'!$A:$A,0)),IF(AND(ISNUMBER(SEARCH("contacted",P11)),D11&lt;&gt;"",(NOW()-N(D11))&gt;thresholdContacted_days),INDEX('CH4. Thông điệp nhắc việc'!$G:$G,MATCH("NA048",'CH4. Thông điệp nhắc việc'!$A:$A,0)),IF(AND(ISNUMBER(SEARCH("new",P11)),(NOW()-N(B11))*1440&gt;slaLRT_minutes),INDEX('CH4. Thông điệp nhắc việc'!$G:$G,MATCH("NA049",'CH4. Thông điệp nhắc việc'!$A:$A,0)),IF(AND(ISNUMBER(SEARCH("new",P11)),(NOW()-N(B11))*1440&lt;=slaLRT_minutes),INDEX('CH4. Thông điệp nhắc việc'!$G:$G,MATCH("NA050",'CH4. Thông điệp nhắc việc'!$A:$A,0)),IF(AND(ISNUMBER(SEARCH("contacted",P11)+SEARCH("considering",P11)+SEARCH("no_response",P11)),Q11&lt;&gt;"",Q11&lt;=TODAY()),INDEX('CH4. Thông điệp nhắc việc'!$G:$G,MATCH("NA051",'CH4. Thông điệp nhắc việc'!$A:$A,0)),IF(AND(Q11&lt;&gt;"",Q11&lt;=TODAY()+1),INDEX('CH4. Thông điệp nhắc việc'!$G:$G,MATCH("NA052",'CH4. Thông điệp nhắc việc'!$A:$A,0)),IF(ISNUMBER(SEARCH("rejected",P11))+ISNUMBER(SEARCH("unreachable",P11)),INDEX('CH4. Thông điệp nhắc việc'!$G:$G,MATCH("NA053",'CH4. Thông điệp nhắc việc'!$A:$A,0)),""))))))))</f>
        <v/>
      </c>
      <c r="U11" s="44" t="n">
        <f aca="false">COUNTIF('DL02b. Lịch sử liên hệ'!B:B,A11)</f>
        <v>2</v>
      </c>
      <c r="V11" s="188" t="n">
        <f aca="false">IF(COUNTIF('DL02b. Lịch sử liên hệ'!$B$4:$B$300,A11)=0,"",SUMPRODUCT(MAX(('DL02b. Lịch sử liên hệ'!$B$4:$B$300=A11)*'DL02b. Lịch sử liên hệ'!$D$4:$D$300)))</f>
        <v>46206.4166666667</v>
      </c>
      <c r="W11" s="44"/>
      <c r="X11" s="181" t="str">
        <f aca="false">IFERROR(VLOOKUP(C11,'DL01. Nhân viên'!$A:$B,2,FALSE()),"")</f>
        <v>Nguyễn Thị Phương Duyên</v>
      </c>
    </row>
    <row r="12" customFormat="false" ht="45" hidden="false" customHeight="true" outlineLevel="0" collapsed="false">
      <c r="A12" s="21" t="s">
        <v>2559</v>
      </c>
      <c r="B12" s="185" t="n">
        <v>46160.375</v>
      </c>
      <c r="C12" s="180" t="str">
        <f aca="false">IFERROR(HYPERLINK("#'DL01. Nhân viên'!A"&amp;MATCH("NV024",'DL01. Nhân viên'!A:A,0),"NV024"),"NV024")</f>
        <v>NV024</v>
      </c>
      <c r="D12" s="185" t="n">
        <f aca="false">IF(COUNTIF('DL02b. Lịch sử liên hệ'!$B$4:$B$300,A12)=0,"",SUMPRODUCT(MIN(('DL02b. Lịch sử liên hệ'!$B$4:$B$300=A12)*'DL02b. Lịch sử liên hệ'!$D$4:$D$300+('DL02b. Lịch sử liên hệ'!$B$4:$B$300&lt;&gt;A12)*1000000000000)))</f>
        <v>46160.4583333333</v>
      </c>
      <c r="E12" s="21" t="s">
        <v>2560</v>
      </c>
      <c r="F12" s="21" t="s">
        <v>2561</v>
      </c>
      <c r="G12" s="21" t="s">
        <v>2561</v>
      </c>
      <c r="H12" s="21" t="s">
        <v>1012</v>
      </c>
      <c r="I12" s="21" t="s">
        <v>1015</v>
      </c>
      <c r="J12" s="186" t="n">
        <v>6.5</v>
      </c>
      <c r="K12" s="185" t="n">
        <v>46228.375</v>
      </c>
      <c r="L12" s="21" t="s">
        <v>2530</v>
      </c>
      <c r="M12" s="21" t="s">
        <v>1028</v>
      </c>
      <c r="N12" s="21" t="s">
        <v>947</v>
      </c>
      <c r="O12" s="21" t="s">
        <v>970</v>
      </c>
      <c r="P12" s="21" t="s">
        <v>989</v>
      </c>
      <c r="Q12" s="185"/>
      <c r="R12" s="21"/>
      <c r="S12" s="21" t="s">
        <v>2554</v>
      </c>
      <c r="T12" s="187" t="str">
        <f aca="true" t="array" ref="T12:T12">IF(AND(C12&lt;&gt;"",D12="",(NOW()-N(B12))*24&gt;slaLeadReassign_hours),INDEX('CH4. Thông điệp nhắc việc'!$G:$G,MATCH("NA046",'CH4. Thông điệp nhắc việc'!$A:$A,0)),IF(AND(U12&gt;=thresholdContacted_attempts,ISNUMBER(SEARCH("no_response",P12))+ISNUMBER(SEARCH("considering",P12))),INDEX('CH4. Thông điệp nhắc việc'!$G:$G,MATCH("NA047",'CH4. Thông điệp nhắc việc'!$A:$A,0)),IF(AND(ISNUMBER(SEARCH("contacted",P12)),D12&lt;&gt;"",(NOW()-N(D12))&gt;thresholdContacted_days),INDEX('CH4. Thông điệp nhắc việc'!$G:$G,MATCH("NA048",'CH4. Thông điệp nhắc việc'!$A:$A,0)),IF(AND(ISNUMBER(SEARCH("new",P12)),(NOW()-N(B12))*1440&gt;slaLRT_minutes),INDEX('CH4. Thông điệp nhắc việc'!$G:$G,MATCH("NA049",'CH4. Thông điệp nhắc việc'!$A:$A,0)),IF(AND(ISNUMBER(SEARCH("new",P12)),(NOW()-N(B12))*1440&lt;=slaLRT_minutes),INDEX('CH4. Thông điệp nhắc việc'!$G:$G,MATCH("NA050",'CH4. Thông điệp nhắc việc'!$A:$A,0)),IF(AND(ISNUMBER(SEARCH("contacted",P12)+SEARCH("considering",P12)+SEARCH("no_response",P12)),Q12&lt;&gt;"",Q12&lt;=TODAY()),INDEX('CH4. Thông điệp nhắc việc'!$G:$G,MATCH("NA051",'CH4. Thông điệp nhắc việc'!$A:$A,0)),IF(AND(Q12&lt;&gt;"",Q12&lt;=TODAY()+1),INDEX('CH4. Thông điệp nhắc việc'!$G:$G,MATCH("NA052",'CH4. Thông điệp nhắc việc'!$A:$A,0)),IF(ISNUMBER(SEARCH("rejected",P12))+ISNUMBER(SEARCH("unreachable",P12)),INDEX('CH4. Thông điệp nhắc việc'!$G:$G,MATCH("NA053",'CH4. Thông điệp nhắc việc'!$A:$A,0)),""))))))))</f>
        <v/>
      </c>
      <c r="U12" s="44" t="n">
        <f aca="false">COUNTIF('DL02b. Lịch sử liên hệ'!B:B,A12)</f>
        <v>2</v>
      </c>
      <c r="V12" s="188" t="n">
        <f aca="false">IF(COUNTIF('DL02b. Lịch sử liên hệ'!$B$4:$B$300,A12)=0,"",SUMPRODUCT(MAX(('DL02b. Lịch sử liên hệ'!$B$4:$B$300=A12)*'DL02b. Lịch sử liên hệ'!$D$4:$D$300)))</f>
        <v>46203.4166666667</v>
      </c>
      <c r="W12" s="44"/>
      <c r="X12" s="181" t="str">
        <f aca="false">IFERROR(VLOOKUP(C12,'DL01. Nhân viên'!$A:$B,2,FALSE()),"")</f>
        <v>Huỳnh Quốc Khánh</v>
      </c>
    </row>
    <row r="13" customFormat="false" ht="45" hidden="false" customHeight="true" outlineLevel="0" collapsed="false">
      <c r="A13" s="21" t="s">
        <v>2562</v>
      </c>
      <c r="B13" s="185" t="n">
        <v>46163.375</v>
      </c>
      <c r="C13" s="180" t="str">
        <f aca="false">IFERROR(HYPERLINK("#'DL01. Nhân viên'!A"&amp;MATCH("NV025",'DL01. Nhân viên'!A:A,0),"NV025"),"NV025")</f>
        <v>NV025</v>
      </c>
      <c r="D13" s="185" t="n">
        <f aca="false">IF(COUNTIF('DL02b. Lịch sử liên hệ'!$B$4:$B$300,A13)=0,"",SUMPRODUCT(MIN(('DL02b. Lịch sử liên hệ'!$B$4:$B$300=A13)*'DL02b. Lịch sử liên hệ'!$D$4:$D$300+('DL02b. Lịch sử liên hệ'!$B$4:$B$300&lt;&gt;A13)*1000000000000)))</f>
        <v>46163.625</v>
      </c>
      <c r="E13" s="21" t="s">
        <v>2563</v>
      </c>
      <c r="F13" s="21" t="s">
        <v>2564</v>
      </c>
      <c r="G13" s="21" t="s">
        <v>2564</v>
      </c>
      <c r="H13" s="21" t="s">
        <v>1012</v>
      </c>
      <c r="I13" s="21" t="s">
        <v>1015</v>
      </c>
      <c r="J13" s="186" t="n">
        <v>7</v>
      </c>
      <c r="K13" s="185" t="n">
        <v>46228.375</v>
      </c>
      <c r="L13" s="21" t="s">
        <v>2530</v>
      </c>
      <c r="M13" s="21" t="s">
        <v>1028</v>
      </c>
      <c r="N13" s="21" t="s">
        <v>947</v>
      </c>
      <c r="O13" s="21" t="s">
        <v>970</v>
      </c>
      <c r="P13" s="21" t="s">
        <v>989</v>
      </c>
      <c r="Q13" s="185"/>
      <c r="R13" s="21"/>
      <c r="S13" s="21" t="s">
        <v>2565</v>
      </c>
      <c r="T13" s="187" t="str">
        <f aca="true" t="array" ref="T13:T13">IF(AND(C13&lt;&gt;"",D13="",(NOW()-N(B13))*24&gt;slaLeadReassign_hours),INDEX('CH4. Thông điệp nhắc việc'!$G:$G,MATCH("NA046",'CH4. Thông điệp nhắc việc'!$A:$A,0)),IF(AND(U13&gt;=thresholdContacted_attempts,ISNUMBER(SEARCH("no_response",P13))+ISNUMBER(SEARCH("considering",P13))),INDEX('CH4. Thông điệp nhắc việc'!$G:$G,MATCH("NA047",'CH4. Thông điệp nhắc việc'!$A:$A,0)),IF(AND(ISNUMBER(SEARCH("contacted",P13)),D13&lt;&gt;"",(NOW()-N(D13))&gt;thresholdContacted_days),INDEX('CH4. Thông điệp nhắc việc'!$G:$G,MATCH("NA048",'CH4. Thông điệp nhắc việc'!$A:$A,0)),IF(AND(ISNUMBER(SEARCH("new",P13)),(NOW()-N(B13))*1440&gt;slaLRT_minutes),INDEX('CH4. Thông điệp nhắc việc'!$G:$G,MATCH("NA049",'CH4. Thông điệp nhắc việc'!$A:$A,0)),IF(AND(ISNUMBER(SEARCH("new",P13)),(NOW()-N(B13))*1440&lt;=slaLRT_minutes),INDEX('CH4. Thông điệp nhắc việc'!$G:$G,MATCH("NA050",'CH4. Thông điệp nhắc việc'!$A:$A,0)),IF(AND(ISNUMBER(SEARCH("contacted",P13)+SEARCH("considering",P13)+SEARCH("no_response",P13)),Q13&lt;&gt;"",Q13&lt;=TODAY()),INDEX('CH4. Thông điệp nhắc việc'!$G:$G,MATCH("NA051",'CH4. Thông điệp nhắc việc'!$A:$A,0)),IF(AND(Q13&lt;&gt;"",Q13&lt;=TODAY()+1),INDEX('CH4. Thông điệp nhắc việc'!$G:$G,MATCH("NA052",'CH4. Thông điệp nhắc việc'!$A:$A,0)),IF(ISNUMBER(SEARCH("rejected",P13))+ISNUMBER(SEARCH("unreachable",P13)),INDEX('CH4. Thông điệp nhắc việc'!$G:$G,MATCH("NA053",'CH4. Thông điệp nhắc việc'!$A:$A,0)),""))))))))</f>
        <v/>
      </c>
      <c r="U13" s="44" t="n">
        <f aca="false">COUNTIF('DL02b. Lịch sử liên hệ'!B:B,A13)</f>
        <v>2</v>
      </c>
      <c r="V13" s="188" t="n">
        <f aca="false">IF(COUNTIF('DL02b. Lịch sử liên hệ'!$B$4:$B$300,A13)=0,"",SUMPRODUCT(MAX(('DL02b. Lịch sử liên hệ'!$B$4:$B$300=A13)*'DL02b. Lịch sử liên hệ'!$D$4:$D$300)))</f>
        <v>46206.4166666667</v>
      </c>
      <c r="W13" s="44"/>
      <c r="X13" s="181" t="str">
        <f aca="false">IFERROR(VLOOKUP(C13,'DL01. Nhân viên'!$A:$B,2,FALSE()),"")</f>
        <v>Thái Phạm Tố Trinh</v>
      </c>
    </row>
    <row r="14" customFormat="false" ht="45" hidden="false" customHeight="true" outlineLevel="0" collapsed="false">
      <c r="A14" s="21" t="s">
        <v>2566</v>
      </c>
      <c r="B14" s="185" t="n">
        <v>46200.375</v>
      </c>
      <c r="C14" s="180" t="str">
        <f aca="false">IFERROR(HYPERLINK("#'DL01. Nhân viên'!A"&amp;MATCH("NV001",'DL01. Nhân viên'!A:A,0),"NV001"),"NV001")</f>
        <v>NV001</v>
      </c>
      <c r="D14" s="185" t="n">
        <f aca="false">IF(COUNTIF('DL02b. Lịch sử liên hệ'!$B$4:$B$300,A14)=0,"",SUMPRODUCT(MIN(('DL02b. Lịch sử liên hệ'!$B$4:$B$300=A14)*'DL02b. Lịch sử liên hệ'!$D$4:$D$300+('DL02b. Lịch sử liên hệ'!$B$4:$B$300&lt;&gt;A14)*1000000000000)))</f>
        <v>46200.4166666667</v>
      </c>
      <c r="E14" s="21" t="s">
        <v>2567</v>
      </c>
      <c r="F14" s="21" t="s">
        <v>2568</v>
      </c>
      <c r="G14" s="21" t="s">
        <v>2568</v>
      </c>
      <c r="H14" s="21" t="s">
        <v>1012</v>
      </c>
      <c r="I14" s="21" t="s">
        <v>1023</v>
      </c>
      <c r="J14" s="186" t="n">
        <v>5</v>
      </c>
      <c r="K14" s="185" t="n">
        <v>46228.375</v>
      </c>
      <c r="L14" s="21" t="s">
        <v>2530</v>
      </c>
      <c r="M14" s="21" t="s">
        <v>1028</v>
      </c>
      <c r="N14" s="21" t="s">
        <v>947</v>
      </c>
      <c r="O14" s="21" t="s">
        <v>970</v>
      </c>
      <c r="P14" s="21" t="s">
        <v>989</v>
      </c>
      <c r="Q14" s="185"/>
      <c r="R14" s="21"/>
      <c r="S14" s="21" t="s">
        <v>2569</v>
      </c>
      <c r="T14" s="187" t="str">
        <f aca="true" t="array" ref="T14:T14">IF(AND(C14&lt;&gt;"",D14="",(NOW()-N(B14))*24&gt;slaLeadReassign_hours),INDEX('CH4. Thông điệp nhắc việc'!$G:$G,MATCH("NA046",'CH4. Thông điệp nhắc việc'!$A:$A,0)),IF(AND(U14&gt;=thresholdContacted_attempts,ISNUMBER(SEARCH("no_response",P14))+ISNUMBER(SEARCH("considering",P14))),INDEX('CH4. Thông điệp nhắc việc'!$G:$G,MATCH("NA047",'CH4. Thông điệp nhắc việc'!$A:$A,0)),IF(AND(ISNUMBER(SEARCH("contacted",P14)),D14&lt;&gt;"",(NOW()-N(D14))&gt;thresholdContacted_days),INDEX('CH4. Thông điệp nhắc việc'!$G:$G,MATCH("NA048",'CH4. Thông điệp nhắc việc'!$A:$A,0)),IF(AND(ISNUMBER(SEARCH("new",P14)),(NOW()-N(B14))*1440&gt;slaLRT_minutes),INDEX('CH4. Thông điệp nhắc việc'!$G:$G,MATCH("NA049",'CH4. Thông điệp nhắc việc'!$A:$A,0)),IF(AND(ISNUMBER(SEARCH("new",P14)),(NOW()-N(B14))*1440&lt;=slaLRT_minutes),INDEX('CH4. Thông điệp nhắc việc'!$G:$G,MATCH("NA050",'CH4. Thông điệp nhắc việc'!$A:$A,0)),IF(AND(ISNUMBER(SEARCH("contacted",P14)+SEARCH("considering",P14)+SEARCH("no_response",P14)),Q14&lt;&gt;"",Q14&lt;=TODAY()),INDEX('CH4. Thông điệp nhắc việc'!$G:$G,MATCH("NA051",'CH4. Thông điệp nhắc việc'!$A:$A,0)),IF(AND(Q14&lt;&gt;"",Q14&lt;=TODAY()+1),INDEX('CH4. Thông điệp nhắc việc'!$G:$G,MATCH("NA052",'CH4. Thông điệp nhắc việc'!$A:$A,0)),IF(ISNUMBER(SEARCH("rejected",P14))+ISNUMBER(SEARCH("unreachable",P14)),INDEX('CH4. Thông điệp nhắc việc'!$G:$G,MATCH("NA053",'CH4. Thông điệp nhắc việc'!$A:$A,0)),""))))))))</f>
        <v/>
      </c>
      <c r="U14" s="44" t="n">
        <f aca="false">COUNTIF('DL02b. Lịch sử liên hệ'!B:B,A14)</f>
        <v>2</v>
      </c>
      <c r="V14" s="188" t="n">
        <f aca="false">IF(COUNTIF('DL02b. Lịch sử liên hệ'!$B$4:$B$300,A14)=0,"",SUMPRODUCT(MAX(('DL02b. Lịch sử liên hệ'!$B$4:$B$300=A14)*'DL02b. Lịch sử liên hệ'!$D$4:$D$300)))</f>
        <v>46207.4166666667</v>
      </c>
      <c r="W14" s="44"/>
      <c r="X14" s="181" t="str">
        <f aca="false">IFERROR(VLOOKUP(C14,'DL01. Nhân viên'!$A:$B,2,FALSE()),"")</f>
        <v>Nguyễn Hoàng Anh Kiệt</v>
      </c>
    </row>
    <row r="15" customFormat="false" ht="45" hidden="false" customHeight="true" outlineLevel="0" collapsed="false">
      <c r="A15" s="21" t="s">
        <v>2570</v>
      </c>
      <c r="B15" s="185" t="n">
        <v>46176.375</v>
      </c>
      <c r="C15" s="180" t="str">
        <f aca="false">IFERROR(HYPERLINK("#'DL01. Nhân viên'!A"&amp;MATCH("NV001",'DL01. Nhân viên'!A:A,0),"NV001"),"NV001")</f>
        <v>NV001</v>
      </c>
      <c r="D15" s="185" t="n">
        <f aca="false">IF(COUNTIF('DL02b. Lịch sử liên hệ'!$B$4:$B$300,A15)=0,"",SUMPRODUCT(MIN(('DL02b. Lịch sử liên hệ'!$B$4:$B$300=A15)*'DL02b. Lịch sử liên hệ'!$D$4:$D$300+('DL02b. Lịch sử liên hệ'!$B$4:$B$300&lt;&gt;A15)*1000000000000)))</f>
        <v>46177.4166666667</v>
      </c>
      <c r="E15" s="21" t="s">
        <v>2571</v>
      </c>
      <c r="F15" s="21" t="s">
        <v>2572</v>
      </c>
      <c r="G15" s="21" t="s">
        <v>2572</v>
      </c>
      <c r="H15" s="21" t="s">
        <v>1012</v>
      </c>
      <c r="I15" s="21" t="s">
        <v>1015</v>
      </c>
      <c r="J15" s="186" t="n">
        <v>5</v>
      </c>
      <c r="K15" s="185" t="n">
        <v>46228.375</v>
      </c>
      <c r="L15" s="21" t="s">
        <v>2530</v>
      </c>
      <c r="M15" s="21" t="s">
        <v>1028</v>
      </c>
      <c r="N15" s="21" t="s">
        <v>961</v>
      </c>
      <c r="O15" s="21" t="s">
        <v>970</v>
      </c>
      <c r="P15" s="21" t="s">
        <v>989</v>
      </c>
      <c r="Q15" s="185"/>
      <c r="R15" s="21"/>
      <c r="S15" s="21" t="s">
        <v>2573</v>
      </c>
      <c r="T15" s="187" t="str">
        <f aca="true" t="array" ref="T15:T15">IF(AND(C15&lt;&gt;"",D15="",(NOW()-N(B15))*24&gt;slaLeadReassign_hours),INDEX('CH4. Thông điệp nhắc việc'!$G:$G,MATCH("NA046",'CH4. Thông điệp nhắc việc'!$A:$A,0)),IF(AND(U15&gt;=thresholdContacted_attempts,ISNUMBER(SEARCH("no_response",P15))+ISNUMBER(SEARCH("considering",P15))),INDEX('CH4. Thông điệp nhắc việc'!$G:$G,MATCH("NA047",'CH4. Thông điệp nhắc việc'!$A:$A,0)),IF(AND(ISNUMBER(SEARCH("contacted",P15)),D15&lt;&gt;"",(NOW()-N(D15))&gt;thresholdContacted_days),INDEX('CH4. Thông điệp nhắc việc'!$G:$G,MATCH("NA048",'CH4. Thông điệp nhắc việc'!$A:$A,0)),IF(AND(ISNUMBER(SEARCH("new",P15)),(NOW()-N(B15))*1440&gt;slaLRT_minutes),INDEX('CH4. Thông điệp nhắc việc'!$G:$G,MATCH("NA049",'CH4. Thông điệp nhắc việc'!$A:$A,0)),IF(AND(ISNUMBER(SEARCH("new",P15)),(NOW()-N(B15))*1440&lt;=slaLRT_minutes),INDEX('CH4. Thông điệp nhắc việc'!$G:$G,MATCH("NA050",'CH4. Thông điệp nhắc việc'!$A:$A,0)),IF(AND(ISNUMBER(SEARCH("contacted",P15)+SEARCH("considering",P15)+SEARCH("no_response",P15)),Q15&lt;&gt;"",Q15&lt;=TODAY()),INDEX('CH4. Thông điệp nhắc việc'!$G:$G,MATCH("NA051",'CH4. Thông điệp nhắc việc'!$A:$A,0)),IF(AND(Q15&lt;&gt;"",Q15&lt;=TODAY()+1),INDEX('CH4. Thông điệp nhắc việc'!$G:$G,MATCH("NA052",'CH4. Thông điệp nhắc việc'!$A:$A,0)),IF(ISNUMBER(SEARCH("rejected",P15))+ISNUMBER(SEARCH("unreachable",P15)),INDEX('CH4. Thông điệp nhắc việc'!$G:$G,MATCH("NA053",'CH4. Thông điệp nhắc việc'!$A:$A,0)),""))))))))</f>
        <v/>
      </c>
      <c r="U15" s="44" t="n">
        <f aca="false">COUNTIF('DL02b. Lịch sử liên hệ'!B:B,A15)</f>
        <v>1</v>
      </c>
      <c r="V15" s="188" t="n">
        <f aca="false">IF(COUNTIF('DL02b. Lịch sử liên hệ'!$B$4:$B$300,A15)=0,"",SUMPRODUCT(MAX(('DL02b. Lịch sử liên hệ'!$B$4:$B$300=A15)*'DL02b. Lịch sử liên hệ'!$D$4:$D$300)))</f>
        <v>46177.4166666667</v>
      </c>
      <c r="W15" s="44"/>
      <c r="X15" s="181" t="str">
        <f aca="false">IFERROR(VLOOKUP(C15,'DL01. Nhân viên'!$A:$B,2,FALSE()),"")</f>
        <v>Nguyễn Hoàng Anh Kiệt</v>
      </c>
    </row>
    <row r="16" customFormat="false" ht="45" hidden="false" customHeight="true" outlineLevel="0" collapsed="false">
      <c r="A16" s="21" t="s">
        <v>2574</v>
      </c>
      <c r="B16" s="185" t="n">
        <v>46178.375</v>
      </c>
      <c r="C16" s="180" t="str">
        <f aca="false">IFERROR(HYPERLINK("#'DL01. Nhân viên'!A"&amp;MATCH("NV002",'DL01. Nhân viên'!A:A,0),"NV002"),"NV002")</f>
        <v>NV002</v>
      </c>
      <c r="D16" s="185" t="n">
        <f aca="false">IF(COUNTIF('DL02b. Lịch sử liên hệ'!$B$4:$B$300,A16)=0,"",SUMPRODUCT(MIN(('DL02b. Lịch sử liên hệ'!$B$4:$B$300=A16)*'DL02b. Lịch sử liên hệ'!$D$4:$D$300+('DL02b. Lịch sử liên hệ'!$B$4:$B$300&lt;&gt;A16)*1000000000000)))</f>
        <v>46179.4166666667</v>
      </c>
      <c r="E16" s="21" t="s">
        <v>2575</v>
      </c>
      <c r="F16" s="21" t="s">
        <v>2576</v>
      </c>
      <c r="G16" s="21" t="s">
        <v>2576</v>
      </c>
      <c r="H16" s="21" t="s">
        <v>1012</v>
      </c>
      <c r="I16" s="21" t="s">
        <v>1023</v>
      </c>
      <c r="J16" s="186" t="n">
        <v>5</v>
      </c>
      <c r="K16" s="185" t="n">
        <v>46228.375</v>
      </c>
      <c r="L16" s="21" t="s">
        <v>2530</v>
      </c>
      <c r="M16" s="21" t="s">
        <v>1028</v>
      </c>
      <c r="N16" s="21" t="s">
        <v>959</v>
      </c>
      <c r="O16" s="21" t="s">
        <v>970</v>
      </c>
      <c r="P16" s="21" t="s">
        <v>989</v>
      </c>
      <c r="Q16" s="185"/>
      <c r="R16" s="21"/>
      <c r="S16" s="21" t="s">
        <v>2573</v>
      </c>
      <c r="T16" s="187" t="str">
        <f aca="true" t="array" ref="T16:T16">IF(AND(C16&lt;&gt;"",D16="",(NOW()-N(B16))*24&gt;slaLeadReassign_hours),INDEX('CH4. Thông điệp nhắc việc'!$G:$G,MATCH("NA046",'CH4. Thông điệp nhắc việc'!$A:$A,0)),IF(AND(U16&gt;=thresholdContacted_attempts,ISNUMBER(SEARCH("no_response",P16))+ISNUMBER(SEARCH("considering",P16))),INDEX('CH4. Thông điệp nhắc việc'!$G:$G,MATCH("NA047",'CH4. Thông điệp nhắc việc'!$A:$A,0)),IF(AND(ISNUMBER(SEARCH("contacted",P16)),D16&lt;&gt;"",(NOW()-N(D16))&gt;thresholdContacted_days),INDEX('CH4. Thông điệp nhắc việc'!$G:$G,MATCH("NA048",'CH4. Thông điệp nhắc việc'!$A:$A,0)),IF(AND(ISNUMBER(SEARCH("new",P16)),(NOW()-N(B16))*1440&gt;slaLRT_minutes),INDEX('CH4. Thông điệp nhắc việc'!$G:$G,MATCH("NA049",'CH4. Thông điệp nhắc việc'!$A:$A,0)),IF(AND(ISNUMBER(SEARCH("new",P16)),(NOW()-N(B16))*1440&lt;=slaLRT_minutes),INDEX('CH4. Thông điệp nhắc việc'!$G:$G,MATCH("NA050",'CH4. Thông điệp nhắc việc'!$A:$A,0)),IF(AND(ISNUMBER(SEARCH("contacted",P16)+SEARCH("considering",P16)+SEARCH("no_response",P16)),Q16&lt;&gt;"",Q16&lt;=TODAY()),INDEX('CH4. Thông điệp nhắc việc'!$G:$G,MATCH("NA051",'CH4. Thông điệp nhắc việc'!$A:$A,0)),IF(AND(Q16&lt;&gt;"",Q16&lt;=TODAY()+1),INDEX('CH4. Thông điệp nhắc việc'!$G:$G,MATCH("NA052",'CH4. Thông điệp nhắc việc'!$A:$A,0)),IF(ISNUMBER(SEARCH("rejected",P16))+ISNUMBER(SEARCH("unreachable",P16)),INDEX('CH4. Thông điệp nhắc việc'!$G:$G,MATCH("NA053",'CH4. Thông điệp nhắc việc'!$A:$A,0)),""))))))))</f>
        <v/>
      </c>
      <c r="U16" s="44" t="n">
        <f aca="false">COUNTIF('DL02b. Lịch sử liên hệ'!B:B,A16)</f>
        <v>1</v>
      </c>
      <c r="V16" s="188" t="n">
        <f aca="false">IF(COUNTIF('DL02b. Lịch sử liên hệ'!$B$4:$B$300,A16)=0,"",SUMPRODUCT(MAX(('DL02b. Lịch sử liên hệ'!$B$4:$B$300=A16)*'DL02b. Lịch sử liên hệ'!$D$4:$D$300)))</f>
        <v>46179.4166666667</v>
      </c>
      <c r="W16" s="44"/>
      <c r="X16" s="181" t="str">
        <f aca="false">IFERROR(VLOOKUP(C16,'DL01. Nhân viên'!$A:$B,2,FALSE()),"")</f>
        <v>Nguyễn Văn Thanh Thuyên</v>
      </c>
    </row>
    <row r="17" customFormat="false" ht="34.5" hidden="false" customHeight="true" outlineLevel="0" collapsed="false">
      <c r="A17" s="21" t="s">
        <v>2577</v>
      </c>
      <c r="B17" s="185" t="n">
        <v>46180.375</v>
      </c>
      <c r="C17" s="180" t="str">
        <f aca="false">IFERROR(HYPERLINK("#'DL01. Nhân viên'!A"&amp;MATCH("NV023",'DL01. Nhân viên'!A:A,0),"NV023"),"NV023")</f>
        <v>NV023</v>
      </c>
      <c r="D17" s="185" t="n">
        <f aca="false">IF(COUNTIF('DL02b. Lịch sử liên hệ'!$B$4:$B$300,A17)=0,"",SUMPRODUCT(MIN(('DL02b. Lịch sử liên hệ'!$B$4:$B$300=A17)*'DL02b. Lịch sử liên hệ'!$D$4:$D$300+('DL02b. Lịch sử liên hệ'!$B$4:$B$300&lt;&gt;A17)*1000000000000)))</f>
        <v>46181.4166666667</v>
      </c>
      <c r="E17" s="21" t="s">
        <v>2578</v>
      </c>
      <c r="F17" s="21" t="s">
        <v>2579</v>
      </c>
      <c r="G17" s="21" t="s">
        <v>2579</v>
      </c>
      <c r="H17" s="21" t="s">
        <v>1012</v>
      </c>
      <c r="I17" s="21" t="s">
        <v>1015</v>
      </c>
      <c r="J17" s="186" t="n">
        <v>6.5</v>
      </c>
      <c r="K17" s="185" t="n">
        <v>46228.375</v>
      </c>
      <c r="L17" s="21" t="s">
        <v>2530</v>
      </c>
      <c r="M17" s="21" t="s">
        <v>1028</v>
      </c>
      <c r="N17" s="21" t="s">
        <v>951</v>
      </c>
      <c r="O17" s="21" t="s">
        <v>970</v>
      </c>
      <c r="P17" s="21" t="s">
        <v>989</v>
      </c>
      <c r="Q17" s="185"/>
      <c r="R17" s="21"/>
      <c r="S17" s="21" t="s">
        <v>2573</v>
      </c>
      <c r="T17" s="187" t="str">
        <f aca="true" t="array" ref="T17:T17">IF(AND(C17&lt;&gt;"",D17="",(NOW()-N(B17))*24&gt;slaLeadReassign_hours),INDEX('CH4. Thông điệp nhắc việc'!$G:$G,MATCH("NA046",'CH4. Thông điệp nhắc việc'!$A:$A,0)),IF(AND(U17&gt;=thresholdContacted_attempts,ISNUMBER(SEARCH("no_response",P17))+ISNUMBER(SEARCH("considering",P17))),INDEX('CH4. Thông điệp nhắc việc'!$G:$G,MATCH("NA047",'CH4. Thông điệp nhắc việc'!$A:$A,0)),IF(AND(ISNUMBER(SEARCH("contacted",P17)),D17&lt;&gt;"",(NOW()-N(D17))&gt;thresholdContacted_days),INDEX('CH4. Thông điệp nhắc việc'!$G:$G,MATCH("NA048",'CH4. Thông điệp nhắc việc'!$A:$A,0)),IF(AND(ISNUMBER(SEARCH("new",P17)),(NOW()-N(B17))*1440&gt;slaLRT_minutes),INDEX('CH4. Thông điệp nhắc việc'!$G:$G,MATCH("NA049",'CH4. Thông điệp nhắc việc'!$A:$A,0)),IF(AND(ISNUMBER(SEARCH("new",P17)),(NOW()-N(B17))*1440&lt;=slaLRT_minutes),INDEX('CH4. Thông điệp nhắc việc'!$G:$G,MATCH("NA050",'CH4. Thông điệp nhắc việc'!$A:$A,0)),IF(AND(ISNUMBER(SEARCH("contacted",P17)+SEARCH("considering",P17)+SEARCH("no_response",P17)),Q17&lt;&gt;"",Q17&lt;=TODAY()),INDEX('CH4. Thông điệp nhắc việc'!$G:$G,MATCH("NA051",'CH4. Thông điệp nhắc việc'!$A:$A,0)),IF(AND(Q17&lt;&gt;"",Q17&lt;=TODAY()+1),INDEX('CH4. Thông điệp nhắc việc'!$G:$G,MATCH("NA052",'CH4. Thông điệp nhắc việc'!$A:$A,0)),IF(ISNUMBER(SEARCH("rejected",P17))+ISNUMBER(SEARCH("unreachable",P17)),INDEX('CH4. Thông điệp nhắc việc'!$G:$G,MATCH("NA053",'CH4. Thông điệp nhắc việc'!$A:$A,0)),""))))))))</f>
        <v/>
      </c>
      <c r="U17" s="44" t="n">
        <f aca="false">COUNTIF('DL02b. Lịch sử liên hệ'!B:B,A17)</f>
        <v>1</v>
      </c>
      <c r="V17" s="188" t="n">
        <f aca="false">IF(COUNTIF('DL02b. Lịch sử liên hệ'!$B$4:$B$300,A17)=0,"",SUMPRODUCT(MAX(('DL02b. Lịch sử liên hệ'!$B$4:$B$300=A17)*'DL02b. Lịch sử liên hệ'!$D$4:$D$300)))</f>
        <v>46181.4166666667</v>
      </c>
      <c r="W17" s="44"/>
      <c r="X17" s="181" t="str">
        <f aca="false">IFERROR(VLOOKUP(C17,'DL01. Nhân viên'!$A:$B,2,FALSE()),"")</f>
        <v>Nguyễn Thị Phương Duyên</v>
      </c>
    </row>
    <row r="18" customFormat="false" ht="23.25" hidden="false" customHeight="true" outlineLevel="0" collapsed="false">
      <c r="A18" s="21" t="s">
        <v>2580</v>
      </c>
      <c r="B18" s="185" t="n">
        <v>46184.375</v>
      </c>
      <c r="C18" s="180" t="str">
        <f aca="false">IFERROR(HYPERLINK("#'DL01. Nhân viên'!A"&amp;MATCH("NV024",'DL01. Nhân viên'!A:A,0),"NV024"),"NV024")</f>
        <v>NV024</v>
      </c>
      <c r="D18" s="185" t="n">
        <f aca="false">IF(COUNTIF('DL02b. Lịch sử liên hệ'!$B$4:$B$300,A18)=0,"",SUMPRODUCT(MIN(('DL02b. Lịch sử liên hệ'!$B$4:$B$300=A18)*'DL02b. Lịch sử liên hệ'!$D$4:$D$300+('DL02b. Lịch sử liên hệ'!$B$4:$B$300&lt;&gt;A18)*1000000000000)))</f>
        <v>46185.4166666667</v>
      </c>
      <c r="E18" s="21" t="s">
        <v>2581</v>
      </c>
      <c r="F18" s="21" t="s">
        <v>2582</v>
      </c>
      <c r="G18" s="21" t="s">
        <v>2582</v>
      </c>
      <c r="H18" s="21" t="s">
        <v>1012</v>
      </c>
      <c r="I18" s="21" t="s">
        <v>1021</v>
      </c>
      <c r="J18" s="186" t="n">
        <v>6</v>
      </c>
      <c r="K18" s="185" t="n">
        <v>46228.375</v>
      </c>
      <c r="L18" s="21" t="s">
        <v>2530</v>
      </c>
      <c r="M18" s="21" t="s">
        <v>1028</v>
      </c>
      <c r="N18" s="21" t="s">
        <v>955</v>
      </c>
      <c r="O18" s="21" t="s">
        <v>970</v>
      </c>
      <c r="P18" s="21" t="s">
        <v>989</v>
      </c>
      <c r="Q18" s="185"/>
      <c r="R18" s="21"/>
      <c r="S18" s="21" t="s">
        <v>2573</v>
      </c>
      <c r="T18" s="187" t="str">
        <f aca="true" t="array" ref="T18:T18">IF(AND(C18&lt;&gt;"",D18="",(NOW()-N(B18))*24&gt;slaLeadReassign_hours),INDEX('CH4. Thông điệp nhắc việc'!$G:$G,MATCH("NA046",'CH4. Thông điệp nhắc việc'!$A:$A,0)),IF(AND(U18&gt;=thresholdContacted_attempts,ISNUMBER(SEARCH("no_response",P18))+ISNUMBER(SEARCH("considering",P18))),INDEX('CH4. Thông điệp nhắc việc'!$G:$G,MATCH("NA047",'CH4. Thông điệp nhắc việc'!$A:$A,0)),IF(AND(ISNUMBER(SEARCH("contacted",P18)),D18&lt;&gt;"",(NOW()-N(D18))&gt;thresholdContacted_days),INDEX('CH4. Thông điệp nhắc việc'!$G:$G,MATCH("NA048",'CH4. Thông điệp nhắc việc'!$A:$A,0)),IF(AND(ISNUMBER(SEARCH("new",P18)),(NOW()-N(B18))*1440&gt;slaLRT_minutes),INDEX('CH4. Thông điệp nhắc việc'!$G:$G,MATCH("NA049",'CH4. Thông điệp nhắc việc'!$A:$A,0)),IF(AND(ISNUMBER(SEARCH("new",P18)),(NOW()-N(B18))*1440&lt;=slaLRT_minutes),INDEX('CH4. Thông điệp nhắc việc'!$G:$G,MATCH("NA050",'CH4. Thông điệp nhắc việc'!$A:$A,0)),IF(AND(ISNUMBER(SEARCH("contacted",P18)+SEARCH("considering",P18)+SEARCH("no_response",P18)),Q18&lt;&gt;"",Q18&lt;=TODAY()),INDEX('CH4. Thông điệp nhắc việc'!$G:$G,MATCH("NA051",'CH4. Thông điệp nhắc việc'!$A:$A,0)),IF(AND(Q18&lt;&gt;"",Q18&lt;=TODAY()+1),INDEX('CH4. Thông điệp nhắc việc'!$G:$G,MATCH("NA052",'CH4. Thông điệp nhắc việc'!$A:$A,0)),IF(ISNUMBER(SEARCH("rejected",P18))+ISNUMBER(SEARCH("unreachable",P18)),INDEX('CH4. Thông điệp nhắc việc'!$G:$G,MATCH("NA053",'CH4. Thông điệp nhắc việc'!$A:$A,0)),""))))))))</f>
        <v/>
      </c>
      <c r="U18" s="44" t="n">
        <f aca="false">COUNTIF('DL02b. Lịch sử liên hệ'!B:B,A18)</f>
        <v>1</v>
      </c>
      <c r="V18" s="188" t="n">
        <f aca="false">IF(COUNTIF('DL02b. Lịch sử liên hệ'!$B$4:$B$300,A18)=0,"",SUMPRODUCT(MAX(('DL02b. Lịch sử liên hệ'!$B$4:$B$300=A18)*'DL02b. Lịch sử liên hệ'!$D$4:$D$300)))</f>
        <v>46185.4166666667</v>
      </c>
      <c r="W18" s="44"/>
      <c r="X18" s="181" t="str">
        <f aca="false">IFERROR(VLOOKUP(C18,'DL01. Nhân viên'!$A:$B,2,FALSE()),"")</f>
        <v>Huỳnh Quốc Khánh</v>
      </c>
    </row>
    <row r="19" customFormat="false" ht="23.25" hidden="false" customHeight="true" outlineLevel="0" collapsed="false">
      <c r="A19" s="21" t="s">
        <v>2583</v>
      </c>
      <c r="B19" s="185" t="n">
        <v>46188.375</v>
      </c>
      <c r="C19" s="180" t="str">
        <f aca="false">IFERROR(HYPERLINK("#'DL01. Nhân viên'!A"&amp;MATCH("NV025",'DL01. Nhân viên'!A:A,0),"NV025"),"NV025")</f>
        <v>NV025</v>
      </c>
      <c r="D19" s="185" t="n">
        <f aca="false">IF(COUNTIF('DL02b. Lịch sử liên hệ'!$B$4:$B$300,A19)=0,"",SUMPRODUCT(MIN(('DL02b. Lịch sử liên hệ'!$B$4:$B$300=A19)*'DL02b. Lịch sử liên hệ'!$D$4:$D$300+('DL02b. Lịch sử liên hệ'!$B$4:$B$300&lt;&gt;A19)*1000000000000)))</f>
        <v>46189.4166666667</v>
      </c>
      <c r="E19" s="21" t="s">
        <v>2584</v>
      </c>
      <c r="F19" s="21" t="s">
        <v>2585</v>
      </c>
      <c r="G19" s="21" t="s">
        <v>2585</v>
      </c>
      <c r="H19" s="21" t="s">
        <v>1012</v>
      </c>
      <c r="I19" s="21" t="s">
        <v>1015</v>
      </c>
      <c r="J19" s="186" t="n">
        <v>7</v>
      </c>
      <c r="K19" s="185" t="n">
        <v>46228.375</v>
      </c>
      <c r="L19" s="21" t="s">
        <v>2530</v>
      </c>
      <c r="M19" s="21" t="s">
        <v>1028</v>
      </c>
      <c r="N19" s="21" t="s">
        <v>949</v>
      </c>
      <c r="O19" s="21" t="s">
        <v>970</v>
      </c>
      <c r="P19" s="21" t="s">
        <v>989</v>
      </c>
      <c r="Q19" s="185"/>
      <c r="R19" s="21"/>
      <c r="S19" s="21" t="s">
        <v>2573</v>
      </c>
      <c r="T19" s="187" t="str">
        <f aca="true" t="array" ref="T19:T19">IF(AND(C19&lt;&gt;"",D19="",(NOW()-N(B19))*24&gt;slaLeadReassign_hours),INDEX('CH4. Thông điệp nhắc việc'!$G:$G,MATCH("NA046",'CH4. Thông điệp nhắc việc'!$A:$A,0)),IF(AND(U19&gt;=thresholdContacted_attempts,ISNUMBER(SEARCH("no_response",P19))+ISNUMBER(SEARCH("considering",P19))),INDEX('CH4. Thông điệp nhắc việc'!$G:$G,MATCH("NA047",'CH4. Thông điệp nhắc việc'!$A:$A,0)),IF(AND(ISNUMBER(SEARCH("contacted",P19)),D19&lt;&gt;"",(NOW()-N(D19))&gt;thresholdContacted_days),INDEX('CH4. Thông điệp nhắc việc'!$G:$G,MATCH("NA048",'CH4. Thông điệp nhắc việc'!$A:$A,0)),IF(AND(ISNUMBER(SEARCH("new",P19)),(NOW()-N(B19))*1440&gt;slaLRT_minutes),INDEX('CH4. Thông điệp nhắc việc'!$G:$G,MATCH("NA049",'CH4. Thông điệp nhắc việc'!$A:$A,0)),IF(AND(ISNUMBER(SEARCH("new",P19)),(NOW()-N(B19))*1440&lt;=slaLRT_minutes),INDEX('CH4. Thông điệp nhắc việc'!$G:$G,MATCH("NA050",'CH4. Thông điệp nhắc việc'!$A:$A,0)),IF(AND(ISNUMBER(SEARCH("contacted",P19)+SEARCH("considering",P19)+SEARCH("no_response",P19)),Q19&lt;&gt;"",Q19&lt;=TODAY()),INDEX('CH4. Thông điệp nhắc việc'!$G:$G,MATCH("NA051",'CH4. Thông điệp nhắc việc'!$A:$A,0)),IF(AND(Q19&lt;&gt;"",Q19&lt;=TODAY()+1),INDEX('CH4. Thông điệp nhắc việc'!$G:$G,MATCH("NA052",'CH4. Thông điệp nhắc việc'!$A:$A,0)),IF(ISNUMBER(SEARCH("rejected",P19))+ISNUMBER(SEARCH("unreachable",P19)),INDEX('CH4. Thông điệp nhắc việc'!$G:$G,MATCH("NA053",'CH4. Thông điệp nhắc việc'!$A:$A,0)),""))))))))</f>
        <v/>
      </c>
      <c r="U19" s="44" t="n">
        <f aca="false">COUNTIF('DL02b. Lịch sử liên hệ'!B:B,A19)</f>
        <v>1</v>
      </c>
      <c r="V19" s="188" t="n">
        <f aca="false">IF(COUNTIF('DL02b. Lịch sử liên hệ'!$B$4:$B$300,A19)=0,"",SUMPRODUCT(MAX(('DL02b. Lịch sử liên hệ'!$B$4:$B$300=A19)*'DL02b. Lịch sử liên hệ'!$D$4:$D$300)))</f>
        <v>46189.4166666667</v>
      </c>
      <c r="W19" s="44"/>
      <c r="X19" s="181" t="str">
        <f aca="false">IFERROR(VLOOKUP(C19,'DL01. Nhân viên'!$A:$B,2,FALSE()),"")</f>
        <v>Thái Phạm Tố Trinh</v>
      </c>
    </row>
    <row r="20" customFormat="false" ht="23.25" hidden="false" customHeight="true" outlineLevel="0" collapsed="false">
      <c r="A20" s="21" t="s">
        <v>2586</v>
      </c>
      <c r="B20" s="185" t="n">
        <v>46196.375</v>
      </c>
      <c r="C20" s="180" t="str">
        <f aca="false">IFERROR(HYPERLINK("#'DL01. Nhân viên'!A"&amp;MATCH("NV001",'DL01. Nhân viên'!A:A,0),"NV001"),"NV001")</f>
        <v>NV001</v>
      </c>
      <c r="D20" s="185" t="n">
        <f aca="false">IF(COUNTIF('DL02b. Lịch sử liên hệ'!$B$4:$B$300,A20)=0,"",SUMPRODUCT(MIN(('DL02b. Lịch sử liên hệ'!$B$4:$B$300=A20)*'DL02b. Lịch sử liên hệ'!$D$4:$D$300+('DL02b. Lịch sử liên hệ'!$B$4:$B$300&lt;&gt;A20)*1000000000000)))</f>
        <v>46197.4166666667</v>
      </c>
      <c r="E20" s="21" t="s">
        <v>2587</v>
      </c>
      <c r="F20" s="21" t="s">
        <v>2588</v>
      </c>
      <c r="G20" s="21" t="s">
        <v>2588</v>
      </c>
      <c r="H20" s="21" t="s">
        <v>1012</v>
      </c>
      <c r="I20" s="21" t="s">
        <v>1023</v>
      </c>
      <c r="J20" s="186" t="n">
        <v>6.5</v>
      </c>
      <c r="K20" s="185" t="n">
        <v>46228.375</v>
      </c>
      <c r="L20" s="21" t="s">
        <v>2530</v>
      </c>
      <c r="M20" s="21" t="s">
        <v>1028</v>
      </c>
      <c r="N20" s="21" t="s">
        <v>961</v>
      </c>
      <c r="O20" s="21" t="s">
        <v>970</v>
      </c>
      <c r="P20" s="21" t="s">
        <v>989</v>
      </c>
      <c r="Q20" s="185"/>
      <c r="R20" s="21"/>
      <c r="S20" s="21" t="s">
        <v>2573</v>
      </c>
      <c r="T20" s="187" t="str">
        <f aca="true" t="array" ref="T20:T20">IF(AND(C20&lt;&gt;"",D20="",(NOW()-N(B20))*24&gt;slaLeadReassign_hours),INDEX('CH4. Thông điệp nhắc việc'!$G:$G,MATCH("NA046",'CH4. Thông điệp nhắc việc'!$A:$A,0)),IF(AND(U20&gt;=thresholdContacted_attempts,ISNUMBER(SEARCH("no_response",P20))+ISNUMBER(SEARCH("considering",P20))),INDEX('CH4. Thông điệp nhắc việc'!$G:$G,MATCH("NA047",'CH4. Thông điệp nhắc việc'!$A:$A,0)),IF(AND(ISNUMBER(SEARCH("contacted",P20)),D20&lt;&gt;"",(NOW()-N(D20))&gt;thresholdContacted_days),INDEX('CH4. Thông điệp nhắc việc'!$G:$G,MATCH("NA048",'CH4. Thông điệp nhắc việc'!$A:$A,0)),IF(AND(ISNUMBER(SEARCH("new",P20)),(NOW()-N(B20))*1440&gt;slaLRT_minutes),INDEX('CH4. Thông điệp nhắc việc'!$G:$G,MATCH("NA049",'CH4. Thông điệp nhắc việc'!$A:$A,0)),IF(AND(ISNUMBER(SEARCH("new",P20)),(NOW()-N(B20))*1440&lt;=slaLRT_minutes),INDEX('CH4. Thông điệp nhắc việc'!$G:$G,MATCH("NA050",'CH4. Thông điệp nhắc việc'!$A:$A,0)),IF(AND(ISNUMBER(SEARCH("contacted",P20)+SEARCH("considering",P20)+SEARCH("no_response",P20)),Q20&lt;&gt;"",Q20&lt;=TODAY()),INDEX('CH4. Thông điệp nhắc việc'!$G:$G,MATCH("NA051",'CH4. Thông điệp nhắc việc'!$A:$A,0)),IF(AND(Q20&lt;&gt;"",Q20&lt;=TODAY()+1),INDEX('CH4. Thông điệp nhắc việc'!$G:$G,MATCH("NA052",'CH4. Thông điệp nhắc việc'!$A:$A,0)),IF(ISNUMBER(SEARCH("rejected",P20))+ISNUMBER(SEARCH("unreachable",P20)),INDEX('CH4. Thông điệp nhắc việc'!$G:$G,MATCH("NA053",'CH4. Thông điệp nhắc việc'!$A:$A,0)),""))))))))</f>
        <v/>
      </c>
      <c r="U20" s="44" t="n">
        <f aca="false">COUNTIF('DL02b. Lịch sử liên hệ'!B:B,A20)</f>
        <v>1</v>
      </c>
      <c r="V20" s="188" t="n">
        <f aca="false">IF(COUNTIF('DL02b. Lịch sử liên hệ'!$B$4:$B$300,A20)=0,"",SUMPRODUCT(MAX(('DL02b. Lịch sử liên hệ'!$B$4:$B$300=A20)*'DL02b. Lịch sử liên hệ'!$D$4:$D$300)))</f>
        <v>46197.4166666667</v>
      </c>
      <c r="W20" s="44"/>
      <c r="X20" s="181" t="str">
        <f aca="false">IFERROR(VLOOKUP(C20,'DL01. Nhân viên'!$A:$B,2,FALSE()),"")</f>
        <v>Nguyễn Hoàng Anh Kiệt</v>
      </c>
    </row>
    <row r="21" customFormat="false" ht="23.25" hidden="false" customHeight="true" outlineLevel="0" collapsed="false">
      <c r="A21" s="21" t="s">
        <v>2589</v>
      </c>
      <c r="B21" s="185" t="n">
        <v>46199.375</v>
      </c>
      <c r="C21" s="180" t="str">
        <f aca="false">IFERROR(HYPERLINK("#'DL01. Nhân viên'!A"&amp;MATCH("NV002",'DL01. Nhân viên'!A:A,0),"NV002"),"NV002")</f>
        <v>NV002</v>
      </c>
      <c r="D21" s="185" t="n">
        <f aca="false">IF(COUNTIF('DL02b. Lịch sử liên hệ'!$B$4:$B$300,A21)=0,"",SUMPRODUCT(MIN(('DL02b. Lịch sử liên hệ'!$B$4:$B$300=A21)*'DL02b. Lịch sử liên hệ'!$D$4:$D$300+('DL02b. Lịch sử liên hệ'!$B$4:$B$300&lt;&gt;A21)*1000000000000)))</f>
        <v>46199.4583333333</v>
      </c>
      <c r="E21" s="21" t="s">
        <v>2590</v>
      </c>
      <c r="F21" s="21" t="s">
        <v>2591</v>
      </c>
      <c r="G21" s="21" t="s">
        <v>2591</v>
      </c>
      <c r="H21" s="21" t="s">
        <v>1012</v>
      </c>
      <c r="I21" s="21" t="s">
        <v>1023</v>
      </c>
      <c r="J21" s="186" t="n">
        <v>6</v>
      </c>
      <c r="K21" s="185" t="n">
        <v>46228.375</v>
      </c>
      <c r="L21" s="21" t="s">
        <v>2530</v>
      </c>
      <c r="M21" s="21" t="s">
        <v>1028</v>
      </c>
      <c r="N21" s="21" t="s">
        <v>957</v>
      </c>
      <c r="O21" s="21" t="s">
        <v>970</v>
      </c>
      <c r="P21" s="21" t="s">
        <v>987</v>
      </c>
      <c r="Q21" s="185"/>
      <c r="R21" s="21"/>
      <c r="S21" s="21" t="s">
        <v>2592</v>
      </c>
      <c r="T21" s="187" t="str">
        <f aca="true" t="array" ref="T21:T21">IF(AND(C21&lt;&gt;"",D21="",(NOW()-N(B21))*24&gt;slaLeadReassign_hours),INDEX('CH4. Thông điệp nhắc việc'!$G:$G,MATCH("NA046",'CH4. Thông điệp nhắc việc'!$A:$A,0)),IF(AND(U21&gt;=thresholdContacted_attempts,ISNUMBER(SEARCH("no_response",P21))+ISNUMBER(SEARCH("considering",P21))),INDEX('CH4. Thông điệp nhắc việc'!$G:$G,MATCH("NA047",'CH4. Thông điệp nhắc việc'!$A:$A,0)),IF(AND(ISNUMBER(SEARCH("contacted",P21)),D21&lt;&gt;"",(NOW()-N(D21))&gt;thresholdContacted_days),INDEX('CH4. Thông điệp nhắc việc'!$G:$G,MATCH("NA048",'CH4. Thông điệp nhắc việc'!$A:$A,0)),IF(AND(ISNUMBER(SEARCH("new",P21)),(NOW()-N(B21))*1440&gt;slaLRT_minutes),INDEX('CH4. Thông điệp nhắc việc'!$G:$G,MATCH("NA049",'CH4. Thông điệp nhắc việc'!$A:$A,0)),IF(AND(ISNUMBER(SEARCH("new",P21)),(NOW()-N(B21))*1440&lt;=slaLRT_minutes),INDEX('CH4. Thông điệp nhắc việc'!$G:$G,MATCH("NA050",'CH4. Thông điệp nhắc việc'!$A:$A,0)),IF(AND(ISNUMBER(SEARCH("contacted",P21)+SEARCH("considering",P21)+SEARCH("no_response",P21)),Q21&lt;&gt;"",Q21&lt;=TODAY()),INDEX('CH4. Thông điệp nhắc việc'!$G:$G,MATCH("NA051",'CH4. Thông điệp nhắc việc'!$A:$A,0)),IF(AND(Q21&lt;&gt;"",Q21&lt;=TODAY()+1),INDEX('CH4. Thông điệp nhắc việc'!$G:$G,MATCH("NA052",'CH4. Thông điệp nhắc việc'!$A:$A,0)),IF(ISNUMBER(SEARCH("rejected",P21))+ISNUMBER(SEARCH("unreachable",P21)),INDEX('CH4. Thông điệp nhắc việc'!$G:$G,MATCH("NA053",'CH4. Thông điệp nhắc việc'!$A:$A,0)),""))))))))</f>
        <v>Lead đã đóng (từ chối hoặc không liên lạc được). Không cần làm gì thêm.</v>
      </c>
      <c r="U21" s="44" t="n">
        <f aca="false">COUNTIF('DL02b. Lịch sử liên hệ'!B:B,A21)</f>
        <v>1</v>
      </c>
      <c r="V21" s="188" t="n">
        <f aca="false">IF(COUNTIF('DL02b. Lịch sử liên hệ'!$B$4:$B$300,A21)=0,"",SUMPRODUCT(MAX(('DL02b. Lịch sử liên hệ'!$B$4:$B$300=A21)*'DL02b. Lịch sử liên hệ'!$D$4:$D$300)))</f>
        <v>46199.4583333333</v>
      </c>
      <c r="W21" s="44"/>
      <c r="X21" s="181" t="str">
        <f aca="false">IFERROR(VLOOKUP(C21,'DL01. Nhân viên'!$A:$B,2,FALSE()),"")</f>
        <v>Nguyễn Văn Thanh Thuyên</v>
      </c>
    </row>
    <row r="22" customFormat="false" ht="34.5" hidden="false" customHeight="true" outlineLevel="0" collapsed="false">
      <c r="A22" s="21" t="s">
        <v>2593</v>
      </c>
      <c r="B22" s="185" t="n">
        <v>46196.375</v>
      </c>
      <c r="C22" s="180" t="str">
        <f aca="false">IFERROR(HYPERLINK("#'DL01. Nhân viên'!A"&amp;MATCH("NV023",'DL01. Nhân viên'!A:A,0),"NV023"),"NV023")</f>
        <v>NV023</v>
      </c>
      <c r="D22" s="185" t="str">
        <f aca="false">IF(COUNTIF('DL02b. Lịch sử liên hệ'!$B$4:$B$300,A22)=0,"",SUMPRODUCT(MIN(('DL02b. Lịch sử liên hệ'!$B$4:$B$300=A22)*'DL02b. Lịch sử liên hệ'!$D$4:$D$300+('DL02b. Lịch sử liên hệ'!$B$4:$B$300&lt;&gt;A22)*1000000000000)))</f>
        <v/>
      </c>
      <c r="E22" s="21" t="s">
        <v>2594</v>
      </c>
      <c r="F22" s="21" t="s">
        <v>2595</v>
      </c>
      <c r="G22" s="21" t="s">
        <v>2595</v>
      </c>
      <c r="H22" s="21" t="s">
        <v>1012</v>
      </c>
      <c r="I22" s="21" t="s">
        <v>1021</v>
      </c>
      <c r="J22" s="186" t="n">
        <v>6</v>
      </c>
      <c r="K22" s="185" t="n">
        <v>46228.375</v>
      </c>
      <c r="L22" s="21" t="s">
        <v>2530</v>
      </c>
      <c r="M22" s="21" t="s">
        <v>1028</v>
      </c>
      <c r="N22" s="21" t="s">
        <v>953</v>
      </c>
      <c r="O22" s="21" t="s">
        <v>972</v>
      </c>
      <c r="P22" s="21" t="s">
        <v>985</v>
      </c>
      <c r="Q22" s="185"/>
      <c r="R22" s="21"/>
      <c r="S22" s="21" t="s">
        <v>2596</v>
      </c>
      <c r="T22" s="187" t="str">
        <f aca="true" t="array" ref="T22:T22">IF(AND(C22&lt;&gt;"",D22="",(NOW()-N(B22))*24&gt;slaLeadReassign_hours),INDEX('CH4. Thông điệp nhắc việc'!$G:$G,MATCH("NA046",'CH4. Thông điệp nhắc việc'!$A:$A,0)),IF(AND(U22&gt;=thresholdContacted_attempts,ISNUMBER(SEARCH("no_response",P22))+ISNUMBER(SEARCH("considering",P22))),INDEX('CH4. Thông điệp nhắc việc'!$G:$G,MATCH("NA047",'CH4. Thông điệp nhắc việc'!$A:$A,0)),IF(AND(ISNUMBER(SEARCH("contacted",P22)),D22&lt;&gt;"",(NOW()-N(D22))&gt;thresholdContacted_days),INDEX('CH4. Thông điệp nhắc việc'!$G:$G,MATCH("NA048",'CH4. Thông điệp nhắc việc'!$A:$A,0)),IF(AND(ISNUMBER(SEARCH("new",P22)),(NOW()-N(B22))*1440&gt;slaLRT_minutes),INDEX('CH4. Thông điệp nhắc việc'!$G:$G,MATCH("NA049",'CH4. Thông điệp nhắc việc'!$A:$A,0)),IF(AND(ISNUMBER(SEARCH("new",P22)),(NOW()-N(B22))*1440&lt;=slaLRT_minutes),INDEX('CH4. Thông điệp nhắc việc'!$G:$G,MATCH("NA050",'CH4. Thông điệp nhắc việc'!$A:$A,0)),IF(AND(ISNUMBER(SEARCH("contacted",P22)+SEARCH("considering",P22)+SEARCH("no_response",P22)),Q22&lt;&gt;"",Q22&lt;=TODAY()),INDEX('CH4. Thông điệp nhắc việc'!$G:$G,MATCH("NA051",'CH4. Thông điệp nhắc việc'!$A:$A,0)),IF(AND(Q22&lt;&gt;"",Q22&lt;=TODAY()+1),INDEX('CH4. Thông điệp nhắc việc'!$G:$G,MATCH("NA052",'CH4. Thông điệp nhắc việc'!$A:$A,0)),IF(ISNUMBER(SEARCH("rejected",P22))+ISNUMBER(SEARCH("unreachable",P22)),INDEX('CH4. Thông điệp nhắc việc'!$G:$G,MATCH("NA053",'CH4. Thông điệp nhắc việc'!$A:$A,0)),""))))))))</f>
        <v>Lead đã giao cho NV nhưng quá 4 giờ (cấu hình slaLeadReassign_hours) chưa gọi. Việc cần làm: gọi gấp hoặc giao lại cho NV khác.</v>
      </c>
      <c r="U22" s="44" t="n">
        <f aca="false">COUNTIF('DL02b. Lịch sử liên hệ'!B:B,A22)</f>
        <v>0</v>
      </c>
      <c r="V22" s="188" t="str">
        <f aca="false">IF(COUNTIF('DL02b. Lịch sử liên hệ'!$B$4:$B$300,A22)=0,"",SUMPRODUCT(MAX(('DL02b. Lịch sử liên hệ'!$B$4:$B$300=A22)*'DL02b. Lịch sử liên hệ'!$D$4:$D$300)))</f>
        <v/>
      </c>
      <c r="W22" s="44"/>
      <c r="X22" s="181" t="str">
        <f aca="false">IFERROR(VLOOKUP(C22,'DL01. Nhân viên'!$A:$B,2,FALSE()),"")</f>
        <v>Nguyễn Thị Phương Duyên</v>
      </c>
    </row>
    <row r="23" customFormat="false" ht="23.25" hidden="false" customHeight="true" outlineLevel="0" collapsed="false">
      <c r="A23" s="21" t="s">
        <v>2597</v>
      </c>
      <c r="B23" s="185" t="n">
        <v>46207.375</v>
      </c>
      <c r="C23" s="180" t="str">
        <f aca="false">IFERROR(HYPERLINK("#'DL01. Nhân viên'!A"&amp;MATCH("NV024",'DL01. Nhân viên'!A:A,0),"NV024"),"NV024")</f>
        <v>NV024</v>
      </c>
      <c r="D23" s="185" t="n">
        <f aca="false">IF(COUNTIF('DL02b. Lịch sử liên hệ'!$B$4:$B$300,A23)=0,"",SUMPRODUCT(MIN(('DL02b. Lịch sử liên hệ'!$B$4:$B$300=A23)*'DL02b. Lịch sử liên hệ'!$D$4:$D$300+('DL02b. Lịch sử liên hệ'!$B$4:$B$300&lt;&gt;A23)*1000000000000)))</f>
        <v>46207.625</v>
      </c>
      <c r="E23" s="21" t="s">
        <v>2598</v>
      </c>
      <c r="F23" s="21" t="s">
        <v>2599</v>
      </c>
      <c r="G23" s="21" t="s">
        <v>2599</v>
      </c>
      <c r="H23" s="21" t="s">
        <v>1012</v>
      </c>
      <c r="I23" s="21" t="s">
        <v>1015</v>
      </c>
      <c r="J23" s="186" t="n">
        <v>7</v>
      </c>
      <c r="K23" s="185" t="n">
        <v>46228.375</v>
      </c>
      <c r="L23" s="21" t="s">
        <v>2530</v>
      </c>
      <c r="M23" s="21" t="s">
        <v>1028</v>
      </c>
      <c r="N23" s="21" t="s">
        <v>963</v>
      </c>
      <c r="O23" s="21" t="s">
        <v>970</v>
      </c>
      <c r="P23" s="21" t="s">
        <v>981</v>
      </c>
      <c r="Q23" s="185" t="n">
        <v>46209.375</v>
      </c>
      <c r="R23" s="21"/>
      <c r="S23" s="21" t="s">
        <v>2600</v>
      </c>
      <c r="T23" s="187" t="str">
        <f aca="true" t="array" ref="T23:T23">IF(AND(C23&lt;&gt;"",D23="",(NOW()-N(B23))*24&gt;slaLeadReassign_hours),INDEX('CH4. Thông điệp nhắc việc'!$G:$G,MATCH("NA046",'CH4. Thông điệp nhắc việc'!$A:$A,0)),IF(AND(U23&gt;=thresholdContacted_attempts,ISNUMBER(SEARCH("no_response",P23))+ISNUMBER(SEARCH("considering",P23))),INDEX('CH4. Thông điệp nhắc việc'!$G:$G,MATCH("NA047",'CH4. Thông điệp nhắc việc'!$A:$A,0)),IF(AND(ISNUMBER(SEARCH("contacted",P23)),D23&lt;&gt;"",(NOW()-N(D23))&gt;thresholdContacted_days),INDEX('CH4. Thông điệp nhắc việc'!$G:$G,MATCH("NA048",'CH4. Thông điệp nhắc việc'!$A:$A,0)),IF(AND(ISNUMBER(SEARCH("new",P23)),(NOW()-N(B23))*1440&gt;slaLRT_minutes),INDEX('CH4. Thông điệp nhắc việc'!$G:$G,MATCH("NA049",'CH4. Thông điệp nhắc việc'!$A:$A,0)),IF(AND(ISNUMBER(SEARCH("new",P23)),(NOW()-N(B23))*1440&lt;=slaLRT_minutes),INDEX('CH4. Thông điệp nhắc việc'!$G:$G,MATCH("NA050",'CH4. Thông điệp nhắc việc'!$A:$A,0)),IF(AND(ISNUMBER(SEARCH("contacted",P23)+SEARCH("considering",P23)+SEARCH("no_response",P23)),Q23&lt;&gt;"",Q23&lt;=TODAY()),INDEX('CH4. Thông điệp nhắc việc'!$G:$G,MATCH("NA051",'CH4. Thông điệp nhắc việc'!$A:$A,0)),IF(AND(Q23&lt;&gt;"",Q23&lt;=TODAY()+1),INDEX('CH4. Thông điệp nhắc việc'!$G:$G,MATCH("NA052",'CH4. Thông điệp nhắc việc'!$A:$A,0)),IF(ISNUMBER(SEARCH("rejected",P23))+ISNUMBER(SEARCH("unreachable",P23)),INDEX('CH4. Thông điệp nhắc việc'!$G:$G,MATCH("NA053",'CH4. Thông điệp nhắc việc'!$A:$A,0)),""))))))))</f>
        <v>Sắp tới hẹn theo dõi lead (trong vòng 24 giờ). Việc cần làm: chuẩn bị liên hệ khách.</v>
      </c>
      <c r="U23" s="44" t="n">
        <f aca="false">COUNTIF('DL02b. Lịch sử liên hệ'!B:B,A23)</f>
        <v>1</v>
      </c>
      <c r="V23" s="188" t="n">
        <f aca="false">IF(COUNTIF('DL02b. Lịch sử liên hệ'!$B$4:$B$300,A23)=0,"",SUMPRODUCT(MAX(('DL02b. Lịch sử liên hệ'!$B$4:$B$300=A23)*'DL02b. Lịch sử liên hệ'!$D$4:$D$300)))</f>
        <v>46207.625</v>
      </c>
      <c r="W23" s="44"/>
      <c r="X23" s="181" t="str">
        <f aca="false">IFERROR(VLOOKUP(C23,'DL01. Nhân viên'!$A:$B,2,FALSE()),"")</f>
        <v>Huỳnh Quốc Khánh</v>
      </c>
    </row>
    <row r="24" customFormat="false" ht="15.75" hidden="false" customHeight="true" outlineLevel="0" collapsed="false">
      <c r="A24" s="135"/>
      <c r="B24" s="189"/>
      <c r="C24" s="135"/>
      <c r="D24" s="189"/>
      <c r="E24" s="135"/>
      <c r="F24" s="135"/>
      <c r="G24" s="135"/>
      <c r="H24" s="135"/>
      <c r="I24" s="135"/>
      <c r="J24" s="135"/>
      <c r="K24" s="189"/>
      <c r="L24" s="135"/>
      <c r="M24" s="135"/>
      <c r="N24" s="135"/>
      <c r="O24" s="135"/>
      <c r="P24" s="135"/>
      <c r="Q24" s="189"/>
      <c r="R24" s="135"/>
      <c r="S24" s="135"/>
      <c r="T24" s="135"/>
      <c r="U24" s="135"/>
      <c r="V24" s="189"/>
      <c r="W24" s="135"/>
      <c r="X24" s="135"/>
    </row>
    <row r="25" customFormat="false" ht="15.75" hidden="false" customHeight="true" outlineLevel="0" collapsed="false">
      <c r="A25" s="135"/>
      <c r="B25" s="189"/>
      <c r="C25" s="135"/>
      <c r="D25" s="189"/>
      <c r="E25" s="135"/>
      <c r="F25" s="135"/>
      <c r="G25" s="135"/>
      <c r="H25" s="135"/>
      <c r="I25" s="135"/>
      <c r="J25" s="135"/>
      <c r="K25" s="189"/>
      <c r="L25" s="135"/>
      <c r="M25" s="135"/>
      <c r="N25" s="135"/>
      <c r="O25" s="135"/>
      <c r="P25" s="135"/>
      <c r="Q25" s="189"/>
      <c r="R25" s="135"/>
      <c r="S25" s="135"/>
      <c r="T25" s="135"/>
      <c r="U25" s="135"/>
      <c r="V25" s="189"/>
      <c r="W25" s="135"/>
      <c r="X25" s="135"/>
    </row>
    <row r="26" customFormat="false" ht="15.75" hidden="false" customHeight="true" outlineLevel="0" collapsed="false">
      <c r="A26" s="135"/>
      <c r="B26" s="189"/>
      <c r="C26" s="135"/>
      <c r="D26" s="189"/>
      <c r="E26" s="135"/>
      <c r="F26" s="135"/>
      <c r="G26" s="135"/>
      <c r="H26" s="135"/>
      <c r="I26" s="135"/>
      <c r="J26" s="135"/>
      <c r="K26" s="189"/>
      <c r="L26" s="135"/>
      <c r="M26" s="135"/>
      <c r="N26" s="135"/>
      <c r="O26" s="135"/>
      <c r="P26" s="135"/>
      <c r="Q26" s="189"/>
      <c r="R26" s="135"/>
      <c r="S26" s="135"/>
      <c r="T26" s="135"/>
      <c r="U26" s="135"/>
      <c r="V26" s="189"/>
      <c r="W26" s="135"/>
      <c r="X26" s="135"/>
    </row>
    <row r="27" customFormat="false" ht="15.75" hidden="false" customHeight="true" outlineLevel="0" collapsed="false">
      <c r="A27" s="135"/>
      <c r="B27" s="189"/>
      <c r="C27" s="135"/>
      <c r="D27" s="189"/>
      <c r="E27" s="135"/>
      <c r="F27" s="135"/>
      <c r="G27" s="135"/>
      <c r="H27" s="135"/>
      <c r="I27" s="135"/>
      <c r="J27" s="135"/>
      <c r="K27" s="189"/>
      <c r="L27" s="135"/>
      <c r="M27" s="135"/>
      <c r="N27" s="135"/>
      <c r="O27" s="135"/>
      <c r="P27" s="135"/>
      <c r="Q27" s="189"/>
      <c r="R27" s="135"/>
      <c r="S27" s="135"/>
      <c r="T27" s="135"/>
      <c r="U27" s="135"/>
      <c r="V27" s="189"/>
      <c r="W27" s="135"/>
      <c r="X27" s="135"/>
    </row>
    <row r="28" customFormat="false" ht="15.75" hidden="false" customHeight="true" outlineLevel="0" collapsed="false">
      <c r="A28" s="135"/>
      <c r="B28" s="189"/>
      <c r="C28" s="135"/>
      <c r="D28" s="189"/>
      <c r="E28" s="135"/>
      <c r="F28" s="135"/>
      <c r="G28" s="135"/>
      <c r="H28" s="135"/>
      <c r="I28" s="135"/>
      <c r="J28" s="135"/>
      <c r="K28" s="189"/>
      <c r="L28" s="135"/>
      <c r="M28" s="135"/>
      <c r="N28" s="135"/>
      <c r="O28" s="135"/>
      <c r="P28" s="135"/>
      <c r="Q28" s="189"/>
      <c r="R28" s="135"/>
      <c r="S28" s="135"/>
      <c r="T28" s="135"/>
      <c r="U28" s="135"/>
      <c r="V28" s="189"/>
      <c r="W28" s="135"/>
      <c r="X28" s="135"/>
    </row>
    <row r="29" customFormat="false" ht="15.75" hidden="false" customHeight="true" outlineLevel="0" collapsed="false">
      <c r="A29" s="135"/>
      <c r="B29" s="189"/>
      <c r="C29" s="135"/>
      <c r="D29" s="189"/>
      <c r="E29" s="135"/>
      <c r="F29" s="135"/>
      <c r="G29" s="135"/>
      <c r="H29" s="135"/>
      <c r="I29" s="135"/>
      <c r="J29" s="135"/>
      <c r="K29" s="189"/>
      <c r="L29" s="135"/>
      <c r="M29" s="135"/>
      <c r="N29" s="135"/>
      <c r="O29" s="135"/>
      <c r="P29" s="135"/>
      <c r="Q29" s="189"/>
      <c r="R29" s="135"/>
      <c r="S29" s="135"/>
      <c r="T29" s="135"/>
      <c r="U29" s="135"/>
      <c r="V29" s="189"/>
      <c r="W29" s="135"/>
      <c r="X29" s="135"/>
    </row>
    <row r="30" customFormat="false" ht="15.75" hidden="false" customHeight="true" outlineLevel="0" collapsed="false">
      <c r="A30" s="135"/>
      <c r="B30" s="189"/>
      <c r="C30" s="135"/>
      <c r="D30" s="189"/>
      <c r="E30" s="135"/>
      <c r="F30" s="135"/>
      <c r="G30" s="135"/>
      <c r="H30" s="135"/>
      <c r="I30" s="135"/>
      <c r="J30" s="135"/>
      <c r="K30" s="189"/>
      <c r="L30" s="135"/>
      <c r="M30" s="135"/>
      <c r="N30" s="135"/>
      <c r="O30" s="135"/>
      <c r="P30" s="135"/>
      <c r="Q30" s="189"/>
      <c r="R30" s="135"/>
      <c r="S30" s="135"/>
      <c r="T30" s="135"/>
      <c r="U30" s="135"/>
      <c r="V30" s="189"/>
      <c r="W30" s="135"/>
      <c r="X30" s="135"/>
    </row>
    <row r="31" customFormat="false" ht="15.75" hidden="false" customHeight="true" outlineLevel="0" collapsed="false">
      <c r="A31" s="135"/>
      <c r="B31" s="189"/>
      <c r="C31" s="135"/>
      <c r="D31" s="189"/>
      <c r="E31" s="135"/>
      <c r="F31" s="135"/>
      <c r="G31" s="135"/>
      <c r="H31" s="135"/>
      <c r="I31" s="135"/>
      <c r="J31" s="135"/>
      <c r="K31" s="189"/>
      <c r="L31" s="135"/>
      <c r="M31" s="135"/>
      <c r="N31" s="135"/>
      <c r="O31" s="135"/>
      <c r="P31" s="135"/>
      <c r="Q31" s="189"/>
      <c r="R31" s="135"/>
      <c r="S31" s="135"/>
      <c r="T31" s="135"/>
      <c r="U31" s="135"/>
      <c r="V31" s="189"/>
      <c r="W31" s="135"/>
      <c r="X31" s="135"/>
    </row>
    <row r="32" customFormat="false" ht="15.75" hidden="false" customHeight="true" outlineLevel="0" collapsed="false">
      <c r="A32" s="135"/>
      <c r="B32" s="189"/>
      <c r="C32" s="135"/>
      <c r="D32" s="189"/>
      <c r="E32" s="135"/>
      <c r="F32" s="135"/>
      <c r="G32" s="135"/>
      <c r="H32" s="135"/>
      <c r="I32" s="135"/>
      <c r="J32" s="135"/>
      <c r="K32" s="189"/>
      <c r="L32" s="135"/>
      <c r="M32" s="135"/>
      <c r="N32" s="135"/>
      <c r="O32" s="135"/>
      <c r="P32" s="135"/>
      <c r="Q32" s="189"/>
      <c r="R32" s="135"/>
      <c r="S32" s="135"/>
      <c r="T32" s="135"/>
      <c r="U32" s="135"/>
      <c r="V32" s="189"/>
      <c r="W32" s="135"/>
      <c r="X32" s="135"/>
    </row>
    <row r="33" customFormat="false" ht="15.75" hidden="false" customHeight="true" outlineLevel="0" collapsed="false">
      <c r="A33" s="135"/>
      <c r="B33" s="189"/>
      <c r="C33" s="135"/>
      <c r="D33" s="189"/>
      <c r="E33" s="135"/>
      <c r="F33" s="135"/>
      <c r="G33" s="135"/>
      <c r="H33" s="135"/>
      <c r="I33" s="135"/>
      <c r="J33" s="135"/>
      <c r="K33" s="189"/>
      <c r="L33" s="135"/>
      <c r="M33" s="135"/>
      <c r="N33" s="135"/>
      <c r="O33" s="135"/>
      <c r="P33" s="135"/>
      <c r="Q33" s="189"/>
      <c r="R33" s="135"/>
      <c r="S33" s="135"/>
      <c r="T33" s="135"/>
      <c r="U33" s="135"/>
      <c r="V33" s="189"/>
      <c r="W33" s="135"/>
      <c r="X33" s="135"/>
    </row>
    <row r="34" customFormat="false" ht="15.75" hidden="false" customHeight="true" outlineLevel="0" collapsed="false">
      <c r="A34" s="135"/>
      <c r="B34" s="189"/>
      <c r="C34" s="135"/>
      <c r="D34" s="189"/>
      <c r="E34" s="135"/>
      <c r="F34" s="135"/>
      <c r="G34" s="135"/>
      <c r="H34" s="135"/>
      <c r="I34" s="135"/>
      <c r="J34" s="135"/>
      <c r="K34" s="189"/>
      <c r="L34" s="135"/>
      <c r="M34" s="135"/>
      <c r="N34" s="135"/>
      <c r="O34" s="135"/>
      <c r="P34" s="135"/>
      <c r="Q34" s="189"/>
      <c r="R34" s="135"/>
      <c r="S34" s="135"/>
      <c r="T34" s="135"/>
      <c r="U34" s="135"/>
      <c r="V34" s="189"/>
      <c r="W34" s="135"/>
      <c r="X34" s="135"/>
    </row>
    <row r="35" customFormat="false" ht="15.75" hidden="false" customHeight="true" outlineLevel="0" collapsed="false">
      <c r="A35" s="135"/>
      <c r="B35" s="189"/>
      <c r="C35" s="135"/>
      <c r="D35" s="189"/>
      <c r="E35" s="135"/>
      <c r="F35" s="135"/>
      <c r="G35" s="135"/>
      <c r="H35" s="135"/>
      <c r="I35" s="135"/>
      <c r="J35" s="135"/>
      <c r="K35" s="189"/>
      <c r="L35" s="135"/>
      <c r="M35" s="135"/>
      <c r="N35" s="135"/>
      <c r="O35" s="135"/>
      <c r="P35" s="135"/>
      <c r="Q35" s="189"/>
      <c r="R35" s="135"/>
      <c r="S35" s="135"/>
      <c r="T35" s="135"/>
      <c r="U35" s="135"/>
      <c r="V35" s="189"/>
      <c r="W35" s="135"/>
      <c r="X35" s="135"/>
    </row>
    <row r="36" customFormat="false" ht="15.75" hidden="false" customHeight="true" outlineLevel="0" collapsed="false">
      <c r="A36" s="135"/>
      <c r="B36" s="189"/>
      <c r="C36" s="135"/>
      <c r="D36" s="189"/>
      <c r="E36" s="135"/>
      <c r="F36" s="135"/>
      <c r="G36" s="135"/>
      <c r="H36" s="135"/>
      <c r="I36" s="135"/>
      <c r="J36" s="135"/>
      <c r="K36" s="189"/>
      <c r="L36" s="135"/>
      <c r="M36" s="135"/>
      <c r="N36" s="135"/>
      <c r="O36" s="135"/>
      <c r="P36" s="135"/>
      <c r="Q36" s="189"/>
      <c r="R36" s="135"/>
      <c r="S36" s="135"/>
      <c r="T36" s="135"/>
      <c r="U36" s="135"/>
      <c r="V36" s="189"/>
      <c r="W36" s="135"/>
      <c r="X36" s="135"/>
    </row>
    <row r="37" customFormat="false" ht="15.75" hidden="false" customHeight="true" outlineLevel="0" collapsed="false">
      <c r="A37" s="135"/>
      <c r="B37" s="189"/>
      <c r="C37" s="135"/>
      <c r="D37" s="189"/>
      <c r="E37" s="135"/>
      <c r="F37" s="135"/>
      <c r="G37" s="135"/>
      <c r="H37" s="135"/>
      <c r="I37" s="135"/>
      <c r="J37" s="135"/>
      <c r="K37" s="189"/>
      <c r="L37" s="135"/>
      <c r="M37" s="135"/>
      <c r="N37" s="135"/>
      <c r="O37" s="135"/>
      <c r="P37" s="135"/>
      <c r="Q37" s="189"/>
      <c r="R37" s="135"/>
      <c r="S37" s="135"/>
      <c r="T37" s="135"/>
      <c r="U37" s="135"/>
      <c r="V37" s="189"/>
      <c r="W37" s="135"/>
      <c r="X37" s="135"/>
    </row>
    <row r="38" customFormat="false" ht="15.75" hidden="false" customHeight="true" outlineLevel="0" collapsed="false">
      <c r="A38" s="135"/>
      <c r="B38" s="189"/>
      <c r="C38" s="135"/>
      <c r="D38" s="189"/>
      <c r="E38" s="135"/>
      <c r="F38" s="135"/>
      <c r="G38" s="135"/>
      <c r="H38" s="135"/>
      <c r="I38" s="135"/>
      <c r="J38" s="135"/>
      <c r="K38" s="189"/>
      <c r="L38" s="135"/>
      <c r="M38" s="135"/>
      <c r="N38" s="135"/>
      <c r="O38" s="135"/>
      <c r="P38" s="135"/>
      <c r="Q38" s="189"/>
      <c r="R38" s="135"/>
      <c r="S38" s="135"/>
      <c r="T38" s="135"/>
      <c r="U38" s="135"/>
      <c r="V38" s="189"/>
      <c r="W38" s="135"/>
      <c r="X38" s="135"/>
    </row>
    <row r="39" customFormat="false" ht="15.75" hidden="false" customHeight="true" outlineLevel="0" collapsed="false">
      <c r="A39" s="135"/>
      <c r="B39" s="189"/>
      <c r="C39" s="135"/>
      <c r="D39" s="189"/>
      <c r="E39" s="135"/>
      <c r="F39" s="135"/>
      <c r="G39" s="135"/>
      <c r="H39" s="135"/>
      <c r="I39" s="135"/>
      <c r="J39" s="135"/>
      <c r="K39" s="189"/>
      <c r="L39" s="135"/>
      <c r="M39" s="135"/>
      <c r="N39" s="135"/>
      <c r="O39" s="135"/>
      <c r="P39" s="135"/>
      <c r="Q39" s="189"/>
      <c r="R39" s="135"/>
      <c r="S39" s="135"/>
      <c r="T39" s="135"/>
      <c r="U39" s="135"/>
      <c r="V39" s="189"/>
      <c r="W39" s="135"/>
      <c r="X39" s="135"/>
    </row>
    <row r="40" customFormat="false" ht="15.75" hidden="false" customHeight="true" outlineLevel="0" collapsed="false">
      <c r="A40" s="135"/>
      <c r="B40" s="189"/>
      <c r="C40" s="135"/>
      <c r="D40" s="189"/>
      <c r="E40" s="135"/>
      <c r="F40" s="135"/>
      <c r="G40" s="135"/>
      <c r="H40" s="135"/>
      <c r="I40" s="135"/>
      <c r="J40" s="135"/>
      <c r="K40" s="189"/>
      <c r="L40" s="135"/>
      <c r="M40" s="135"/>
      <c r="N40" s="135"/>
      <c r="O40" s="135"/>
      <c r="P40" s="135"/>
      <c r="Q40" s="189"/>
      <c r="R40" s="135"/>
      <c r="S40" s="135"/>
      <c r="T40" s="135"/>
      <c r="U40" s="135"/>
      <c r="V40" s="189"/>
      <c r="W40" s="135"/>
      <c r="X40" s="135"/>
    </row>
    <row r="41" customFormat="false" ht="15.75" hidden="false" customHeight="true" outlineLevel="0" collapsed="false">
      <c r="A41" s="135"/>
      <c r="B41" s="189"/>
      <c r="C41" s="135"/>
      <c r="D41" s="189"/>
      <c r="E41" s="135"/>
      <c r="F41" s="135"/>
      <c r="G41" s="135"/>
      <c r="H41" s="135"/>
      <c r="I41" s="135"/>
      <c r="J41" s="135"/>
      <c r="K41" s="189"/>
      <c r="L41" s="135"/>
      <c r="M41" s="135"/>
      <c r="N41" s="135"/>
      <c r="O41" s="135"/>
      <c r="P41" s="135"/>
      <c r="Q41" s="189"/>
      <c r="R41" s="135"/>
      <c r="S41" s="135"/>
      <c r="T41" s="135"/>
      <c r="U41" s="135"/>
      <c r="V41" s="189"/>
      <c r="W41" s="135"/>
      <c r="X41" s="135"/>
    </row>
    <row r="42" customFormat="false" ht="15.75" hidden="false" customHeight="true" outlineLevel="0" collapsed="false">
      <c r="A42" s="135"/>
      <c r="B42" s="189"/>
      <c r="C42" s="135"/>
      <c r="D42" s="189"/>
      <c r="E42" s="135"/>
      <c r="F42" s="135"/>
      <c r="G42" s="135"/>
      <c r="H42" s="135"/>
      <c r="I42" s="135"/>
      <c r="J42" s="135"/>
      <c r="K42" s="189"/>
      <c r="L42" s="135"/>
      <c r="M42" s="135"/>
      <c r="N42" s="135"/>
      <c r="O42" s="135"/>
      <c r="P42" s="135"/>
      <c r="Q42" s="189"/>
      <c r="R42" s="135"/>
      <c r="S42" s="135"/>
      <c r="T42" s="135"/>
      <c r="U42" s="135"/>
      <c r="V42" s="189"/>
      <c r="W42" s="135"/>
      <c r="X42" s="135"/>
    </row>
    <row r="43" customFormat="false" ht="15.75" hidden="false" customHeight="true" outlineLevel="0" collapsed="false">
      <c r="A43" s="135"/>
      <c r="B43" s="189"/>
      <c r="C43" s="135"/>
      <c r="D43" s="189"/>
      <c r="E43" s="135"/>
      <c r="F43" s="135"/>
      <c r="G43" s="135"/>
      <c r="H43" s="135"/>
      <c r="I43" s="135"/>
      <c r="J43" s="135"/>
      <c r="K43" s="189"/>
      <c r="L43" s="135"/>
      <c r="M43" s="135"/>
      <c r="N43" s="135"/>
      <c r="O43" s="135"/>
      <c r="P43" s="135"/>
      <c r="Q43" s="189"/>
      <c r="R43" s="135"/>
      <c r="S43" s="135"/>
      <c r="T43" s="135"/>
      <c r="U43" s="135"/>
      <c r="V43" s="189"/>
      <c r="W43" s="135"/>
      <c r="X43" s="135"/>
    </row>
    <row r="44" customFormat="false" ht="15.75" hidden="false" customHeight="true" outlineLevel="0" collapsed="false">
      <c r="A44" s="135"/>
      <c r="B44" s="189"/>
      <c r="C44" s="135"/>
      <c r="D44" s="189"/>
      <c r="E44" s="135"/>
      <c r="F44" s="135"/>
      <c r="G44" s="135"/>
      <c r="H44" s="135"/>
      <c r="I44" s="135"/>
      <c r="J44" s="135"/>
      <c r="K44" s="189"/>
      <c r="L44" s="135"/>
      <c r="M44" s="135"/>
      <c r="N44" s="135"/>
      <c r="O44" s="135"/>
      <c r="P44" s="135"/>
      <c r="Q44" s="189"/>
      <c r="R44" s="135"/>
      <c r="S44" s="135"/>
      <c r="T44" s="135"/>
      <c r="U44" s="135"/>
      <c r="V44" s="189"/>
      <c r="W44" s="135"/>
      <c r="X44" s="135"/>
    </row>
    <row r="45" customFormat="false" ht="15.75" hidden="false" customHeight="true" outlineLevel="0" collapsed="false">
      <c r="A45" s="135"/>
      <c r="B45" s="189"/>
      <c r="C45" s="135"/>
      <c r="D45" s="189"/>
      <c r="E45" s="135"/>
      <c r="F45" s="135"/>
      <c r="G45" s="135"/>
      <c r="H45" s="135"/>
      <c r="I45" s="135"/>
      <c r="J45" s="135"/>
      <c r="K45" s="189"/>
      <c r="L45" s="135"/>
      <c r="M45" s="135"/>
      <c r="N45" s="135"/>
      <c r="O45" s="135"/>
      <c r="P45" s="135"/>
      <c r="Q45" s="189"/>
      <c r="R45" s="135"/>
      <c r="S45" s="135"/>
      <c r="T45" s="135"/>
      <c r="U45" s="135"/>
      <c r="V45" s="189"/>
      <c r="W45" s="135"/>
      <c r="X45" s="135"/>
    </row>
    <row r="46" customFormat="false" ht="15.75" hidden="false" customHeight="true" outlineLevel="0" collapsed="false">
      <c r="A46" s="135"/>
      <c r="B46" s="189"/>
      <c r="C46" s="135"/>
      <c r="D46" s="189"/>
      <c r="E46" s="135"/>
      <c r="F46" s="135"/>
      <c r="G46" s="135"/>
      <c r="H46" s="135"/>
      <c r="I46" s="135"/>
      <c r="J46" s="135"/>
      <c r="K46" s="189"/>
      <c r="L46" s="135"/>
      <c r="M46" s="135"/>
      <c r="N46" s="135"/>
      <c r="O46" s="135"/>
      <c r="P46" s="135"/>
      <c r="Q46" s="189"/>
      <c r="R46" s="135"/>
      <c r="S46" s="135"/>
      <c r="T46" s="135"/>
      <c r="U46" s="135"/>
      <c r="V46" s="189"/>
      <c r="W46" s="135"/>
      <c r="X46" s="135"/>
    </row>
    <row r="47" customFormat="false" ht="15.75" hidden="false" customHeight="true" outlineLevel="0" collapsed="false">
      <c r="A47" s="135"/>
      <c r="B47" s="189"/>
      <c r="C47" s="135"/>
      <c r="D47" s="189"/>
      <c r="E47" s="135"/>
      <c r="F47" s="135"/>
      <c r="G47" s="135"/>
      <c r="H47" s="135"/>
      <c r="I47" s="135"/>
      <c r="J47" s="135"/>
      <c r="K47" s="189"/>
      <c r="L47" s="135"/>
      <c r="M47" s="135"/>
      <c r="N47" s="135"/>
      <c r="O47" s="135"/>
      <c r="P47" s="135"/>
      <c r="Q47" s="189"/>
      <c r="R47" s="135"/>
      <c r="S47" s="135"/>
      <c r="T47" s="135"/>
      <c r="U47" s="135"/>
      <c r="V47" s="189"/>
      <c r="W47" s="135"/>
      <c r="X47" s="135"/>
    </row>
    <row r="48" customFormat="false" ht="15.75" hidden="false" customHeight="true" outlineLevel="0" collapsed="false">
      <c r="A48" s="135"/>
      <c r="B48" s="189"/>
      <c r="C48" s="135"/>
      <c r="D48" s="189"/>
      <c r="E48" s="135"/>
      <c r="F48" s="135"/>
      <c r="G48" s="135"/>
      <c r="H48" s="135"/>
      <c r="I48" s="135"/>
      <c r="J48" s="135"/>
      <c r="K48" s="189"/>
      <c r="L48" s="135"/>
      <c r="M48" s="135"/>
      <c r="N48" s="135"/>
      <c r="O48" s="135"/>
      <c r="P48" s="135"/>
      <c r="Q48" s="189"/>
      <c r="R48" s="135"/>
      <c r="S48" s="135"/>
      <c r="T48" s="135"/>
      <c r="U48" s="135"/>
      <c r="V48" s="189"/>
      <c r="W48" s="135"/>
      <c r="X48" s="135"/>
    </row>
    <row r="49" customFormat="false" ht="15.75" hidden="false" customHeight="true" outlineLevel="0" collapsed="false">
      <c r="A49" s="135"/>
      <c r="B49" s="189"/>
      <c r="C49" s="135"/>
      <c r="D49" s="189"/>
      <c r="E49" s="135"/>
      <c r="F49" s="135"/>
      <c r="G49" s="135"/>
      <c r="H49" s="135"/>
      <c r="I49" s="135"/>
      <c r="J49" s="135"/>
      <c r="K49" s="189"/>
      <c r="L49" s="135"/>
      <c r="M49" s="135"/>
      <c r="N49" s="135"/>
      <c r="O49" s="135"/>
      <c r="P49" s="135"/>
      <c r="Q49" s="189"/>
      <c r="R49" s="135"/>
      <c r="S49" s="135"/>
      <c r="T49" s="135"/>
      <c r="U49" s="135"/>
      <c r="V49" s="189"/>
      <c r="W49" s="135"/>
      <c r="X49" s="135"/>
    </row>
    <row r="50" customFormat="false" ht="15.75" hidden="false" customHeight="true" outlineLevel="0" collapsed="false">
      <c r="A50" s="135"/>
      <c r="B50" s="189"/>
      <c r="C50" s="135"/>
      <c r="D50" s="189"/>
      <c r="E50" s="135"/>
      <c r="F50" s="135"/>
      <c r="G50" s="135"/>
      <c r="H50" s="135"/>
      <c r="I50" s="135"/>
      <c r="J50" s="135"/>
      <c r="K50" s="189"/>
      <c r="L50" s="135"/>
      <c r="M50" s="135"/>
      <c r="N50" s="135"/>
      <c r="O50" s="135"/>
      <c r="P50" s="135"/>
      <c r="Q50" s="189"/>
      <c r="R50" s="135"/>
      <c r="S50" s="135"/>
      <c r="T50" s="135"/>
      <c r="U50" s="135"/>
      <c r="V50" s="189"/>
      <c r="W50" s="135"/>
      <c r="X50" s="135"/>
    </row>
    <row r="51" customFormat="false" ht="15.75" hidden="false" customHeight="true" outlineLevel="0" collapsed="false">
      <c r="A51" s="135"/>
      <c r="B51" s="189"/>
      <c r="C51" s="135"/>
      <c r="D51" s="189"/>
      <c r="E51" s="135"/>
      <c r="F51" s="135"/>
      <c r="G51" s="135"/>
      <c r="H51" s="135"/>
      <c r="I51" s="135"/>
      <c r="J51" s="135"/>
      <c r="K51" s="189"/>
      <c r="L51" s="135"/>
      <c r="M51" s="135"/>
      <c r="N51" s="135"/>
      <c r="O51" s="135"/>
      <c r="P51" s="135"/>
      <c r="Q51" s="189"/>
      <c r="R51" s="135"/>
      <c r="S51" s="135"/>
      <c r="T51" s="135"/>
      <c r="U51" s="135"/>
      <c r="V51" s="189"/>
      <c r="W51" s="135"/>
      <c r="X51" s="135"/>
    </row>
    <row r="52" customFormat="false" ht="15.75" hidden="false" customHeight="true" outlineLevel="0" collapsed="false">
      <c r="A52" s="135"/>
      <c r="B52" s="189"/>
      <c r="C52" s="135"/>
      <c r="D52" s="189"/>
      <c r="E52" s="135"/>
      <c r="F52" s="135"/>
      <c r="G52" s="135"/>
      <c r="H52" s="135"/>
      <c r="I52" s="135"/>
      <c r="J52" s="135"/>
      <c r="K52" s="189"/>
      <c r="L52" s="135"/>
      <c r="M52" s="135"/>
      <c r="N52" s="135"/>
      <c r="O52" s="135"/>
      <c r="P52" s="135"/>
      <c r="Q52" s="189"/>
      <c r="R52" s="135"/>
      <c r="S52" s="135"/>
      <c r="T52" s="135"/>
      <c r="U52" s="135"/>
      <c r="V52" s="189"/>
      <c r="W52" s="135"/>
      <c r="X52" s="135"/>
    </row>
    <row r="53" customFormat="false" ht="15.75" hidden="false" customHeight="true" outlineLevel="0" collapsed="false">
      <c r="A53" s="135"/>
      <c r="B53" s="189"/>
      <c r="C53" s="135"/>
      <c r="D53" s="189"/>
      <c r="E53" s="135"/>
      <c r="F53" s="135"/>
      <c r="G53" s="135"/>
      <c r="H53" s="135"/>
      <c r="I53" s="135"/>
      <c r="J53" s="135"/>
      <c r="K53" s="189"/>
      <c r="L53" s="135"/>
      <c r="M53" s="135"/>
      <c r="N53" s="135"/>
      <c r="O53" s="135"/>
      <c r="P53" s="135"/>
      <c r="Q53" s="189"/>
      <c r="R53" s="135"/>
      <c r="S53" s="135"/>
      <c r="T53" s="135"/>
      <c r="U53" s="135"/>
      <c r="V53" s="189"/>
      <c r="W53" s="135"/>
      <c r="X53" s="135"/>
    </row>
    <row r="54" customFormat="false" ht="15.75" hidden="false" customHeight="true" outlineLevel="0" collapsed="false">
      <c r="A54" s="135"/>
      <c r="B54" s="189"/>
      <c r="C54" s="135"/>
      <c r="D54" s="189"/>
      <c r="E54" s="135"/>
      <c r="F54" s="135"/>
      <c r="G54" s="135"/>
      <c r="H54" s="135"/>
      <c r="I54" s="135"/>
      <c r="J54" s="135"/>
      <c r="K54" s="189"/>
      <c r="L54" s="135"/>
      <c r="M54" s="135"/>
      <c r="N54" s="135"/>
      <c r="O54" s="135"/>
      <c r="P54" s="135"/>
      <c r="Q54" s="189"/>
      <c r="R54" s="135"/>
      <c r="S54" s="135"/>
      <c r="T54" s="135"/>
      <c r="U54" s="135"/>
      <c r="V54" s="189"/>
      <c r="W54" s="135"/>
      <c r="X54" s="135"/>
    </row>
    <row r="55" customFormat="false" ht="15.75" hidden="false" customHeight="true" outlineLevel="0" collapsed="false">
      <c r="A55" s="135"/>
      <c r="B55" s="189"/>
      <c r="C55" s="135"/>
      <c r="D55" s="189"/>
      <c r="E55" s="135"/>
      <c r="F55" s="135"/>
      <c r="G55" s="135"/>
      <c r="H55" s="135"/>
      <c r="I55" s="135"/>
      <c r="J55" s="135"/>
      <c r="K55" s="189"/>
      <c r="L55" s="135"/>
      <c r="M55" s="135"/>
      <c r="N55" s="135"/>
      <c r="O55" s="135"/>
      <c r="P55" s="135"/>
      <c r="Q55" s="189"/>
      <c r="R55" s="135"/>
      <c r="S55" s="135"/>
      <c r="T55" s="135"/>
      <c r="U55" s="135"/>
      <c r="V55" s="189"/>
      <c r="W55" s="135"/>
      <c r="X55" s="135"/>
    </row>
    <row r="56" customFormat="false" ht="15.75" hidden="false" customHeight="true" outlineLevel="0" collapsed="false">
      <c r="A56" s="135"/>
      <c r="B56" s="189"/>
      <c r="C56" s="135"/>
      <c r="D56" s="189"/>
      <c r="E56" s="135"/>
      <c r="F56" s="135"/>
      <c r="G56" s="135"/>
      <c r="H56" s="135"/>
      <c r="I56" s="135"/>
      <c r="J56" s="135"/>
      <c r="K56" s="189"/>
      <c r="L56" s="135"/>
      <c r="M56" s="135"/>
      <c r="N56" s="135"/>
      <c r="O56" s="135"/>
      <c r="P56" s="135"/>
      <c r="Q56" s="189"/>
      <c r="R56" s="135"/>
      <c r="S56" s="135"/>
      <c r="T56" s="135"/>
      <c r="U56" s="135"/>
      <c r="V56" s="189"/>
      <c r="W56" s="135"/>
      <c r="X56" s="135"/>
    </row>
    <row r="57" customFormat="false" ht="15.75" hidden="false" customHeight="true" outlineLevel="0" collapsed="false">
      <c r="A57" s="135"/>
      <c r="B57" s="189"/>
      <c r="C57" s="135"/>
      <c r="D57" s="189"/>
      <c r="E57" s="135"/>
      <c r="F57" s="135"/>
      <c r="G57" s="135"/>
      <c r="H57" s="135"/>
      <c r="I57" s="135"/>
      <c r="J57" s="135"/>
      <c r="K57" s="189"/>
      <c r="L57" s="135"/>
      <c r="M57" s="135"/>
      <c r="N57" s="135"/>
      <c r="O57" s="135"/>
      <c r="P57" s="135"/>
      <c r="Q57" s="189"/>
      <c r="R57" s="135"/>
      <c r="S57" s="135"/>
      <c r="T57" s="135"/>
      <c r="U57" s="135"/>
      <c r="V57" s="189"/>
      <c r="W57" s="135"/>
      <c r="X57" s="135"/>
    </row>
    <row r="58" customFormat="false" ht="15.75" hidden="false" customHeight="true" outlineLevel="0" collapsed="false">
      <c r="A58" s="135"/>
      <c r="B58" s="189"/>
      <c r="C58" s="135"/>
      <c r="D58" s="189"/>
      <c r="E58" s="135"/>
      <c r="F58" s="135"/>
      <c r="G58" s="135"/>
      <c r="H58" s="135"/>
      <c r="I58" s="135"/>
      <c r="J58" s="135"/>
      <c r="K58" s="189"/>
      <c r="L58" s="135"/>
      <c r="M58" s="135"/>
      <c r="N58" s="135"/>
      <c r="O58" s="135"/>
      <c r="P58" s="135"/>
      <c r="Q58" s="189"/>
      <c r="R58" s="135"/>
      <c r="S58" s="135"/>
      <c r="T58" s="135"/>
      <c r="U58" s="135"/>
      <c r="V58" s="189"/>
      <c r="W58" s="135"/>
      <c r="X58" s="135"/>
    </row>
    <row r="59" customFormat="false" ht="15.75" hidden="false" customHeight="true" outlineLevel="0" collapsed="false">
      <c r="A59" s="135"/>
      <c r="B59" s="189"/>
      <c r="C59" s="135"/>
      <c r="D59" s="189"/>
      <c r="E59" s="135"/>
      <c r="F59" s="135"/>
      <c r="G59" s="135"/>
      <c r="H59" s="135"/>
      <c r="I59" s="135"/>
      <c r="J59" s="135"/>
      <c r="K59" s="189"/>
      <c r="L59" s="135"/>
      <c r="M59" s="135"/>
      <c r="N59" s="135"/>
      <c r="O59" s="135"/>
      <c r="P59" s="135"/>
      <c r="Q59" s="189"/>
      <c r="R59" s="135"/>
      <c r="S59" s="135"/>
      <c r="T59" s="135"/>
      <c r="U59" s="135"/>
      <c r="V59" s="189"/>
      <c r="W59" s="135"/>
      <c r="X59" s="135"/>
    </row>
    <row r="60" customFormat="false" ht="15.75" hidden="false" customHeight="true" outlineLevel="0" collapsed="false">
      <c r="A60" s="135"/>
      <c r="B60" s="189"/>
      <c r="C60" s="135"/>
      <c r="D60" s="189"/>
      <c r="E60" s="135"/>
      <c r="F60" s="135"/>
      <c r="G60" s="135"/>
      <c r="H60" s="135"/>
      <c r="I60" s="135"/>
      <c r="J60" s="135"/>
      <c r="K60" s="189"/>
      <c r="L60" s="135"/>
      <c r="M60" s="135"/>
      <c r="N60" s="135"/>
      <c r="O60" s="135"/>
      <c r="P60" s="135"/>
      <c r="Q60" s="189"/>
      <c r="R60" s="135"/>
      <c r="S60" s="135"/>
      <c r="T60" s="135"/>
      <c r="U60" s="135"/>
      <c r="V60" s="189"/>
      <c r="W60" s="135"/>
      <c r="X60" s="135"/>
    </row>
    <row r="61" customFormat="false" ht="15.75" hidden="false" customHeight="true" outlineLevel="0" collapsed="false">
      <c r="A61" s="135"/>
      <c r="B61" s="189"/>
      <c r="C61" s="135"/>
      <c r="D61" s="189"/>
      <c r="E61" s="135"/>
      <c r="F61" s="135"/>
      <c r="G61" s="135"/>
      <c r="H61" s="135"/>
      <c r="I61" s="135"/>
      <c r="J61" s="135"/>
      <c r="K61" s="189"/>
      <c r="L61" s="135"/>
      <c r="M61" s="135"/>
      <c r="N61" s="135"/>
      <c r="O61" s="135"/>
      <c r="P61" s="135"/>
      <c r="Q61" s="189"/>
      <c r="R61" s="135"/>
      <c r="S61" s="135"/>
      <c r="T61" s="135"/>
      <c r="U61" s="135"/>
      <c r="V61" s="189"/>
      <c r="W61" s="135"/>
      <c r="X61" s="135"/>
    </row>
    <row r="62" customFormat="false" ht="15.75" hidden="false" customHeight="true" outlineLevel="0" collapsed="false">
      <c r="A62" s="135"/>
      <c r="B62" s="189"/>
      <c r="C62" s="135"/>
      <c r="D62" s="189"/>
      <c r="E62" s="135"/>
      <c r="F62" s="135"/>
      <c r="G62" s="135"/>
      <c r="H62" s="135"/>
      <c r="I62" s="135"/>
      <c r="J62" s="135"/>
      <c r="K62" s="189"/>
      <c r="L62" s="135"/>
      <c r="M62" s="135"/>
      <c r="N62" s="135"/>
      <c r="O62" s="135"/>
      <c r="P62" s="135"/>
      <c r="Q62" s="189"/>
      <c r="R62" s="135"/>
      <c r="S62" s="135"/>
      <c r="T62" s="135"/>
      <c r="U62" s="135"/>
      <c r="V62" s="189"/>
      <c r="W62" s="135"/>
      <c r="X62" s="135"/>
    </row>
    <row r="63" customFormat="false" ht="15.75" hidden="false" customHeight="true" outlineLevel="0" collapsed="false">
      <c r="A63" s="135"/>
      <c r="B63" s="189"/>
      <c r="C63" s="135"/>
      <c r="D63" s="189"/>
      <c r="E63" s="135"/>
      <c r="F63" s="135"/>
      <c r="G63" s="135"/>
      <c r="H63" s="135"/>
      <c r="I63" s="135"/>
      <c r="J63" s="135"/>
      <c r="K63" s="189"/>
      <c r="L63" s="135"/>
      <c r="M63" s="135"/>
      <c r="N63" s="135"/>
      <c r="O63" s="135"/>
      <c r="P63" s="135"/>
      <c r="Q63" s="189"/>
      <c r="R63" s="135"/>
      <c r="S63" s="135"/>
      <c r="T63" s="135"/>
      <c r="U63" s="135"/>
      <c r="V63" s="189"/>
      <c r="W63" s="135"/>
      <c r="X63" s="135"/>
    </row>
    <row r="64" customFormat="false" ht="15.75" hidden="false" customHeight="true" outlineLevel="0" collapsed="false">
      <c r="A64" s="135"/>
      <c r="B64" s="189"/>
      <c r="C64" s="135"/>
      <c r="D64" s="189"/>
      <c r="E64" s="135"/>
      <c r="F64" s="135"/>
      <c r="G64" s="135"/>
      <c r="H64" s="135"/>
      <c r="I64" s="135"/>
      <c r="J64" s="135"/>
      <c r="K64" s="189"/>
      <c r="L64" s="135"/>
      <c r="M64" s="135"/>
      <c r="N64" s="135"/>
      <c r="O64" s="135"/>
      <c r="P64" s="135"/>
      <c r="Q64" s="189"/>
      <c r="R64" s="135"/>
      <c r="S64" s="135"/>
      <c r="T64" s="135"/>
      <c r="U64" s="135"/>
      <c r="V64" s="189"/>
      <c r="W64" s="135"/>
      <c r="X64" s="135"/>
    </row>
    <row r="65" customFormat="false" ht="15.75" hidden="false" customHeight="true" outlineLevel="0" collapsed="false">
      <c r="A65" s="135"/>
      <c r="B65" s="189"/>
      <c r="C65" s="135"/>
      <c r="D65" s="189"/>
      <c r="E65" s="135"/>
      <c r="F65" s="135"/>
      <c r="G65" s="135"/>
      <c r="H65" s="135"/>
      <c r="I65" s="135"/>
      <c r="J65" s="135"/>
      <c r="K65" s="189"/>
      <c r="L65" s="135"/>
      <c r="M65" s="135"/>
      <c r="N65" s="135"/>
      <c r="O65" s="135"/>
      <c r="P65" s="135"/>
      <c r="Q65" s="189"/>
      <c r="R65" s="135"/>
      <c r="S65" s="135"/>
      <c r="T65" s="135"/>
      <c r="U65" s="135"/>
      <c r="V65" s="189"/>
      <c r="W65" s="135"/>
      <c r="X65" s="135"/>
    </row>
    <row r="66" customFormat="false" ht="15.75" hidden="false" customHeight="true" outlineLevel="0" collapsed="false">
      <c r="A66" s="135"/>
      <c r="B66" s="189"/>
      <c r="C66" s="135"/>
      <c r="D66" s="189"/>
      <c r="E66" s="135"/>
      <c r="F66" s="135"/>
      <c r="G66" s="135"/>
      <c r="H66" s="135"/>
      <c r="I66" s="135"/>
      <c r="J66" s="135"/>
      <c r="K66" s="189"/>
      <c r="L66" s="135"/>
      <c r="M66" s="135"/>
      <c r="N66" s="135"/>
      <c r="O66" s="135"/>
      <c r="P66" s="135"/>
      <c r="Q66" s="189"/>
      <c r="R66" s="135"/>
      <c r="S66" s="135"/>
      <c r="T66" s="135"/>
      <c r="U66" s="135"/>
      <c r="V66" s="189"/>
      <c r="W66" s="135"/>
      <c r="X66" s="135"/>
    </row>
    <row r="67" customFormat="false" ht="15.75" hidden="false" customHeight="true" outlineLevel="0" collapsed="false">
      <c r="A67" s="135"/>
      <c r="B67" s="189"/>
      <c r="C67" s="135"/>
      <c r="D67" s="189"/>
      <c r="E67" s="135"/>
      <c r="F67" s="135"/>
      <c r="G67" s="135"/>
      <c r="H67" s="135"/>
      <c r="I67" s="135"/>
      <c r="J67" s="135"/>
      <c r="K67" s="189"/>
      <c r="L67" s="135"/>
      <c r="M67" s="135"/>
      <c r="N67" s="135"/>
      <c r="O67" s="135"/>
      <c r="P67" s="135"/>
      <c r="Q67" s="189"/>
      <c r="R67" s="135"/>
      <c r="S67" s="135"/>
      <c r="T67" s="135"/>
      <c r="U67" s="135"/>
      <c r="V67" s="189"/>
      <c r="W67" s="135"/>
      <c r="X67" s="135"/>
    </row>
    <row r="68" customFormat="false" ht="15.75" hidden="false" customHeight="true" outlineLevel="0" collapsed="false">
      <c r="A68" s="135"/>
      <c r="B68" s="189"/>
      <c r="C68" s="135"/>
      <c r="D68" s="189"/>
      <c r="E68" s="135"/>
      <c r="F68" s="135"/>
      <c r="G68" s="135"/>
      <c r="H68" s="135"/>
      <c r="I68" s="135"/>
      <c r="J68" s="135"/>
      <c r="K68" s="189"/>
      <c r="L68" s="135"/>
      <c r="M68" s="135"/>
      <c r="N68" s="135"/>
      <c r="O68" s="135"/>
      <c r="P68" s="135"/>
      <c r="Q68" s="189"/>
      <c r="R68" s="135"/>
      <c r="S68" s="135"/>
      <c r="T68" s="135"/>
      <c r="U68" s="135"/>
      <c r="V68" s="189"/>
      <c r="W68" s="135"/>
      <c r="X68" s="135"/>
    </row>
    <row r="69" customFormat="false" ht="15.75" hidden="false" customHeight="true" outlineLevel="0" collapsed="false">
      <c r="A69" s="135"/>
      <c r="B69" s="189"/>
      <c r="C69" s="135"/>
      <c r="D69" s="189"/>
      <c r="E69" s="135"/>
      <c r="F69" s="135"/>
      <c r="G69" s="135"/>
      <c r="H69" s="135"/>
      <c r="I69" s="135"/>
      <c r="J69" s="135"/>
      <c r="K69" s="189"/>
      <c r="L69" s="135"/>
      <c r="M69" s="135"/>
      <c r="N69" s="135"/>
      <c r="O69" s="135"/>
      <c r="P69" s="135"/>
      <c r="Q69" s="189"/>
      <c r="R69" s="135"/>
      <c r="S69" s="135"/>
      <c r="T69" s="135"/>
      <c r="U69" s="135"/>
      <c r="V69" s="189"/>
      <c r="W69" s="135"/>
      <c r="X69" s="135"/>
    </row>
    <row r="70" customFormat="false" ht="15.75" hidden="false" customHeight="true" outlineLevel="0" collapsed="false">
      <c r="A70" s="135"/>
      <c r="B70" s="189"/>
      <c r="C70" s="135"/>
      <c r="D70" s="189"/>
      <c r="E70" s="135"/>
      <c r="F70" s="135"/>
      <c r="G70" s="135"/>
      <c r="H70" s="135"/>
      <c r="I70" s="135"/>
      <c r="J70" s="135"/>
      <c r="K70" s="189"/>
      <c r="L70" s="135"/>
      <c r="M70" s="135"/>
      <c r="N70" s="135"/>
      <c r="O70" s="135"/>
      <c r="P70" s="135"/>
      <c r="Q70" s="189"/>
      <c r="R70" s="135"/>
      <c r="S70" s="135"/>
      <c r="T70" s="135"/>
      <c r="U70" s="135"/>
      <c r="V70" s="189"/>
      <c r="W70" s="135"/>
      <c r="X70" s="135"/>
    </row>
    <row r="71" customFormat="false" ht="15.75" hidden="false" customHeight="true" outlineLevel="0" collapsed="false">
      <c r="A71" s="135"/>
      <c r="B71" s="189"/>
      <c r="C71" s="135"/>
      <c r="D71" s="189"/>
      <c r="E71" s="135"/>
      <c r="F71" s="135"/>
      <c r="G71" s="135"/>
      <c r="H71" s="135"/>
      <c r="I71" s="135"/>
      <c r="J71" s="135"/>
      <c r="K71" s="189"/>
      <c r="L71" s="135"/>
      <c r="M71" s="135"/>
      <c r="N71" s="135"/>
      <c r="O71" s="135"/>
      <c r="P71" s="135"/>
      <c r="Q71" s="189"/>
      <c r="R71" s="135"/>
      <c r="S71" s="135"/>
      <c r="T71" s="135"/>
      <c r="U71" s="135"/>
      <c r="V71" s="189"/>
      <c r="W71" s="135"/>
      <c r="X71" s="135"/>
    </row>
    <row r="72" customFormat="false" ht="15.75" hidden="false" customHeight="true" outlineLevel="0" collapsed="false">
      <c r="A72" s="135"/>
      <c r="B72" s="189"/>
      <c r="C72" s="135"/>
      <c r="D72" s="189"/>
      <c r="E72" s="135"/>
      <c r="F72" s="135"/>
      <c r="G72" s="135"/>
      <c r="H72" s="135"/>
      <c r="I72" s="135"/>
      <c r="J72" s="135"/>
      <c r="K72" s="189"/>
      <c r="L72" s="135"/>
      <c r="M72" s="135"/>
      <c r="N72" s="135"/>
      <c r="O72" s="135"/>
      <c r="P72" s="135"/>
      <c r="Q72" s="189"/>
      <c r="R72" s="135"/>
      <c r="S72" s="135"/>
      <c r="T72" s="135"/>
      <c r="U72" s="135"/>
      <c r="V72" s="189"/>
      <c r="W72" s="135"/>
      <c r="X72" s="135"/>
    </row>
    <row r="73" customFormat="false" ht="15.75" hidden="false" customHeight="true" outlineLevel="0" collapsed="false">
      <c r="A73" s="135"/>
      <c r="B73" s="189"/>
      <c r="C73" s="135"/>
      <c r="D73" s="189"/>
      <c r="E73" s="135"/>
      <c r="F73" s="135"/>
      <c r="G73" s="135"/>
      <c r="H73" s="135"/>
      <c r="I73" s="135"/>
      <c r="J73" s="135"/>
      <c r="K73" s="189"/>
      <c r="L73" s="135"/>
      <c r="M73" s="135"/>
      <c r="N73" s="135"/>
      <c r="O73" s="135"/>
      <c r="P73" s="135"/>
      <c r="Q73" s="189"/>
      <c r="R73" s="135"/>
      <c r="S73" s="135"/>
      <c r="T73" s="135"/>
      <c r="U73" s="135"/>
      <c r="V73" s="189"/>
      <c r="W73" s="135"/>
      <c r="X73" s="135"/>
    </row>
    <row r="74" customFormat="false" ht="15.75" hidden="false" customHeight="true" outlineLevel="0" collapsed="false">
      <c r="A74" s="135"/>
      <c r="B74" s="189"/>
      <c r="C74" s="135"/>
      <c r="D74" s="189"/>
      <c r="E74" s="135"/>
      <c r="F74" s="135"/>
      <c r="G74" s="135"/>
      <c r="H74" s="135"/>
      <c r="I74" s="135"/>
      <c r="J74" s="135"/>
      <c r="K74" s="189"/>
      <c r="L74" s="135"/>
      <c r="M74" s="135"/>
      <c r="N74" s="135"/>
      <c r="O74" s="135"/>
      <c r="P74" s="135"/>
      <c r="Q74" s="189"/>
      <c r="R74" s="135"/>
      <c r="S74" s="135"/>
      <c r="T74" s="135"/>
      <c r="U74" s="135"/>
      <c r="V74" s="189"/>
      <c r="W74" s="135"/>
      <c r="X74" s="135"/>
    </row>
    <row r="75" customFormat="false" ht="15.75" hidden="false" customHeight="true" outlineLevel="0" collapsed="false">
      <c r="A75" s="135"/>
      <c r="B75" s="189"/>
      <c r="C75" s="135"/>
      <c r="D75" s="189"/>
      <c r="E75" s="135"/>
      <c r="F75" s="135"/>
      <c r="G75" s="135"/>
      <c r="H75" s="135"/>
      <c r="I75" s="135"/>
      <c r="J75" s="135"/>
      <c r="K75" s="189"/>
      <c r="L75" s="135"/>
      <c r="M75" s="135"/>
      <c r="N75" s="135"/>
      <c r="O75" s="135"/>
      <c r="P75" s="135"/>
      <c r="Q75" s="189"/>
      <c r="R75" s="135"/>
      <c r="S75" s="135"/>
      <c r="T75" s="135"/>
      <c r="U75" s="135"/>
      <c r="V75" s="189"/>
      <c r="W75" s="135"/>
      <c r="X75" s="135"/>
    </row>
    <row r="76" customFormat="false" ht="15.75" hidden="false" customHeight="true" outlineLevel="0" collapsed="false">
      <c r="A76" s="135"/>
      <c r="B76" s="189"/>
      <c r="C76" s="135"/>
      <c r="D76" s="189"/>
      <c r="E76" s="135"/>
      <c r="F76" s="135"/>
      <c r="G76" s="135"/>
      <c r="H76" s="135"/>
      <c r="I76" s="135"/>
      <c r="J76" s="135"/>
      <c r="K76" s="189"/>
      <c r="L76" s="135"/>
      <c r="M76" s="135"/>
      <c r="N76" s="135"/>
      <c r="O76" s="135"/>
      <c r="P76" s="135"/>
      <c r="Q76" s="189"/>
      <c r="R76" s="135"/>
      <c r="S76" s="135"/>
      <c r="T76" s="135"/>
      <c r="U76" s="135"/>
      <c r="V76" s="189"/>
      <c r="W76" s="135"/>
      <c r="X76" s="135"/>
    </row>
    <row r="77" customFormat="false" ht="15.75" hidden="false" customHeight="true" outlineLevel="0" collapsed="false">
      <c r="A77" s="135"/>
      <c r="B77" s="189"/>
      <c r="C77" s="135"/>
      <c r="D77" s="189"/>
      <c r="E77" s="135"/>
      <c r="F77" s="135"/>
      <c r="G77" s="135"/>
      <c r="H77" s="135"/>
      <c r="I77" s="135"/>
      <c r="J77" s="135"/>
      <c r="K77" s="189"/>
      <c r="L77" s="135"/>
      <c r="M77" s="135"/>
      <c r="N77" s="135"/>
      <c r="O77" s="135"/>
      <c r="P77" s="135"/>
      <c r="Q77" s="189"/>
      <c r="R77" s="135"/>
      <c r="S77" s="135"/>
      <c r="T77" s="135"/>
      <c r="U77" s="135"/>
      <c r="V77" s="189"/>
      <c r="W77" s="135"/>
      <c r="X77" s="135"/>
    </row>
    <row r="78" customFormat="false" ht="15.75" hidden="false" customHeight="true" outlineLevel="0" collapsed="false">
      <c r="A78" s="135"/>
      <c r="B78" s="189"/>
      <c r="C78" s="135"/>
      <c r="D78" s="189"/>
      <c r="E78" s="135"/>
      <c r="F78" s="135"/>
      <c r="G78" s="135"/>
      <c r="H78" s="135"/>
      <c r="I78" s="135"/>
      <c r="J78" s="135"/>
      <c r="K78" s="189"/>
      <c r="L78" s="135"/>
      <c r="M78" s="135"/>
      <c r="N78" s="135"/>
      <c r="O78" s="135"/>
      <c r="P78" s="135"/>
      <c r="Q78" s="189"/>
      <c r="R78" s="135"/>
      <c r="S78" s="135"/>
      <c r="T78" s="135"/>
      <c r="U78" s="135"/>
      <c r="V78" s="189"/>
      <c r="W78" s="135"/>
      <c r="X78" s="135"/>
    </row>
    <row r="79" customFormat="false" ht="15.75" hidden="false" customHeight="true" outlineLevel="0" collapsed="false">
      <c r="A79" s="135"/>
      <c r="B79" s="189"/>
      <c r="C79" s="135"/>
      <c r="D79" s="189"/>
      <c r="E79" s="135"/>
      <c r="F79" s="135"/>
      <c r="G79" s="135"/>
      <c r="H79" s="135"/>
      <c r="I79" s="135"/>
      <c r="J79" s="135"/>
      <c r="K79" s="189"/>
      <c r="L79" s="135"/>
      <c r="M79" s="135"/>
      <c r="N79" s="135"/>
      <c r="O79" s="135"/>
      <c r="P79" s="135"/>
      <c r="Q79" s="189"/>
      <c r="R79" s="135"/>
      <c r="S79" s="135"/>
      <c r="T79" s="135"/>
      <c r="U79" s="135"/>
      <c r="V79" s="189"/>
      <c r="W79" s="135"/>
      <c r="X79" s="135"/>
    </row>
    <row r="80" customFormat="false" ht="15.75" hidden="false" customHeight="true" outlineLevel="0" collapsed="false">
      <c r="A80" s="135"/>
      <c r="B80" s="189"/>
      <c r="C80" s="135"/>
      <c r="D80" s="189"/>
      <c r="E80" s="135"/>
      <c r="F80" s="135"/>
      <c r="G80" s="135"/>
      <c r="H80" s="135"/>
      <c r="I80" s="135"/>
      <c r="J80" s="135"/>
      <c r="K80" s="189"/>
      <c r="L80" s="135"/>
      <c r="M80" s="135"/>
      <c r="N80" s="135"/>
      <c r="O80" s="135"/>
      <c r="P80" s="135"/>
      <c r="Q80" s="189"/>
      <c r="R80" s="135"/>
      <c r="S80" s="135"/>
      <c r="T80" s="135"/>
      <c r="U80" s="135"/>
      <c r="V80" s="189"/>
      <c r="W80" s="135"/>
      <c r="X80" s="135"/>
    </row>
    <row r="81" customFormat="false" ht="15.75" hidden="false" customHeight="true" outlineLevel="0" collapsed="false">
      <c r="A81" s="135"/>
      <c r="B81" s="189"/>
      <c r="C81" s="135"/>
      <c r="D81" s="189"/>
      <c r="E81" s="135"/>
      <c r="F81" s="135"/>
      <c r="G81" s="135"/>
      <c r="H81" s="135"/>
      <c r="I81" s="135"/>
      <c r="J81" s="135"/>
      <c r="K81" s="189"/>
      <c r="L81" s="135"/>
      <c r="M81" s="135"/>
      <c r="N81" s="135"/>
      <c r="O81" s="135"/>
      <c r="P81" s="135"/>
      <c r="Q81" s="189"/>
      <c r="R81" s="135"/>
      <c r="S81" s="135"/>
      <c r="T81" s="135"/>
      <c r="U81" s="135"/>
      <c r="V81" s="189"/>
      <c r="W81" s="135"/>
      <c r="X81" s="135"/>
    </row>
    <row r="82" customFormat="false" ht="15.75" hidden="false" customHeight="true" outlineLevel="0" collapsed="false">
      <c r="A82" s="135"/>
      <c r="B82" s="189"/>
      <c r="C82" s="135"/>
      <c r="D82" s="189"/>
      <c r="E82" s="135"/>
      <c r="F82" s="135"/>
      <c r="G82" s="135"/>
      <c r="H82" s="135"/>
      <c r="I82" s="135"/>
      <c r="J82" s="135"/>
      <c r="K82" s="189"/>
      <c r="L82" s="135"/>
      <c r="M82" s="135"/>
      <c r="N82" s="135"/>
      <c r="O82" s="135"/>
      <c r="P82" s="135"/>
      <c r="Q82" s="189"/>
      <c r="R82" s="135"/>
      <c r="S82" s="135"/>
      <c r="T82" s="135"/>
      <c r="U82" s="135"/>
      <c r="V82" s="189"/>
      <c r="W82" s="135"/>
      <c r="X82" s="135"/>
    </row>
    <row r="83" customFormat="false" ht="15.75" hidden="false" customHeight="true" outlineLevel="0" collapsed="false">
      <c r="A83" s="135"/>
      <c r="B83" s="189"/>
      <c r="C83" s="135"/>
      <c r="D83" s="189"/>
      <c r="E83" s="135"/>
      <c r="F83" s="135"/>
      <c r="G83" s="135"/>
      <c r="H83" s="135"/>
      <c r="I83" s="135"/>
      <c r="J83" s="135"/>
      <c r="K83" s="189"/>
      <c r="L83" s="135"/>
      <c r="M83" s="135"/>
      <c r="N83" s="135"/>
      <c r="O83" s="135"/>
      <c r="P83" s="135"/>
      <c r="Q83" s="189"/>
      <c r="R83" s="135"/>
      <c r="S83" s="135"/>
      <c r="T83" s="135"/>
      <c r="U83" s="135"/>
      <c r="V83" s="189"/>
      <c r="W83" s="135"/>
      <c r="X83" s="135"/>
    </row>
    <row r="84" customFormat="false" ht="15.75" hidden="false" customHeight="true" outlineLevel="0" collapsed="false">
      <c r="A84" s="135"/>
      <c r="B84" s="189"/>
      <c r="C84" s="135"/>
      <c r="D84" s="189"/>
      <c r="E84" s="135"/>
      <c r="F84" s="135"/>
      <c r="G84" s="135"/>
      <c r="H84" s="135"/>
      <c r="I84" s="135"/>
      <c r="J84" s="135"/>
      <c r="K84" s="189"/>
      <c r="L84" s="135"/>
      <c r="M84" s="135"/>
      <c r="N84" s="135"/>
      <c r="O84" s="135"/>
      <c r="P84" s="135"/>
      <c r="Q84" s="189"/>
      <c r="R84" s="135"/>
      <c r="S84" s="135"/>
      <c r="T84" s="135"/>
      <c r="U84" s="135"/>
      <c r="V84" s="189"/>
      <c r="W84" s="135"/>
      <c r="X84" s="135"/>
    </row>
    <row r="85" customFormat="false" ht="15.75" hidden="false" customHeight="true" outlineLevel="0" collapsed="false">
      <c r="A85" s="135"/>
      <c r="B85" s="189"/>
      <c r="C85" s="135"/>
      <c r="D85" s="189"/>
      <c r="E85" s="135"/>
      <c r="F85" s="135"/>
      <c r="G85" s="135"/>
      <c r="H85" s="135"/>
      <c r="I85" s="135"/>
      <c r="J85" s="135"/>
      <c r="K85" s="189"/>
      <c r="L85" s="135"/>
      <c r="M85" s="135"/>
      <c r="N85" s="135"/>
      <c r="O85" s="135"/>
      <c r="P85" s="135"/>
      <c r="Q85" s="189"/>
      <c r="R85" s="135"/>
      <c r="S85" s="135"/>
      <c r="T85" s="135"/>
      <c r="U85" s="135"/>
      <c r="V85" s="189"/>
      <c r="W85" s="135"/>
      <c r="X85" s="135"/>
    </row>
    <row r="86" customFormat="false" ht="15.75" hidden="false" customHeight="true" outlineLevel="0" collapsed="false">
      <c r="A86" s="135"/>
      <c r="B86" s="189"/>
      <c r="C86" s="135"/>
      <c r="D86" s="189"/>
      <c r="E86" s="135"/>
      <c r="F86" s="135"/>
      <c r="G86" s="135"/>
      <c r="H86" s="135"/>
      <c r="I86" s="135"/>
      <c r="J86" s="135"/>
      <c r="K86" s="189"/>
      <c r="L86" s="135"/>
      <c r="M86" s="135"/>
      <c r="N86" s="135"/>
      <c r="O86" s="135"/>
      <c r="P86" s="135"/>
      <c r="Q86" s="189"/>
      <c r="R86" s="135"/>
      <c r="S86" s="135"/>
      <c r="T86" s="135"/>
      <c r="U86" s="135"/>
      <c r="V86" s="189"/>
      <c r="W86" s="135"/>
      <c r="X86" s="135"/>
    </row>
    <row r="87" customFormat="false" ht="15.75" hidden="false" customHeight="true" outlineLevel="0" collapsed="false">
      <c r="A87" s="135"/>
      <c r="B87" s="189"/>
      <c r="C87" s="135"/>
      <c r="D87" s="189"/>
      <c r="E87" s="135"/>
      <c r="F87" s="135"/>
      <c r="G87" s="135"/>
      <c r="H87" s="135"/>
      <c r="I87" s="135"/>
      <c r="J87" s="135"/>
      <c r="K87" s="189"/>
      <c r="L87" s="135"/>
      <c r="M87" s="135"/>
      <c r="N87" s="135"/>
      <c r="O87" s="135"/>
      <c r="P87" s="135"/>
      <c r="Q87" s="189"/>
      <c r="R87" s="135"/>
      <c r="S87" s="135"/>
      <c r="T87" s="135"/>
      <c r="U87" s="135"/>
      <c r="V87" s="189"/>
      <c r="W87" s="135"/>
      <c r="X87" s="135"/>
    </row>
    <row r="88" customFormat="false" ht="15.75" hidden="false" customHeight="true" outlineLevel="0" collapsed="false">
      <c r="A88" s="135"/>
      <c r="B88" s="189"/>
      <c r="C88" s="135"/>
      <c r="D88" s="189"/>
      <c r="E88" s="135"/>
      <c r="F88" s="135"/>
      <c r="G88" s="135"/>
      <c r="H88" s="135"/>
      <c r="I88" s="135"/>
      <c r="J88" s="135"/>
      <c r="K88" s="189"/>
      <c r="L88" s="135"/>
      <c r="M88" s="135"/>
      <c r="N88" s="135"/>
      <c r="O88" s="135"/>
      <c r="P88" s="135"/>
      <c r="Q88" s="189"/>
      <c r="R88" s="135"/>
      <c r="S88" s="135"/>
      <c r="T88" s="135"/>
      <c r="U88" s="135"/>
      <c r="V88" s="189"/>
      <c r="W88" s="135"/>
      <c r="X88" s="135"/>
    </row>
    <row r="89" customFormat="false" ht="15.75" hidden="false" customHeight="true" outlineLevel="0" collapsed="false">
      <c r="A89" s="135"/>
      <c r="B89" s="189"/>
      <c r="C89" s="135"/>
      <c r="D89" s="189"/>
      <c r="E89" s="135"/>
      <c r="F89" s="135"/>
      <c r="G89" s="135"/>
      <c r="H89" s="135"/>
      <c r="I89" s="135"/>
      <c r="J89" s="135"/>
      <c r="K89" s="189"/>
      <c r="L89" s="135"/>
      <c r="M89" s="135"/>
      <c r="N89" s="135"/>
      <c r="O89" s="135"/>
      <c r="P89" s="135"/>
      <c r="Q89" s="189"/>
      <c r="R89" s="135"/>
      <c r="S89" s="135"/>
      <c r="T89" s="135"/>
      <c r="U89" s="135"/>
      <c r="V89" s="189"/>
      <c r="W89" s="135"/>
      <c r="X89" s="135"/>
    </row>
    <row r="90" customFormat="false" ht="15.75" hidden="false" customHeight="true" outlineLevel="0" collapsed="false">
      <c r="A90" s="135"/>
      <c r="B90" s="189"/>
      <c r="C90" s="135"/>
      <c r="D90" s="189"/>
      <c r="E90" s="135"/>
      <c r="F90" s="135"/>
      <c r="G90" s="135"/>
      <c r="H90" s="135"/>
      <c r="I90" s="135"/>
      <c r="J90" s="135"/>
      <c r="K90" s="189"/>
      <c r="L90" s="135"/>
      <c r="M90" s="135"/>
      <c r="N90" s="135"/>
      <c r="O90" s="135"/>
      <c r="P90" s="135"/>
      <c r="Q90" s="189"/>
      <c r="R90" s="135"/>
      <c r="S90" s="135"/>
      <c r="T90" s="135"/>
      <c r="U90" s="135"/>
      <c r="V90" s="189"/>
      <c r="W90" s="135"/>
      <c r="X90" s="135"/>
    </row>
    <row r="91" customFormat="false" ht="15.75" hidden="false" customHeight="true" outlineLevel="0" collapsed="false">
      <c r="A91" s="135"/>
      <c r="B91" s="189"/>
      <c r="C91" s="135"/>
      <c r="D91" s="189"/>
      <c r="E91" s="135"/>
      <c r="F91" s="135"/>
      <c r="G91" s="135"/>
      <c r="H91" s="135"/>
      <c r="I91" s="135"/>
      <c r="J91" s="135"/>
      <c r="K91" s="189"/>
      <c r="L91" s="135"/>
      <c r="M91" s="135"/>
      <c r="N91" s="135"/>
      <c r="O91" s="135"/>
      <c r="P91" s="135"/>
      <c r="Q91" s="189"/>
      <c r="R91" s="135"/>
      <c r="S91" s="135"/>
      <c r="T91" s="135"/>
      <c r="U91" s="135"/>
      <c r="V91" s="189"/>
      <c r="W91" s="135"/>
      <c r="X91" s="135"/>
    </row>
    <row r="92" customFormat="false" ht="15.75" hidden="false" customHeight="true" outlineLevel="0" collapsed="false">
      <c r="A92" s="135"/>
      <c r="B92" s="189"/>
      <c r="C92" s="135"/>
      <c r="D92" s="189"/>
      <c r="E92" s="135"/>
      <c r="F92" s="135"/>
      <c r="G92" s="135"/>
      <c r="H92" s="135"/>
      <c r="I92" s="135"/>
      <c r="J92" s="135"/>
      <c r="K92" s="189"/>
      <c r="L92" s="135"/>
      <c r="M92" s="135"/>
      <c r="N92" s="135"/>
      <c r="O92" s="135"/>
      <c r="P92" s="135"/>
      <c r="Q92" s="189"/>
      <c r="R92" s="135"/>
      <c r="S92" s="135"/>
      <c r="T92" s="135"/>
      <c r="U92" s="135"/>
      <c r="V92" s="189"/>
      <c r="W92" s="135"/>
      <c r="X92" s="135"/>
    </row>
    <row r="93" customFormat="false" ht="15.75" hidden="false" customHeight="true" outlineLevel="0" collapsed="false">
      <c r="A93" s="135"/>
      <c r="B93" s="189"/>
      <c r="C93" s="135"/>
      <c r="D93" s="189"/>
      <c r="E93" s="135"/>
      <c r="F93" s="135"/>
      <c r="G93" s="135"/>
      <c r="H93" s="135"/>
      <c r="I93" s="135"/>
      <c r="J93" s="135"/>
      <c r="K93" s="189"/>
      <c r="L93" s="135"/>
      <c r="M93" s="135"/>
      <c r="N93" s="135"/>
      <c r="O93" s="135"/>
      <c r="P93" s="135"/>
      <c r="Q93" s="189"/>
      <c r="R93" s="135"/>
      <c r="S93" s="135"/>
      <c r="T93" s="135"/>
      <c r="U93" s="135"/>
      <c r="V93" s="189"/>
      <c r="W93" s="135"/>
      <c r="X93" s="135"/>
    </row>
    <row r="94" customFormat="false" ht="15.75" hidden="false" customHeight="true" outlineLevel="0" collapsed="false">
      <c r="A94" s="135"/>
      <c r="B94" s="189"/>
      <c r="C94" s="135"/>
      <c r="D94" s="189"/>
      <c r="E94" s="135"/>
      <c r="F94" s="135"/>
      <c r="G94" s="135"/>
      <c r="H94" s="135"/>
      <c r="I94" s="135"/>
      <c r="J94" s="135"/>
      <c r="K94" s="189"/>
      <c r="L94" s="135"/>
      <c r="M94" s="135"/>
      <c r="N94" s="135"/>
      <c r="O94" s="135"/>
      <c r="P94" s="135"/>
      <c r="Q94" s="189"/>
      <c r="R94" s="135"/>
      <c r="S94" s="135"/>
      <c r="T94" s="135"/>
      <c r="U94" s="135"/>
      <c r="V94" s="189"/>
      <c r="W94" s="135"/>
      <c r="X94" s="135"/>
    </row>
    <row r="95" customFormat="false" ht="15.75" hidden="false" customHeight="true" outlineLevel="0" collapsed="false">
      <c r="A95" s="135"/>
      <c r="B95" s="189"/>
      <c r="C95" s="135"/>
      <c r="D95" s="189"/>
      <c r="E95" s="135"/>
      <c r="F95" s="135"/>
      <c r="G95" s="135"/>
      <c r="H95" s="135"/>
      <c r="I95" s="135"/>
      <c r="J95" s="135"/>
      <c r="K95" s="189"/>
      <c r="L95" s="135"/>
      <c r="M95" s="135"/>
      <c r="N95" s="135"/>
      <c r="O95" s="135"/>
      <c r="P95" s="135"/>
      <c r="Q95" s="189"/>
      <c r="R95" s="135"/>
      <c r="S95" s="135"/>
      <c r="T95" s="135"/>
      <c r="U95" s="135"/>
      <c r="V95" s="189"/>
      <c r="W95" s="135"/>
      <c r="X95" s="135"/>
    </row>
    <row r="96" customFormat="false" ht="15.75" hidden="false" customHeight="true" outlineLevel="0" collapsed="false">
      <c r="A96" s="135"/>
      <c r="B96" s="189"/>
      <c r="C96" s="135"/>
      <c r="D96" s="189"/>
      <c r="E96" s="135"/>
      <c r="F96" s="135"/>
      <c r="G96" s="135"/>
      <c r="H96" s="135"/>
      <c r="I96" s="135"/>
      <c r="J96" s="135"/>
      <c r="K96" s="189"/>
      <c r="L96" s="135"/>
      <c r="M96" s="135"/>
      <c r="N96" s="135"/>
      <c r="O96" s="135"/>
      <c r="P96" s="135"/>
      <c r="Q96" s="189"/>
      <c r="R96" s="135"/>
      <c r="S96" s="135"/>
      <c r="T96" s="135"/>
      <c r="U96" s="135"/>
      <c r="V96" s="189"/>
      <c r="W96" s="135"/>
      <c r="X96" s="135"/>
    </row>
    <row r="97" customFormat="false" ht="15.75" hidden="false" customHeight="true" outlineLevel="0" collapsed="false">
      <c r="A97" s="135"/>
      <c r="B97" s="189"/>
      <c r="C97" s="135"/>
      <c r="D97" s="189"/>
      <c r="E97" s="135"/>
      <c r="F97" s="135"/>
      <c r="G97" s="135"/>
      <c r="H97" s="135"/>
      <c r="I97" s="135"/>
      <c r="J97" s="135"/>
      <c r="K97" s="189"/>
      <c r="L97" s="135"/>
      <c r="M97" s="135"/>
      <c r="N97" s="135"/>
      <c r="O97" s="135"/>
      <c r="P97" s="135"/>
      <c r="Q97" s="189"/>
      <c r="R97" s="135"/>
      <c r="S97" s="135"/>
      <c r="T97" s="135"/>
      <c r="U97" s="135"/>
      <c r="V97" s="189"/>
      <c r="W97" s="135"/>
      <c r="X97" s="135"/>
    </row>
    <row r="98" customFormat="false" ht="15.75" hidden="false" customHeight="true" outlineLevel="0" collapsed="false">
      <c r="A98" s="135"/>
      <c r="B98" s="189"/>
      <c r="C98" s="135"/>
      <c r="D98" s="189"/>
      <c r="E98" s="135"/>
      <c r="F98" s="135"/>
      <c r="G98" s="135"/>
      <c r="H98" s="135"/>
      <c r="I98" s="135"/>
      <c r="J98" s="135"/>
      <c r="K98" s="189"/>
      <c r="L98" s="135"/>
      <c r="M98" s="135"/>
      <c r="N98" s="135"/>
      <c r="O98" s="135"/>
      <c r="P98" s="135"/>
      <c r="Q98" s="189"/>
      <c r="R98" s="135"/>
      <c r="S98" s="135"/>
      <c r="T98" s="135"/>
      <c r="U98" s="135"/>
      <c r="V98" s="189"/>
      <c r="W98" s="135"/>
      <c r="X98" s="135"/>
    </row>
    <row r="99" customFormat="false" ht="15.75" hidden="false" customHeight="true" outlineLevel="0" collapsed="false">
      <c r="A99" s="135"/>
      <c r="B99" s="189"/>
      <c r="C99" s="135"/>
      <c r="D99" s="189"/>
      <c r="E99" s="135"/>
      <c r="F99" s="135"/>
      <c r="G99" s="135"/>
      <c r="H99" s="135"/>
      <c r="I99" s="135"/>
      <c r="J99" s="135"/>
      <c r="K99" s="189"/>
      <c r="L99" s="135"/>
      <c r="M99" s="135"/>
      <c r="N99" s="135"/>
      <c r="O99" s="135"/>
      <c r="P99" s="135"/>
      <c r="Q99" s="189"/>
      <c r="R99" s="135"/>
      <c r="S99" s="135"/>
      <c r="T99" s="135"/>
      <c r="U99" s="135"/>
      <c r="V99" s="189"/>
      <c r="W99" s="135"/>
      <c r="X99" s="135"/>
    </row>
    <row r="100" customFormat="false" ht="15.75" hidden="false" customHeight="true" outlineLevel="0" collapsed="false">
      <c r="A100" s="135"/>
      <c r="B100" s="189"/>
      <c r="C100" s="135"/>
      <c r="D100" s="189"/>
      <c r="E100" s="135"/>
      <c r="F100" s="135"/>
      <c r="G100" s="135"/>
      <c r="H100" s="135"/>
      <c r="I100" s="135"/>
      <c r="J100" s="135"/>
      <c r="K100" s="189"/>
      <c r="L100" s="135"/>
      <c r="M100" s="135"/>
      <c r="N100" s="135"/>
      <c r="O100" s="135"/>
      <c r="P100" s="135"/>
      <c r="Q100" s="189"/>
      <c r="R100" s="135"/>
      <c r="S100" s="135"/>
      <c r="T100" s="135"/>
      <c r="U100" s="135"/>
      <c r="V100" s="189"/>
      <c r="W100" s="135"/>
      <c r="X100" s="135"/>
    </row>
    <row r="101" customFormat="false" ht="15.75" hidden="false" customHeight="true" outlineLevel="0" collapsed="false">
      <c r="A101" s="135"/>
      <c r="B101" s="189"/>
      <c r="C101" s="135"/>
      <c r="D101" s="189"/>
      <c r="E101" s="135"/>
      <c r="F101" s="135"/>
      <c r="G101" s="135"/>
      <c r="H101" s="135"/>
      <c r="I101" s="135"/>
      <c r="J101" s="135"/>
      <c r="K101" s="189"/>
      <c r="L101" s="135"/>
      <c r="M101" s="135"/>
      <c r="N101" s="135"/>
      <c r="O101" s="135"/>
      <c r="P101" s="135"/>
      <c r="Q101" s="189"/>
      <c r="R101" s="135"/>
      <c r="S101" s="135"/>
      <c r="T101" s="135"/>
      <c r="U101" s="135"/>
      <c r="V101" s="189"/>
      <c r="W101" s="135"/>
      <c r="X101" s="135"/>
    </row>
    <row r="102" customFormat="false" ht="15.75" hidden="false" customHeight="true" outlineLevel="0" collapsed="false">
      <c r="A102" s="135"/>
      <c r="B102" s="189"/>
      <c r="C102" s="135"/>
      <c r="D102" s="189"/>
      <c r="E102" s="135"/>
      <c r="F102" s="135"/>
      <c r="G102" s="135"/>
      <c r="H102" s="135"/>
      <c r="I102" s="135"/>
      <c r="J102" s="135"/>
      <c r="K102" s="189"/>
      <c r="L102" s="135"/>
      <c r="M102" s="135"/>
      <c r="N102" s="135"/>
      <c r="O102" s="135"/>
      <c r="P102" s="135"/>
      <c r="Q102" s="189"/>
      <c r="R102" s="135"/>
      <c r="S102" s="135"/>
      <c r="T102" s="135"/>
      <c r="U102" s="135"/>
      <c r="V102" s="189"/>
      <c r="W102" s="135"/>
      <c r="X102" s="135"/>
    </row>
    <row r="103" customFormat="false" ht="15.75" hidden="false" customHeight="true" outlineLevel="0" collapsed="false">
      <c r="A103" s="135"/>
      <c r="B103" s="189"/>
      <c r="C103" s="135"/>
      <c r="D103" s="189"/>
      <c r="E103" s="135"/>
      <c r="F103" s="135"/>
      <c r="G103" s="135"/>
      <c r="H103" s="135"/>
      <c r="I103" s="135"/>
      <c r="J103" s="135"/>
      <c r="K103" s="189"/>
      <c r="L103" s="135"/>
      <c r="M103" s="135"/>
      <c r="N103" s="135"/>
      <c r="O103" s="135"/>
      <c r="P103" s="135"/>
      <c r="Q103" s="189"/>
      <c r="R103" s="135"/>
      <c r="S103" s="135"/>
      <c r="T103" s="135"/>
      <c r="U103" s="135"/>
      <c r="V103" s="189"/>
      <c r="W103" s="135"/>
      <c r="X103" s="135"/>
    </row>
    <row r="104" customFormat="false" ht="15.75" hidden="false" customHeight="true" outlineLevel="0" collapsed="false">
      <c r="A104" s="135"/>
      <c r="B104" s="189"/>
      <c r="C104" s="135"/>
      <c r="D104" s="189"/>
      <c r="E104" s="135"/>
      <c r="F104" s="135"/>
      <c r="G104" s="135"/>
      <c r="H104" s="135"/>
      <c r="I104" s="135"/>
      <c r="J104" s="135"/>
      <c r="K104" s="189"/>
      <c r="L104" s="135"/>
      <c r="M104" s="135"/>
      <c r="N104" s="135"/>
      <c r="O104" s="135"/>
      <c r="P104" s="135"/>
      <c r="Q104" s="189"/>
      <c r="R104" s="135"/>
      <c r="S104" s="135"/>
      <c r="T104" s="135"/>
      <c r="U104" s="135"/>
      <c r="V104" s="189"/>
      <c r="W104" s="135"/>
      <c r="X104" s="135"/>
    </row>
    <row r="105" customFormat="false" ht="15.75" hidden="false" customHeight="true" outlineLevel="0" collapsed="false">
      <c r="A105" s="135"/>
      <c r="B105" s="189"/>
      <c r="C105" s="135"/>
      <c r="D105" s="189"/>
      <c r="E105" s="135"/>
      <c r="F105" s="135"/>
      <c r="G105" s="135"/>
      <c r="H105" s="135"/>
      <c r="I105" s="135"/>
      <c r="J105" s="135"/>
      <c r="K105" s="189"/>
      <c r="L105" s="135"/>
      <c r="M105" s="135"/>
      <c r="N105" s="135"/>
      <c r="O105" s="135"/>
      <c r="P105" s="135"/>
      <c r="Q105" s="189"/>
      <c r="R105" s="135"/>
      <c r="S105" s="135"/>
      <c r="T105" s="135"/>
      <c r="U105" s="135"/>
      <c r="V105" s="189"/>
      <c r="W105" s="135"/>
      <c r="X105" s="135"/>
    </row>
    <row r="106" customFormat="false" ht="15.75" hidden="false" customHeight="true" outlineLevel="0" collapsed="false">
      <c r="A106" s="135"/>
      <c r="B106" s="189"/>
      <c r="C106" s="135"/>
      <c r="D106" s="189"/>
      <c r="E106" s="135"/>
      <c r="F106" s="135"/>
      <c r="G106" s="135"/>
      <c r="H106" s="135"/>
      <c r="I106" s="135"/>
      <c r="J106" s="135"/>
      <c r="K106" s="189"/>
      <c r="L106" s="135"/>
      <c r="M106" s="135"/>
      <c r="N106" s="135"/>
      <c r="O106" s="135"/>
      <c r="P106" s="135"/>
      <c r="Q106" s="189"/>
      <c r="R106" s="135"/>
      <c r="S106" s="135"/>
      <c r="T106" s="135"/>
      <c r="U106" s="135"/>
      <c r="V106" s="189"/>
      <c r="W106" s="135"/>
      <c r="X106" s="135"/>
    </row>
    <row r="107" customFormat="false" ht="15.75" hidden="false" customHeight="true" outlineLevel="0" collapsed="false">
      <c r="A107" s="135"/>
      <c r="B107" s="189"/>
      <c r="C107" s="135"/>
      <c r="D107" s="189"/>
      <c r="E107" s="135"/>
      <c r="F107" s="135"/>
      <c r="G107" s="135"/>
      <c r="H107" s="135"/>
      <c r="I107" s="135"/>
      <c r="J107" s="135"/>
      <c r="K107" s="189"/>
      <c r="L107" s="135"/>
      <c r="M107" s="135"/>
      <c r="N107" s="135"/>
      <c r="O107" s="135"/>
      <c r="P107" s="135"/>
      <c r="Q107" s="189"/>
      <c r="R107" s="135"/>
      <c r="S107" s="135"/>
      <c r="T107" s="135"/>
      <c r="U107" s="135"/>
      <c r="V107" s="189"/>
      <c r="W107" s="135"/>
      <c r="X107" s="135"/>
    </row>
    <row r="108" customFormat="false" ht="15.75" hidden="false" customHeight="true" outlineLevel="0" collapsed="false">
      <c r="A108" s="135"/>
      <c r="B108" s="189"/>
      <c r="C108" s="135"/>
      <c r="D108" s="189"/>
      <c r="E108" s="135"/>
      <c r="F108" s="135"/>
      <c r="G108" s="135"/>
      <c r="H108" s="135"/>
      <c r="I108" s="135"/>
      <c r="J108" s="135"/>
      <c r="K108" s="189"/>
      <c r="L108" s="135"/>
      <c r="M108" s="135"/>
      <c r="N108" s="135"/>
      <c r="O108" s="135"/>
      <c r="P108" s="135"/>
      <c r="Q108" s="189"/>
      <c r="R108" s="135"/>
      <c r="S108" s="135"/>
      <c r="T108" s="135"/>
      <c r="U108" s="135"/>
      <c r="V108" s="189"/>
      <c r="W108" s="135"/>
      <c r="X108" s="135"/>
    </row>
    <row r="109" customFormat="false" ht="15.75" hidden="false" customHeight="true" outlineLevel="0" collapsed="false">
      <c r="A109" s="135"/>
      <c r="B109" s="189"/>
      <c r="C109" s="135"/>
      <c r="D109" s="189"/>
      <c r="E109" s="135"/>
      <c r="F109" s="135"/>
      <c r="G109" s="135"/>
      <c r="H109" s="135"/>
      <c r="I109" s="135"/>
      <c r="J109" s="135"/>
      <c r="K109" s="189"/>
      <c r="L109" s="135"/>
      <c r="M109" s="135"/>
      <c r="N109" s="135"/>
      <c r="O109" s="135"/>
      <c r="P109" s="135"/>
      <c r="Q109" s="189"/>
      <c r="R109" s="135"/>
      <c r="S109" s="135"/>
      <c r="T109" s="135"/>
      <c r="U109" s="135"/>
      <c r="V109" s="189"/>
      <c r="W109" s="135"/>
      <c r="X109" s="135"/>
    </row>
    <row r="110" customFormat="false" ht="15.75" hidden="false" customHeight="true" outlineLevel="0" collapsed="false">
      <c r="A110" s="135"/>
      <c r="B110" s="189"/>
      <c r="C110" s="135"/>
      <c r="D110" s="189"/>
      <c r="E110" s="135"/>
      <c r="F110" s="135"/>
      <c r="G110" s="135"/>
      <c r="H110" s="135"/>
      <c r="I110" s="135"/>
      <c r="J110" s="135"/>
      <c r="K110" s="189"/>
      <c r="L110" s="135"/>
      <c r="M110" s="135"/>
      <c r="N110" s="135"/>
      <c r="O110" s="135"/>
      <c r="P110" s="135"/>
      <c r="Q110" s="189"/>
      <c r="R110" s="135"/>
      <c r="S110" s="135"/>
      <c r="T110" s="135"/>
      <c r="U110" s="135"/>
      <c r="V110" s="189"/>
      <c r="W110" s="135"/>
      <c r="X110" s="135"/>
    </row>
    <row r="111" customFormat="false" ht="15.75" hidden="false" customHeight="true" outlineLevel="0" collapsed="false">
      <c r="A111" s="135"/>
      <c r="B111" s="189"/>
      <c r="C111" s="135"/>
      <c r="D111" s="189"/>
      <c r="E111" s="135"/>
      <c r="F111" s="135"/>
      <c r="G111" s="135"/>
      <c r="H111" s="135"/>
      <c r="I111" s="135"/>
      <c r="J111" s="135"/>
      <c r="K111" s="189"/>
      <c r="L111" s="135"/>
      <c r="M111" s="135"/>
      <c r="N111" s="135"/>
      <c r="O111" s="135"/>
      <c r="P111" s="135"/>
      <c r="Q111" s="189"/>
      <c r="R111" s="135"/>
      <c r="S111" s="135"/>
      <c r="T111" s="135"/>
      <c r="U111" s="135"/>
      <c r="V111" s="189"/>
      <c r="W111" s="135"/>
      <c r="X111" s="135"/>
    </row>
    <row r="112" customFormat="false" ht="15.75" hidden="false" customHeight="true" outlineLevel="0" collapsed="false">
      <c r="A112" s="135"/>
      <c r="B112" s="189"/>
      <c r="C112" s="135"/>
      <c r="D112" s="189"/>
      <c r="E112" s="135"/>
      <c r="F112" s="135"/>
      <c r="G112" s="135"/>
      <c r="H112" s="135"/>
      <c r="I112" s="135"/>
      <c r="J112" s="135"/>
      <c r="K112" s="189"/>
      <c r="L112" s="135"/>
      <c r="M112" s="135"/>
      <c r="N112" s="135"/>
      <c r="O112" s="135"/>
      <c r="P112" s="135"/>
      <c r="Q112" s="189"/>
      <c r="R112" s="135"/>
      <c r="S112" s="135"/>
      <c r="T112" s="135"/>
      <c r="U112" s="135"/>
      <c r="V112" s="189"/>
      <c r="W112" s="135"/>
      <c r="X112" s="135"/>
    </row>
    <row r="113" customFormat="false" ht="15.75" hidden="false" customHeight="true" outlineLevel="0" collapsed="false">
      <c r="A113" s="135"/>
      <c r="B113" s="189"/>
      <c r="C113" s="135"/>
      <c r="D113" s="189"/>
      <c r="E113" s="135"/>
      <c r="F113" s="135"/>
      <c r="G113" s="135"/>
      <c r="H113" s="135"/>
      <c r="I113" s="135"/>
      <c r="J113" s="135"/>
      <c r="K113" s="189"/>
      <c r="L113" s="135"/>
      <c r="M113" s="135"/>
      <c r="N113" s="135"/>
      <c r="O113" s="135"/>
      <c r="P113" s="135"/>
      <c r="Q113" s="189"/>
      <c r="R113" s="135"/>
      <c r="S113" s="135"/>
      <c r="T113" s="135"/>
      <c r="U113" s="135"/>
      <c r="V113" s="189"/>
      <c r="W113" s="135"/>
      <c r="X113" s="135"/>
    </row>
    <row r="114" customFormat="false" ht="15.75" hidden="false" customHeight="true" outlineLevel="0" collapsed="false">
      <c r="A114" s="135"/>
      <c r="B114" s="189"/>
      <c r="C114" s="135"/>
      <c r="D114" s="189"/>
      <c r="E114" s="135"/>
      <c r="F114" s="135"/>
      <c r="G114" s="135"/>
      <c r="H114" s="135"/>
      <c r="I114" s="135"/>
      <c r="J114" s="135"/>
      <c r="K114" s="189"/>
      <c r="L114" s="135"/>
      <c r="M114" s="135"/>
      <c r="N114" s="135"/>
      <c r="O114" s="135"/>
      <c r="P114" s="135"/>
      <c r="Q114" s="189"/>
      <c r="R114" s="135"/>
      <c r="S114" s="135"/>
      <c r="T114" s="135"/>
      <c r="U114" s="135"/>
      <c r="V114" s="189"/>
      <c r="W114" s="135"/>
      <c r="X114" s="135"/>
    </row>
    <row r="115" customFormat="false" ht="15.75" hidden="false" customHeight="true" outlineLevel="0" collapsed="false">
      <c r="A115" s="135"/>
      <c r="B115" s="189"/>
      <c r="C115" s="135"/>
      <c r="D115" s="189"/>
      <c r="E115" s="135"/>
      <c r="F115" s="135"/>
      <c r="G115" s="135"/>
      <c r="H115" s="135"/>
      <c r="I115" s="135"/>
      <c r="J115" s="135"/>
      <c r="K115" s="189"/>
      <c r="L115" s="135"/>
      <c r="M115" s="135"/>
      <c r="N115" s="135"/>
      <c r="O115" s="135"/>
      <c r="P115" s="135"/>
      <c r="Q115" s="189"/>
      <c r="R115" s="135"/>
      <c r="S115" s="135"/>
      <c r="T115" s="135"/>
      <c r="U115" s="135"/>
      <c r="V115" s="189"/>
      <c r="W115" s="135"/>
      <c r="X115" s="135"/>
    </row>
    <row r="116" customFormat="false" ht="15.75" hidden="false" customHeight="true" outlineLevel="0" collapsed="false">
      <c r="A116" s="135"/>
      <c r="B116" s="189"/>
      <c r="C116" s="135"/>
      <c r="D116" s="189"/>
      <c r="E116" s="135"/>
      <c r="F116" s="135"/>
      <c r="G116" s="135"/>
      <c r="H116" s="135"/>
      <c r="I116" s="135"/>
      <c r="J116" s="135"/>
      <c r="K116" s="189"/>
      <c r="L116" s="135"/>
      <c r="M116" s="135"/>
      <c r="N116" s="135"/>
      <c r="O116" s="135"/>
      <c r="P116" s="135"/>
      <c r="Q116" s="189"/>
      <c r="R116" s="135"/>
      <c r="S116" s="135"/>
      <c r="T116" s="135"/>
      <c r="U116" s="135"/>
      <c r="V116" s="189"/>
      <c r="W116" s="135"/>
      <c r="X116" s="135"/>
    </row>
    <row r="117" customFormat="false" ht="15.75" hidden="false" customHeight="true" outlineLevel="0" collapsed="false">
      <c r="A117" s="135"/>
      <c r="B117" s="189"/>
      <c r="C117" s="135"/>
      <c r="D117" s="189"/>
      <c r="E117" s="135"/>
      <c r="F117" s="135"/>
      <c r="G117" s="135"/>
      <c r="H117" s="135"/>
      <c r="I117" s="135"/>
      <c r="J117" s="135"/>
      <c r="K117" s="189"/>
      <c r="L117" s="135"/>
      <c r="M117" s="135"/>
      <c r="N117" s="135"/>
      <c r="O117" s="135"/>
      <c r="P117" s="135"/>
      <c r="Q117" s="189"/>
      <c r="R117" s="135"/>
      <c r="S117" s="135"/>
      <c r="T117" s="135"/>
      <c r="U117" s="135"/>
      <c r="V117" s="189"/>
      <c r="W117" s="135"/>
      <c r="X117" s="135"/>
    </row>
    <row r="118" customFormat="false" ht="15.75" hidden="false" customHeight="true" outlineLevel="0" collapsed="false">
      <c r="A118" s="135"/>
      <c r="B118" s="189"/>
      <c r="C118" s="135"/>
      <c r="D118" s="189"/>
      <c r="E118" s="135"/>
      <c r="F118" s="135"/>
      <c r="G118" s="135"/>
      <c r="H118" s="135"/>
      <c r="I118" s="135"/>
      <c r="J118" s="135"/>
      <c r="K118" s="189"/>
      <c r="L118" s="135"/>
      <c r="M118" s="135"/>
      <c r="N118" s="135"/>
      <c r="O118" s="135"/>
      <c r="P118" s="135"/>
      <c r="Q118" s="189"/>
      <c r="R118" s="135"/>
      <c r="S118" s="135"/>
      <c r="T118" s="135"/>
      <c r="U118" s="135"/>
      <c r="V118" s="189"/>
      <c r="W118" s="135"/>
      <c r="X118" s="135"/>
    </row>
    <row r="119" customFormat="false" ht="15.75" hidden="false" customHeight="true" outlineLevel="0" collapsed="false">
      <c r="A119" s="135"/>
      <c r="B119" s="189"/>
      <c r="C119" s="135"/>
      <c r="D119" s="189"/>
      <c r="E119" s="135"/>
      <c r="F119" s="135"/>
      <c r="G119" s="135"/>
      <c r="H119" s="135"/>
      <c r="I119" s="135"/>
      <c r="J119" s="135"/>
      <c r="K119" s="189"/>
      <c r="L119" s="135"/>
      <c r="M119" s="135"/>
      <c r="N119" s="135"/>
      <c r="O119" s="135"/>
      <c r="P119" s="135"/>
      <c r="Q119" s="189"/>
      <c r="R119" s="135"/>
      <c r="S119" s="135"/>
      <c r="T119" s="135"/>
      <c r="U119" s="135"/>
      <c r="V119" s="189"/>
      <c r="W119" s="135"/>
      <c r="X119" s="135"/>
    </row>
    <row r="120" customFormat="false" ht="15.75" hidden="false" customHeight="true" outlineLevel="0" collapsed="false">
      <c r="A120" s="135"/>
      <c r="B120" s="189"/>
      <c r="C120" s="135"/>
      <c r="D120" s="189"/>
      <c r="E120" s="135"/>
      <c r="F120" s="135"/>
      <c r="G120" s="135"/>
      <c r="H120" s="135"/>
      <c r="I120" s="135"/>
      <c r="J120" s="135"/>
      <c r="K120" s="189"/>
      <c r="L120" s="135"/>
      <c r="M120" s="135"/>
      <c r="N120" s="135"/>
      <c r="O120" s="135"/>
      <c r="P120" s="135"/>
      <c r="Q120" s="189"/>
      <c r="R120" s="135"/>
      <c r="S120" s="135"/>
      <c r="T120" s="135"/>
      <c r="U120" s="135"/>
      <c r="V120" s="189"/>
      <c r="W120" s="135"/>
      <c r="X120" s="135"/>
    </row>
    <row r="121" customFormat="false" ht="15.75" hidden="false" customHeight="true" outlineLevel="0" collapsed="false">
      <c r="A121" s="135"/>
      <c r="B121" s="189"/>
      <c r="C121" s="135"/>
      <c r="D121" s="189"/>
      <c r="E121" s="135"/>
      <c r="F121" s="135"/>
      <c r="G121" s="135"/>
      <c r="H121" s="135"/>
      <c r="I121" s="135"/>
      <c r="J121" s="135"/>
      <c r="K121" s="189"/>
      <c r="L121" s="135"/>
      <c r="M121" s="135"/>
      <c r="N121" s="135"/>
      <c r="O121" s="135"/>
      <c r="P121" s="135"/>
      <c r="Q121" s="189"/>
      <c r="R121" s="135"/>
      <c r="S121" s="135"/>
      <c r="T121" s="135"/>
      <c r="U121" s="135"/>
      <c r="V121" s="189"/>
      <c r="W121" s="135"/>
      <c r="X121" s="135"/>
    </row>
    <row r="122" customFormat="false" ht="15.75" hidden="false" customHeight="true" outlineLevel="0" collapsed="false">
      <c r="A122" s="135"/>
      <c r="B122" s="189"/>
      <c r="C122" s="135"/>
      <c r="D122" s="189"/>
      <c r="E122" s="135"/>
      <c r="F122" s="135"/>
      <c r="G122" s="135"/>
      <c r="H122" s="135"/>
      <c r="I122" s="135"/>
      <c r="J122" s="135"/>
      <c r="K122" s="189"/>
      <c r="L122" s="135"/>
      <c r="M122" s="135"/>
      <c r="N122" s="135"/>
      <c r="O122" s="135"/>
      <c r="P122" s="135"/>
      <c r="Q122" s="189"/>
      <c r="R122" s="135"/>
      <c r="S122" s="135"/>
      <c r="T122" s="135"/>
      <c r="U122" s="135"/>
      <c r="V122" s="189"/>
      <c r="W122" s="135"/>
      <c r="X122" s="135"/>
    </row>
    <row r="123" customFormat="false" ht="15.75" hidden="false" customHeight="true" outlineLevel="0" collapsed="false">
      <c r="A123" s="135"/>
      <c r="B123" s="189"/>
      <c r="C123" s="135"/>
      <c r="D123" s="189"/>
      <c r="E123" s="135"/>
      <c r="F123" s="135"/>
      <c r="G123" s="135"/>
      <c r="H123" s="135"/>
      <c r="I123" s="135"/>
      <c r="J123" s="135"/>
      <c r="K123" s="189"/>
      <c r="L123" s="135"/>
      <c r="M123" s="135"/>
      <c r="N123" s="135"/>
      <c r="O123" s="135"/>
      <c r="P123" s="135"/>
      <c r="Q123" s="189"/>
      <c r="R123" s="135"/>
      <c r="S123" s="135"/>
      <c r="T123" s="135"/>
      <c r="U123" s="135"/>
      <c r="V123" s="189"/>
      <c r="W123" s="135"/>
      <c r="X123" s="135"/>
    </row>
    <row r="124" customFormat="false" ht="15.75" hidden="false" customHeight="true" outlineLevel="0" collapsed="false">
      <c r="A124" s="135"/>
      <c r="B124" s="189"/>
      <c r="C124" s="135"/>
      <c r="D124" s="189"/>
      <c r="E124" s="135"/>
      <c r="F124" s="135"/>
      <c r="G124" s="135"/>
      <c r="H124" s="135"/>
      <c r="I124" s="135"/>
      <c r="J124" s="135"/>
      <c r="K124" s="189"/>
      <c r="L124" s="135"/>
      <c r="M124" s="135"/>
      <c r="N124" s="135"/>
      <c r="O124" s="135"/>
      <c r="P124" s="135"/>
      <c r="Q124" s="189"/>
      <c r="R124" s="135"/>
      <c r="S124" s="135"/>
      <c r="T124" s="135"/>
      <c r="U124" s="135"/>
      <c r="V124" s="189"/>
      <c r="W124" s="135"/>
      <c r="X124" s="135"/>
    </row>
    <row r="125" customFormat="false" ht="15.75" hidden="false" customHeight="true" outlineLevel="0" collapsed="false">
      <c r="A125" s="135"/>
      <c r="B125" s="189"/>
      <c r="C125" s="135"/>
      <c r="D125" s="189"/>
      <c r="E125" s="135"/>
      <c r="F125" s="135"/>
      <c r="G125" s="135"/>
      <c r="H125" s="135"/>
      <c r="I125" s="135"/>
      <c r="J125" s="135"/>
      <c r="K125" s="189"/>
      <c r="L125" s="135"/>
      <c r="M125" s="135"/>
      <c r="N125" s="135"/>
      <c r="O125" s="135"/>
      <c r="P125" s="135"/>
      <c r="Q125" s="189"/>
      <c r="R125" s="135"/>
      <c r="S125" s="135"/>
      <c r="T125" s="135"/>
      <c r="U125" s="135"/>
      <c r="V125" s="189"/>
      <c r="W125" s="135"/>
      <c r="X125" s="135"/>
    </row>
    <row r="126" customFormat="false" ht="15.75" hidden="false" customHeight="true" outlineLevel="0" collapsed="false">
      <c r="A126" s="135"/>
      <c r="B126" s="189"/>
      <c r="C126" s="135"/>
      <c r="D126" s="189"/>
      <c r="E126" s="135"/>
      <c r="F126" s="135"/>
      <c r="G126" s="135"/>
      <c r="H126" s="135"/>
      <c r="I126" s="135"/>
      <c r="J126" s="135"/>
      <c r="K126" s="189"/>
      <c r="L126" s="135"/>
      <c r="M126" s="135"/>
      <c r="N126" s="135"/>
      <c r="O126" s="135"/>
      <c r="P126" s="135"/>
      <c r="Q126" s="189"/>
      <c r="R126" s="135"/>
      <c r="S126" s="135"/>
      <c r="T126" s="135"/>
      <c r="U126" s="135"/>
      <c r="V126" s="189"/>
      <c r="W126" s="135"/>
      <c r="X126" s="135"/>
    </row>
    <row r="127" customFormat="false" ht="15.75" hidden="false" customHeight="true" outlineLevel="0" collapsed="false">
      <c r="A127" s="135"/>
      <c r="B127" s="189"/>
      <c r="C127" s="135"/>
      <c r="D127" s="189"/>
      <c r="E127" s="135"/>
      <c r="F127" s="135"/>
      <c r="G127" s="135"/>
      <c r="H127" s="135"/>
      <c r="I127" s="135"/>
      <c r="J127" s="135"/>
      <c r="K127" s="189"/>
      <c r="L127" s="135"/>
      <c r="M127" s="135"/>
      <c r="N127" s="135"/>
      <c r="O127" s="135"/>
      <c r="P127" s="135"/>
      <c r="Q127" s="189"/>
      <c r="R127" s="135"/>
      <c r="S127" s="135"/>
      <c r="T127" s="135"/>
      <c r="U127" s="135"/>
      <c r="V127" s="189"/>
      <c r="W127" s="135"/>
      <c r="X127" s="135"/>
    </row>
    <row r="128" customFormat="false" ht="15.75" hidden="false" customHeight="true" outlineLevel="0" collapsed="false">
      <c r="A128" s="135"/>
      <c r="B128" s="189"/>
      <c r="C128" s="135"/>
      <c r="D128" s="189"/>
      <c r="E128" s="135"/>
      <c r="F128" s="135"/>
      <c r="G128" s="135"/>
      <c r="H128" s="135"/>
      <c r="I128" s="135"/>
      <c r="J128" s="135"/>
      <c r="K128" s="189"/>
      <c r="L128" s="135"/>
      <c r="M128" s="135"/>
      <c r="N128" s="135"/>
      <c r="O128" s="135"/>
      <c r="P128" s="135"/>
      <c r="Q128" s="189"/>
      <c r="R128" s="135"/>
      <c r="S128" s="135"/>
      <c r="T128" s="135"/>
      <c r="U128" s="135"/>
      <c r="V128" s="189"/>
      <c r="W128" s="135"/>
      <c r="X128" s="135"/>
    </row>
    <row r="129" customFormat="false" ht="15.75" hidden="false" customHeight="true" outlineLevel="0" collapsed="false">
      <c r="A129" s="135"/>
      <c r="B129" s="189"/>
      <c r="C129" s="135"/>
      <c r="D129" s="189"/>
      <c r="E129" s="135"/>
      <c r="F129" s="135"/>
      <c r="G129" s="135"/>
      <c r="H129" s="135"/>
      <c r="I129" s="135"/>
      <c r="J129" s="135"/>
      <c r="K129" s="189"/>
      <c r="L129" s="135"/>
      <c r="M129" s="135"/>
      <c r="N129" s="135"/>
      <c r="O129" s="135"/>
      <c r="P129" s="135"/>
      <c r="Q129" s="189"/>
      <c r="R129" s="135"/>
      <c r="S129" s="135"/>
      <c r="T129" s="135"/>
      <c r="U129" s="135"/>
      <c r="V129" s="189"/>
      <c r="W129" s="135"/>
      <c r="X129" s="135"/>
    </row>
    <row r="130" customFormat="false" ht="15.75" hidden="false" customHeight="true" outlineLevel="0" collapsed="false">
      <c r="A130" s="135"/>
      <c r="B130" s="189"/>
      <c r="C130" s="135"/>
      <c r="D130" s="189"/>
      <c r="E130" s="135"/>
      <c r="F130" s="135"/>
      <c r="G130" s="135"/>
      <c r="H130" s="135"/>
      <c r="I130" s="135"/>
      <c r="J130" s="135"/>
      <c r="K130" s="189"/>
      <c r="L130" s="135"/>
      <c r="M130" s="135"/>
      <c r="N130" s="135"/>
      <c r="O130" s="135"/>
      <c r="P130" s="135"/>
      <c r="Q130" s="189"/>
      <c r="R130" s="135"/>
      <c r="S130" s="135"/>
      <c r="T130" s="135"/>
      <c r="U130" s="135"/>
      <c r="V130" s="189"/>
      <c r="W130" s="135"/>
      <c r="X130" s="135"/>
    </row>
    <row r="131" customFormat="false" ht="15.75" hidden="false" customHeight="true" outlineLevel="0" collapsed="false">
      <c r="A131" s="135"/>
      <c r="B131" s="189"/>
      <c r="C131" s="135"/>
      <c r="D131" s="189"/>
      <c r="E131" s="135"/>
      <c r="F131" s="135"/>
      <c r="G131" s="135"/>
      <c r="H131" s="135"/>
      <c r="I131" s="135"/>
      <c r="J131" s="135"/>
      <c r="K131" s="189"/>
      <c r="L131" s="135"/>
      <c r="M131" s="135"/>
      <c r="N131" s="135"/>
      <c r="O131" s="135"/>
      <c r="P131" s="135"/>
      <c r="Q131" s="189"/>
      <c r="R131" s="135"/>
      <c r="S131" s="135"/>
      <c r="T131" s="135"/>
      <c r="U131" s="135"/>
      <c r="V131" s="189"/>
      <c r="W131" s="135"/>
      <c r="X131" s="135"/>
    </row>
    <row r="132" customFormat="false" ht="15.75" hidden="false" customHeight="true" outlineLevel="0" collapsed="false">
      <c r="A132" s="135"/>
      <c r="B132" s="189"/>
      <c r="C132" s="135"/>
      <c r="D132" s="189"/>
      <c r="E132" s="135"/>
      <c r="F132" s="135"/>
      <c r="G132" s="135"/>
      <c r="H132" s="135"/>
      <c r="I132" s="135"/>
      <c r="J132" s="135"/>
      <c r="K132" s="189"/>
      <c r="L132" s="135"/>
      <c r="M132" s="135"/>
      <c r="N132" s="135"/>
      <c r="O132" s="135"/>
      <c r="P132" s="135"/>
      <c r="Q132" s="189"/>
      <c r="R132" s="135"/>
      <c r="S132" s="135"/>
      <c r="T132" s="135"/>
      <c r="U132" s="135"/>
      <c r="V132" s="189"/>
      <c r="W132" s="135"/>
      <c r="X132" s="135"/>
    </row>
    <row r="133" customFormat="false" ht="15.75" hidden="false" customHeight="true" outlineLevel="0" collapsed="false">
      <c r="A133" s="135"/>
      <c r="B133" s="189"/>
      <c r="C133" s="135"/>
      <c r="D133" s="189"/>
      <c r="E133" s="135"/>
      <c r="F133" s="135"/>
      <c r="G133" s="135"/>
      <c r="H133" s="135"/>
      <c r="I133" s="135"/>
      <c r="J133" s="135"/>
      <c r="K133" s="189"/>
      <c r="L133" s="135"/>
      <c r="M133" s="135"/>
      <c r="N133" s="135"/>
      <c r="O133" s="135"/>
      <c r="P133" s="135"/>
      <c r="Q133" s="189"/>
      <c r="R133" s="135"/>
      <c r="S133" s="135"/>
      <c r="T133" s="135"/>
      <c r="U133" s="135"/>
      <c r="V133" s="189"/>
      <c r="W133" s="135"/>
      <c r="X133" s="135"/>
    </row>
    <row r="134" customFormat="false" ht="15.75" hidden="false" customHeight="true" outlineLevel="0" collapsed="false">
      <c r="A134" s="135"/>
      <c r="B134" s="189"/>
      <c r="C134" s="135"/>
      <c r="D134" s="189"/>
      <c r="E134" s="135"/>
      <c r="F134" s="135"/>
      <c r="G134" s="135"/>
      <c r="H134" s="135"/>
      <c r="I134" s="135"/>
      <c r="J134" s="135"/>
      <c r="K134" s="189"/>
      <c r="L134" s="135"/>
      <c r="M134" s="135"/>
      <c r="N134" s="135"/>
      <c r="O134" s="135"/>
      <c r="P134" s="135"/>
      <c r="Q134" s="189"/>
      <c r="R134" s="135"/>
      <c r="S134" s="135"/>
      <c r="T134" s="135"/>
      <c r="U134" s="135"/>
      <c r="V134" s="189"/>
      <c r="W134" s="135"/>
      <c r="X134" s="135"/>
    </row>
    <row r="135" customFormat="false" ht="15.75" hidden="false" customHeight="true" outlineLevel="0" collapsed="false">
      <c r="A135" s="135"/>
      <c r="B135" s="189"/>
      <c r="C135" s="135"/>
      <c r="D135" s="189"/>
      <c r="E135" s="135"/>
      <c r="F135" s="135"/>
      <c r="G135" s="135"/>
      <c r="H135" s="135"/>
      <c r="I135" s="135"/>
      <c r="J135" s="135"/>
      <c r="K135" s="189"/>
      <c r="L135" s="135"/>
      <c r="M135" s="135"/>
      <c r="N135" s="135"/>
      <c r="O135" s="135"/>
      <c r="P135" s="135"/>
      <c r="Q135" s="189"/>
      <c r="R135" s="135"/>
      <c r="S135" s="135"/>
      <c r="T135" s="135"/>
      <c r="U135" s="135"/>
      <c r="V135" s="189"/>
      <c r="W135" s="135"/>
      <c r="X135" s="135"/>
    </row>
    <row r="136" customFormat="false" ht="15.75" hidden="false" customHeight="true" outlineLevel="0" collapsed="false">
      <c r="A136" s="135"/>
      <c r="B136" s="189"/>
      <c r="C136" s="135"/>
      <c r="D136" s="189"/>
      <c r="E136" s="135"/>
      <c r="F136" s="135"/>
      <c r="G136" s="135"/>
      <c r="H136" s="135"/>
      <c r="I136" s="135"/>
      <c r="J136" s="135"/>
      <c r="K136" s="189"/>
      <c r="L136" s="135"/>
      <c r="M136" s="135"/>
      <c r="N136" s="135"/>
      <c r="O136" s="135"/>
      <c r="P136" s="135"/>
      <c r="Q136" s="189"/>
      <c r="R136" s="135"/>
      <c r="S136" s="135"/>
      <c r="T136" s="135"/>
      <c r="U136" s="135"/>
      <c r="V136" s="189"/>
      <c r="W136" s="135"/>
      <c r="X136" s="135"/>
    </row>
    <row r="137" customFormat="false" ht="15.75" hidden="false" customHeight="true" outlineLevel="0" collapsed="false">
      <c r="A137" s="135"/>
      <c r="B137" s="189"/>
      <c r="C137" s="135"/>
      <c r="D137" s="189"/>
      <c r="E137" s="135"/>
      <c r="F137" s="135"/>
      <c r="G137" s="135"/>
      <c r="H137" s="135"/>
      <c r="I137" s="135"/>
      <c r="J137" s="135"/>
      <c r="K137" s="189"/>
      <c r="L137" s="135"/>
      <c r="M137" s="135"/>
      <c r="N137" s="135"/>
      <c r="O137" s="135"/>
      <c r="P137" s="135"/>
      <c r="Q137" s="189"/>
      <c r="R137" s="135"/>
      <c r="S137" s="135"/>
      <c r="T137" s="135"/>
      <c r="U137" s="135"/>
      <c r="V137" s="189"/>
      <c r="W137" s="135"/>
      <c r="X137" s="135"/>
    </row>
    <row r="138" customFormat="false" ht="15.75" hidden="false" customHeight="true" outlineLevel="0" collapsed="false">
      <c r="A138" s="135"/>
      <c r="B138" s="189"/>
      <c r="C138" s="135"/>
      <c r="D138" s="189"/>
      <c r="E138" s="135"/>
      <c r="F138" s="135"/>
      <c r="G138" s="135"/>
      <c r="H138" s="135"/>
      <c r="I138" s="135"/>
      <c r="J138" s="135"/>
      <c r="K138" s="189"/>
      <c r="L138" s="135"/>
      <c r="M138" s="135"/>
      <c r="N138" s="135"/>
      <c r="O138" s="135"/>
      <c r="P138" s="135"/>
      <c r="Q138" s="189"/>
      <c r="R138" s="135"/>
      <c r="S138" s="135"/>
      <c r="T138" s="135"/>
      <c r="U138" s="135"/>
      <c r="V138" s="189"/>
      <c r="W138" s="135"/>
      <c r="X138" s="135"/>
    </row>
    <row r="139" customFormat="false" ht="15.75" hidden="false" customHeight="true" outlineLevel="0" collapsed="false">
      <c r="A139" s="135"/>
      <c r="B139" s="189"/>
      <c r="C139" s="135"/>
      <c r="D139" s="189"/>
      <c r="E139" s="135"/>
      <c r="F139" s="135"/>
      <c r="G139" s="135"/>
      <c r="H139" s="135"/>
      <c r="I139" s="135"/>
      <c r="J139" s="135"/>
      <c r="K139" s="189"/>
      <c r="L139" s="135"/>
      <c r="M139" s="135"/>
      <c r="N139" s="135"/>
      <c r="O139" s="135"/>
      <c r="P139" s="135"/>
      <c r="Q139" s="189"/>
      <c r="R139" s="135"/>
      <c r="S139" s="135"/>
      <c r="T139" s="135"/>
      <c r="U139" s="135"/>
      <c r="V139" s="189"/>
      <c r="W139" s="135"/>
      <c r="X139" s="135"/>
    </row>
    <row r="140" customFormat="false" ht="15.75" hidden="false" customHeight="true" outlineLevel="0" collapsed="false">
      <c r="A140" s="135"/>
      <c r="B140" s="189"/>
      <c r="C140" s="135"/>
      <c r="D140" s="189"/>
      <c r="E140" s="135"/>
      <c r="F140" s="135"/>
      <c r="G140" s="135"/>
      <c r="H140" s="135"/>
      <c r="I140" s="135"/>
      <c r="J140" s="135"/>
      <c r="K140" s="189"/>
      <c r="L140" s="135"/>
      <c r="M140" s="135"/>
      <c r="N140" s="135"/>
      <c r="O140" s="135"/>
      <c r="P140" s="135"/>
      <c r="Q140" s="189"/>
      <c r="R140" s="135"/>
      <c r="S140" s="135"/>
      <c r="T140" s="135"/>
      <c r="U140" s="135"/>
      <c r="V140" s="189"/>
      <c r="W140" s="135"/>
      <c r="X140" s="135"/>
    </row>
    <row r="141" customFormat="false" ht="15.75" hidden="false" customHeight="true" outlineLevel="0" collapsed="false">
      <c r="A141" s="135"/>
      <c r="B141" s="189"/>
      <c r="C141" s="135"/>
      <c r="D141" s="189"/>
      <c r="E141" s="135"/>
      <c r="F141" s="135"/>
      <c r="G141" s="135"/>
      <c r="H141" s="135"/>
      <c r="I141" s="135"/>
      <c r="J141" s="135"/>
      <c r="K141" s="189"/>
      <c r="L141" s="135"/>
      <c r="M141" s="135"/>
      <c r="N141" s="135"/>
      <c r="O141" s="135"/>
      <c r="P141" s="135"/>
      <c r="Q141" s="189"/>
      <c r="R141" s="135"/>
      <c r="S141" s="135"/>
      <c r="T141" s="135"/>
      <c r="U141" s="135"/>
      <c r="V141" s="189"/>
      <c r="W141" s="135"/>
      <c r="X141" s="135"/>
    </row>
    <row r="142" customFormat="false" ht="15.75" hidden="false" customHeight="true" outlineLevel="0" collapsed="false">
      <c r="A142" s="135"/>
      <c r="B142" s="189"/>
      <c r="C142" s="135"/>
      <c r="D142" s="189"/>
      <c r="E142" s="135"/>
      <c r="F142" s="135"/>
      <c r="G142" s="135"/>
      <c r="H142" s="135"/>
      <c r="I142" s="135"/>
      <c r="J142" s="135"/>
      <c r="K142" s="189"/>
      <c r="L142" s="135"/>
      <c r="M142" s="135"/>
      <c r="N142" s="135"/>
      <c r="O142" s="135"/>
      <c r="P142" s="135"/>
      <c r="Q142" s="189"/>
      <c r="R142" s="135"/>
      <c r="S142" s="135"/>
      <c r="T142" s="135"/>
      <c r="U142" s="135"/>
      <c r="V142" s="189"/>
      <c r="W142" s="135"/>
      <c r="X142" s="135"/>
    </row>
    <row r="143" customFormat="false" ht="15.75" hidden="false" customHeight="true" outlineLevel="0" collapsed="false">
      <c r="A143" s="135"/>
      <c r="B143" s="189"/>
      <c r="C143" s="135"/>
      <c r="D143" s="189"/>
      <c r="E143" s="135"/>
      <c r="F143" s="135"/>
      <c r="G143" s="135"/>
      <c r="H143" s="135"/>
      <c r="I143" s="135"/>
      <c r="J143" s="135"/>
      <c r="K143" s="189"/>
      <c r="L143" s="135"/>
      <c r="M143" s="135"/>
      <c r="N143" s="135"/>
      <c r="O143" s="135"/>
      <c r="P143" s="135"/>
      <c r="Q143" s="189"/>
      <c r="R143" s="135"/>
      <c r="S143" s="135"/>
      <c r="T143" s="135"/>
      <c r="U143" s="135"/>
      <c r="V143" s="189"/>
      <c r="W143" s="135"/>
      <c r="X143" s="135"/>
    </row>
    <row r="144" customFormat="false" ht="15.75" hidden="false" customHeight="true" outlineLevel="0" collapsed="false">
      <c r="A144" s="135"/>
      <c r="B144" s="189"/>
      <c r="C144" s="135"/>
      <c r="D144" s="189"/>
      <c r="E144" s="135"/>
      <c r="F144" s="135"/>
      <c r="G144" s="135"/>
      <c r="H144" s="135"/>
      <c r="I144" s="135"/>
      <c r="J144" s="135"/>
      <c r="K144" s="189"/>
      <c r="L144" s="135"/>
      <c r="M144" s="135"/>
      <c r="N144" s="135"/>
      <c r="O144" s="135"/>
      <c r="P144" s="135"/>
      <c r="Q144" s="189"/>
      <c r="R144" s="135"/>
      <c r="S144" s="135"/>
      <c r="T144" s="135"/>
      <c r="U144" s="135"/>
      <c r="V144" s="189"/>
      <c r="W144" s="135"/>
      <c r="X144" s="135"/>
    </row>
    <row r="145" customFormat="false" ht="15.75" hidden="false" customHeight="true" outlineLevel="0" collapsed="false">
      <c r="A145" s="135"/>
      <c r="B145" s="189"/>
      <c r="C145" s="135"/>
      <c r="D145" s="189"/>
      <c r="E145" s="135"/>
      <c r="F145" s="135"/>
      <c r="G145" s="135"/>
      <c r="H145" s="135"/>
      <c r="I145" s="135"/>
      <c r="J145" s="135"/>
      <c r="K145" s="189"/>
      <c r="L145" s="135"/>
      <c r="M145" s="135"/>
      <c r="N145" s="135"/>
      <c r="O145" s="135"/>
      <c r="P145" s="135"/>
      <c r="Q145" s="189"/>
      <c r="R145" s="135"/>
      <c r="S145" s="135"/>
      <c r="T145" s="135"/>
      <c r="U145" s="135"/>
      <c r="V145" s="189"/>
      <c r="W145" s="135"/>
      <c r="X145" s="135"/>
    </row>
    <row r="146" customFormat="false" ht="15.75" hidden="false" customHeight="true" outlineLevel="0" collapsed="false">
      <c r="A146" s="135"/>
      <c r="B146" s="189"/>
      <c r="C146" s="135"/>
      <c r="D146" s="189"/>
      <c r="E146" s="135"/>
      <c r="F146" s="135"/>
      <c r="G146" s="135"/>
      <c r="H146" s="135"/>
      <c r="I146" s="135"/>
      <c r="J146" s="135"/>
      <c r="K146" s="189"/>
      <c r="L146" s="135"/>
      <c r="M146" s="135"/>
      <c r="N146" s="135"/>
      <c r="O146" s="135"/>
      <c r="P146" s="135"/>
      <c r="Q146" s="189"/>
      <c r="R146" s="135"/>
      <c r="S146" s="135"/>
      <c r="T146" s="135"/>
      <c r="U146" s="135"/>
      <c r="V146" s="189"/>
      <c r="W146" s="135"/>
      <c r="X146" s="135"/>
    </row>
    <row r="147" customFormat="false" ht="15.75" hidden="false" customHeight="true" outlineLevel="0" collapsed="false">
      <c r="A147" s="135"/>
      <c r="B147" s="189"/>
      <c r="C147" s="135"/>
      <c r="D147" s="189"/>
      <c r="E147" s="135"/>
      <c r="F147" s="135"/>
      <c r="G147" s="135"/>
      <c r="H147" s="135"/>
      <c r="I147" s="135"/>
      <c r="J147" s="135"/>
      <c r="K147" s="189"/>
      <c r="L147" s="135"/>
      <c r="M147" s="135"/>
      <c r="N147" s="135"/>
      <c r="O147" s="135"/>
      <c r="P147" s="135"/>
      <c r="Q147" s="189"/>
      <c r="R147" s="135"/>
      <c r="S147" s="135"/>
      <c r="T147" s="135"/>
      <c r="U147" s="135"/>
      <c r="V147" s="189"/>
      <c r="W147" s="135"/>
      <c r="X147" s="135"/>
    </row>
    <row r="148" customFormat="false" ht="15.75" hidden="false" customHeight="true" outlineLevel="0" collapsed="false">
      <c r="A148" s="135"/>
      <c r="B148" s="189"/>
      <c r="C148" s="135"/>
      <c r="D148" s="189"/>
      <c r="E148" s="135"/>
      <c r="F148" s="135"/>
      <c r="G148" s="135"/>
      <c r="H148" s="135"/>
      <c r="I148" s="135"/>
      <c r="J148" s="135"/>
      <c r="K148" s="189"/>
      <c r="L148" s="135"/>
      <c r="M148" s="135"/>
      <c r="N148" s="135"/>
      <c r="O148" s="135"/>
      <c r="P148" s="135"/>
      <c r="Q148" s="189"/>
      <c r="R148" s="135"/>
      <c r="S148" s="135"/>
      <c r="T148" s="135"/>
      <c r="U148" s="135"/>
      <c r="V148" s="189"/>
      <c r="W148" s="135"/>
      <c r="X148" s="135"/>
    </row>
    <row r="149" customFormat="false" ht="15.75" hidden="false" customHeight="true" outlineLevel="0" collapsed="false">
      <c r="A149" s="135"/>
      <c r="B149" s="189"/>
      <c r="C149" s="135"/>
      <c r="D149" s="189"/>
      <c r="E149" s="135"/>
      <c r="F149" s="135"/>
      <c r="G149" s="135"/>
      <c r="H149" s="135"/>
      <c r="I149" s="135"/>
      <c r="J149" s="135"/>
      <c r="K149" s="189"/>
      <c r="L149" s="135"/>
      <c r="M149" s="135"/>
      <c r="N149" s="135"/>
      <c r="O149" s="135"/>
      <c r="P149" s="135"/>
      <c r="Q149" s="189"/>
      <c r="R149" s="135"/>
      <c r="S149" s="135"/>
      <c r="T149" s="135"/>
      <c r="U149" s="135"/>
      <c r="V149" s="189"/>
      <c r="W149" s="135"/>
      <c r="X149" s="135"/>
    </row>
    <row r="150" customFormat="false" ht="15.75" hidden="false" customHeight="true" outlineLevel="0" collapsed="false">
      <c r="A150" s="135"/>
      <c r="B150" s="189"/>
      <c r="C150" s="135"/>
      <c r="D150" s="189"/>
      <c r="E150" s="135"/>
      <c r="F150" s="135"/>
      <c r="G150" s="135"/>
      <c r="H150" s="135"/>
      <c r="I150" s="135"/>
      <c r="J150" s="135"/>
      <c r="K150" s="189"/>
      <c r="L150" s="135"/>
      <c r="M150" s="135"/>
      <c r="N150" s="135"/>
      <c r="O150" s="135"/>
      <c r="P150" s="135"/>
      <c r="Q150" s="189"/>
      <c r="R150" s="135"/>
      <c r="S150" s="135"/>
      <c r="T150" s="135"/>
      <c r="U150" s="135"/>
      <c r="V150" s="189"/>
      <c r="W150" s="135"/>
      <c r="X150" s="135"/>
    </row>
    <row r="151" customFormat="false" ht="15.75" hidden="false" customHeight="true" outlineLevel="0" collapsed="false">
      <c r="A151" s="135"/>
      <c r="B151" s="189"/>
      <c r="C151" s="135"/>
      <c r="D151" s="189"/>
      <c r="E151" s="135"/>
      <c r="F151" s="135"/>
      <c r="G151" s="135"/>
      <c r="H151" s="135"/>
      <c r="I151" s="135"/>
      <c r="J151" s="135"/>
      <c r="K151" s="189"/>
      <c r="L151" s="135"/>
      <c r="M151" s="135"/>
      <c r="N151" s="135"/>
      <c r="O151" s="135"/>
      <c r="P151" s="135"/>
      <c r="Q151" s="189"/>
      <c r="R151" s="135"/>
      <c r="S151" s="135"/>
      <c r="T151" s="135"/>
      <c r="U151" s="135"/>
      <c r="V151" s="189"/>
      <c r="W151" s="135"/>
      <c r="X151" s="135"/>
    </row>
    <row r="152" customFormat="false" ht="15.75" hidden="false" customHeight="true" outlineLevel="0" collapsed="false">
      <c r="A152" s="135"/>
      <c r="B152" s="189"/>
      <c r="C152" s="135"/>
      <c r="D152" s="189"/>
      <c r="E152" s="135"/>
      <c r="F152" s="135"/>
      <c r="G152" s="135"/>
      <c r="H152" s="135"/>
      <c r="I152" s="135"/>
      <c r="J152" s="135"/>
      <c r="K152" s="189"/>
      <c r="L152" s="135"/>
      <c r="M152" s="135"/>
      <c r="N152" s="135"/>
      <c r="O152" s="135"/>
      <c r="P152" s="135"/>
      <c r="Q152" s="189"/>
      <c r="R152" s="135"/>
      <c r="S152" s="135"/>
      <c r="T152" s="135"/>
      <c r="U152" s="135"/>
      <c r="V152" s="189"/>
      <c r="W152" s="135"/>
      <c r="X152" s="135"/>
    </row>
    <row r="153" customFormat="false" ht="15.75" hidden="false" customHeight="true" outlineLevel="0" collapsed="false">
      <c r="A153" s="135"/>
      <c r="B153" s="189"/>
      <c r="C153" s="135"/>
      <c r="D153" s="189"/>
      <c r="E153" s="135"/>
      <c r="F153" s="135"/>
      <c r="G153" s="135"/>
      <c r="H153" s="135"/>
      <c r="I153" s="135"/>
      <c r="J153" s="135"/>
      <c r="K153" s="189"/>
      <c r="L153" s="135"/>
      <c r="M153" s="135"/>
      <c r="N153" s="135"/>
      <c r="O153" s="135"/>
      <c r="P153" s="135"/>
      <c r="Q153" s="189"/>
      <c r="R153" s="135"/>
      <c r="S153" s="135"/>
      <c r="T153" s="135"/>
      <c r="U153" s="135"/>
      <c r="V153" s="189"/>
      <c r="W153" s="135"/>
      <c r="X153" s="135"/>
    </row>
    <row r="154" customFormat="false" ht="15.75" hidden="false" customHeight="true" outlineLevel="0" collapsed="false">
      <c r="A154" s="135"/>
      <c r="B154" s="189"/>
      <c r="C154" s="135"/>
      <c r="D154" s="189"/>
      <c r="E154" s="135"/>
      <c r="F154" s="135"/>
      <c r="G154" s="135"/>
      <c r="H154" s="135"/>
      <c r="I154" s="135"/>
      <c r="J154" s="135"/>
      <c r="K154" s="189"/>
      <c r="L154" s="135"/>
      <c r="M154" s="135"/>
      <c r="N154" s="135"/>
      <c r="O154" s="135"/>
      <c r="P154" s="135"/>
      <c r="Q154" s="189"/>
      <c r="R154" s="135"/>
      <c r="S154" s="135"/>
      <c r="T154" s="135"/>
      <c r="U154" s="135"/>
      <c r="V154" s="189"/>
      <c r="W154" s="135"/>
      <c r="X154" s="135"/>
    </row>
    <row r="155" customFormat="false" ht="15.75" hidden="false" customHeight="true" outlineLevel="0" collapsed="false">
      <c r="A155" s="135"/>
      <c r="B155" s="189"/>
      <c r="C155" s="135"/>
      <c r="D155" s="189"/>
      <c r="E155" s="135"/>
      <c r="F155" s="135"/>
      <c r="G155" s="135"/>
      <c r="H155" s="135"/>
      <c r="I155" s="135"/>
      <c r="J155" s="135"/>
      <c r="K155" s="189"/>
      <c r="L155" s="135"/>
      <c r="M155" s="135"/>
      <c r="N155" s="135"/>
      <c r="O155" s="135"/>
      <c r="P155" s="135"/>
      <c r="Q155" s="189"/>
      <c r="R155" s="135"/>
      <c r="S155" s="135"/>
      <c r="T155" s="135"/>
      <c r="U155" s="135"/>
      <c r="V155" s="189"/>
      <c r="W155" s="135"/>
      <c r="X155" s="135"/>
    </row>
    <row r="156" customFormat="false" ht="15.75" hidden="false" customHeight="true" outlineLevel="0" collapsed="false">
      <c r="A156" s="135"/>
      <c r="B156" s="189"/>
      <c r="C156" s="135"/>
      <c r="D156" s="189"/>
      <c r="E156" s="135"/>
      <c r="F156" s="135"/>
      <c r="G156" s="135"/>
      <c r="H156" s="135"/>
      <c r="I156" s="135"/>
      <c r="J156" s="135"/>
      <c r="K156" s="189"/>
      <c r="L156" s="135"/>
      <c r="M156" s="135"/>
      <c r="N156" s="135"/>
      <c r="O156" s="135"/>
      <c r="P156" s="135"/>
      <c r="Q156" s="189"/>
      <c r="R156" s="135"/>
      <c r="S156" s="135"/>
      <c r="T156" s="135"/>
      <c r="U156" s="135"/>
      <c r="V156" s="189"/>
      <c r="W156" s="135"/>
      <c r="X156" s="135"/>
    </row>
    <row r="157" customFormat="false" ht="15.75" hidden="false" customHeight="true" outlineLevel="0" collapsed="false">
      <c r="A157" s="135"/>
      <c r="B157" s="189"/>
      <c r="C157" s="135"/>
      <c r="D157" s="189"/>
      <c r="E157" s="135"/>
      <c r="F157" s="135"/>
      <c r="G157" s="135"/>
      <c r="H157" s="135"/>
      <c r="I157" s="135"/>
      <c r="J157" s="135"/>
      <c r="K157" s="189"/>
      <c r="L157" s="135"/>
      <c r="M157" s="135"/>
      <c r="N157" s="135"/>
      <c r="O157" s="135"/>
      <c r="P157" s="135"/>
      <c r="Q157" s="189"/>
      <c r="R157" s="135"/>
      <c r="S157" s="135"/>
      <c r="T157" s="135"/>
      <c r="U157" s="135"/>
      <c r="V157" s="189"/>
      <c r="W157" s="135"/>
      <c r="X157" s="135"/>
    </row>
    <row r="158" customFormat="false" ht="15.75" hidden="false" customHeight="true" outlineLevel="0" collapsed="false">
      <c r="A158" s="135"/>
      <c r="B158" s="189"/>
      <c r="C158" s="135"/>
      <c r="D158" s="189"/>
      <c r="E158" s="135"/>
      <c r="F158" s="135"/>
      <c r="G158" s="135"/>
      <c r="H158" s="135"/>
      <c r="I158" s="135"/>
      <c r="J158" s="135"/>
      <c r="K158" s="189"/>
      <c r="L158" s="135"/>
      <c r="M158" s="135"/>
      <c r="N158" s="135"/>
      <c r="O158" s="135"/>
      <c r="P158" s="135"/>
      <c r="Q158" s="189"/>
      <c r="R158" s="135"/>
      <c r="S158" s="135"/>
      <c r="T158" s="135"/>
      <c r="U158" s="135"/>
      <c r="V158" s="189"/>
      <c r="W158" s="135"/>
      <c r="X158" s="135"/>
    </row>
    <row r="159" customFormat="false" ht="15.75" hidden="false" customHeight="true" outlineLevel="0" collapsed="false">
      <c r="A159" s="135"/>
      <c r="B159" s="189"/>
      <c r="C159" s="135"/>
      <c r="D159" s="189"/>
      <c r="E159" s="135"/>
      <c r="F159" s="135"/>
      <c r="G159" s="135"/>
      <c r="H159" s="135"/>
      <c r="I159" s="135"/>
      <c r="J159" s="135"/>
      <c r="K159" s="189"/>
      <c r="L159" s="135"/>
      <c r="M159" s="135"/>
      <c r="N159" s="135"/>
      <c r="O159" s="135"/>
      <c r="P159" s="135"/>
      <c r="Q159" s="189"/>
      <c r="R159" s="135"/>
      <c r="S159" s="135"/>
      <c r="T159" s="135"/>
      <c r="U159" s="135"/>
      <c r="V159" s="189"/>
      <c r="W159" s="135"/>
      <c r="X159" s="135"/>
    </row>
    <row r="160" customFormat="false" ht="15.75" hidden="false" customHeight="true" outlineLevel="0" collapsed="false">
      <c r="A160" s="135"/>
      <c r="B160" s="189"/>
      <c r="C160" s="135"/>
      <c r="D160" s="189"/>
      <c r="E160" s="135"/>
      <c r="F160" s="135"/>
      <c r="G160" s="135"/>
      <c r="H160" s="135"/>
      <c r="I160" s="135"/>
      <c r="J160" s="135"/>
      <c r="K160" s="189"/>
      <c r="L160" s="135"/>
      <c r="M160" s="135"/>
      <c r="N160" s="135"/>
      <c r="O160" s="135"/>
      <c r="P160" s="135"/>
      <c r="Q160" s="189"/>
      <c r="R160" s="135"/>
      <c r="S160" s="135"/>
      <c r="T160" s="135"/>
      <c r="U160" s="135"/>
      <c r="V160" s="189"/>
      <c r="W160" s="135"/>
      <c r="X160" s="135"/>
    </row>
    <row r="161" customFormat="false" ht="15.75" hidden="false" customHeight="true" outlineLevel="0" collapsed="false">
      <c r="A161" s="135"/>
      <c r="B161" s="189"/>
      <c r="C161" s="135"/>
      <c r="D161" s="189"/>
      <c r="E161" s="135"/>
      <c r="F161" s="135"/>
      <c r="G161" s="135"/>
      <c r="H161" s="135"/>
      <c r="I161" s="135"/>
      <c r="J161" s="135"/>
      <c r="K161" s="189"/>
      <c r="L161" s="135"/>
      <c r="M161" s="135"/>
      <c r="N161" s="135"/>
      <c r="O161" s="135"/>
      <c r="P161" s="135"/>
      <c r="Q161" s="189"/>
      <c r="R161" s="135"/>
      <c r="S161" s="135"/>
      <c r="T161" s="135"/>
      <c r="U161" s="135"/>
      <c r="V161" s="189"/>
      <c r="W161" s="135"/>
      <c r="X161" s="135"/>
    </row>
    <row r="162" customFormat="false" ht="15.75" hidden="false" customHeight="true" outlineLevel="0" collapsed="false">
      <c r="A162" s="135"/>
      <c r="B162" s="189"/>
      <c r="C162" s="135"/>
      <c r="D162" s="189"/>
      <c r="E162" s="135"/>
      <c r="F162" s="135"/>
      <c r="G162" s="135"/>
      <c r="H162" s="135"/>
      <c r="I162" s="135"/>
      <c r="J162" s="135"/>
      <c r="K162" s="189"/>
      <c r="L162" s="135"/>
      <c r="M162" s="135"/>
      <c r="N162" s="135"/>
      <c r="O162" s="135"/>
      <c r="P162" s="135"/>
      <c r="Q162" s="189"/>
      <c r="R162" s="135"/>
      <c r="S162" s="135"/>
      <c r="T162" s="135"/>
      <c r="U162" s="135"/>
      <c r="V162" s="189"/>
      <c r="W162" s="135"/>
      <c r="X162" s="135"/>
    </row>
    <row r="163" customFormat="false" ht="15.75" hidden="false" customHeight="true" outlineLevel="0" collapsed="false">
      <c r="A163" s="135"/>
      <c r="B163" s="189"/>
      <c r="C163" s="135"/>
      <c r="D163" s="189"/>
      <c r="E163" s="135"/>
      <c r="F163" s="135"/>
      <c r="G163" s="135"/>
      <c r="H163" s="135"/>
      <c r="I163" s="135"/>
      <c r="J163" s="135"/>
      <c r="K163" s="189"/>
      <c r="L163" s="135"/>
      <c r="M163" s="135"/>
      <c r="N163" s="135"/>
      <c r="O163" s="135"/>
      <c r="P163" s="135"/>
      <c r="Q163" s="189"/>
      <c r="R163" s="135"/>
      <c r="S163" s="135"/>
      <c r="T163" s="135"/>
      <c r="U163" s="135"/>
      <c r="V163" s="189"/>
      <c r="W163" s="135"/>
      <c r="X163" s="135"/>
    </row>
    <row r="164" customFormat="false" ht="15.75" hidden="false" customHeight="true" outlineLevel="0" collapsed="false">
      <c r="A164" s="135"/>
      <c r="B164" s="189"/>
      <c r="C164" s="135"/>
      <c r="D164" s="189"/>
      <c r="E164" s="135"/>
      <c r="F164" s="135"/>
      <c r="G164" s="135"/>
      <c r="H164" s="135"/>
      <c r="I164" s="135"/>
      <c r="J164" s="135"/>
      <c r="K164" s="189"/>
      <c r="L164" s="135"/>
      <c r="M164" s="135"/>
      <c r="N164" s="135"/>
      <c r="O164" s="135"/>
      <c r="P164" s="135"/>
      <c r="Q164" s="189"/>
      <c r="R164" s="135"/>
      <c r="S164" s="135"/>
      <c r="T164" s="135"/>
      <c r="U164" s="135"/>
      <c r="V164" s="189"/>
      <c r="W164" s="135"/>
      <c r="X164" s="135"/>
    </row>
    <row r="165" customFormat="false" ht="15.75" hidden="false" customHeight="true" outlineLevel="0" collapsed="false">
      <c r="A165" s="135"/>
      <c r="B165" s="189"/>
      <c r="C165" s="135"/>
      <c r="D165" s="189"/>
      <c r="E165" s="135"/>
      <c r="F165" s="135"/>
      <c r="G165" s="135"/>
      <c r="H165" s="135"/>
      <c r="I165" s="135"/>
      <c r="J165" s="135"/>
      <c r="K165" s="189"/>
      <c r="L165" s="135"/>
      <c r="M165" s="135"/>
      <c r="N165" s="135"/>
      <c r="O165" s="135"/>
      <c r="P165" s="135"/>
      <c r="Q165" s="189"/>
      <c r="R165" s="135"/>
      <c r="S165" s="135"/>
      <c r="T165" s="135"/>
      <c r="U165" s="135"/>
      <c r="V165" s="189"/>
      <c r="W165" s="135"/>
      <c r="X165" s="135"/>
    </row>
    <row r="166" customFormat="false" ht="15.75" hidden="false" customHeight="true" outlineLevel="0" collapsed="false">
      <c r="A166" s="135"/>
      <c r="B166" s="189"/>
      <c r="C166" s="135"/>
      <c r="D166" s="189"/>
      <c r="E166" s="135"/>
      <c r="F166" s="135"/>
      <c r="G166" s="135"/>
      <c r="H166" s="135"/>
      <c r="I166" s="135"/>
      <c r="J166" s="135"/>
      <c r="K166" s="189"/>
      <c r="L166" s="135"/>
      <c r="M166" s="135"/>
      <c r="N166" s="135"/>
      <c r="O166" s="135"/>
      <c r="P166" s="135"/>
      <c r="Q166" s="189"/>
      <c r="R166" s="135"/>
      <c r="S166" s="135"/>
      <c r="T166" s="135"/>
      <c r="U166" s="135"/>
      <c r="V166" s="189"/>
      <c r="W166" s="135"/>
      <c r="X166" s="135"/>
    </row>
    <row r="167" customFormat="false" ht="15.75" hidden="false" customHeight="true" outlineLevel="0" collapsed="false">
      <c r="A167" s="135"/>
      <c r="B167" s="189"/>
      <c r="C167" s="135"/>
      <c r="D167" s="189"/>
      <c r="E167" s="135"/>
      <c r="F167" s="135"/>
      <c r="G167" s="135"/>
      <c r="H167" s="135"/>
      <c r="I167" s="135"/>
      <c r="J167" s="135"/>
      <c r="K167" s="189"/>
      <c r="L167" s="135"/>
      <c r="M167" s="135"/>
      <c r="N167" s="135"/>
      <c r="O167" s="135"/>
      <c r="P167" s="135"/>
      <c r="Q167" s="189"/>
      <c r="R167" s="135"/>
      <c r="S167" s="135"/>
      <c r="T167" s="135"/>
      <c r="U167" s="135"/>
      <c r="V167" s="189"/>
      <c r="W167" s="135"/>
      <c r="X167" s="135"/>
    </row>
    <row r="168" customFormat="false" ht="15.75" hidden="false" customHeight="true" outlineLevel="0" collapsed="false">
      <c r="A168" s="135"/>
      <c r="B168" s="189"/>
      <c r="C168" s="135"/>
      <c r="D168" s="189"/>
      <c r="E168" s="135"/>
      <c r="F168" s="135"/>
      <c r="G168" s="135"/>
      <c r="H168" s="135"/>
      <c r="I168" s="135"/>
      <c r="J168" s="135"/>
      <c r="K168" s="189"/>
      <c r="L168" s="135"/>
      <c r="M168" s="135"/>
      <c r="N168" s="135"/>
      <c r="O168" s="135"/>
      <c r="P168" s="135"/>
      <c r="Q168" s="189"/>
      <c r="R168" s="135"/>
      <c r="S168" s="135"/>
      <c r="T168" s="135"/>
      <c r="U168" s="135"/>
      <c r="V168" s="189"/>
      <c r="W168" s="135"/>
      <c r="X168" s="135"/>
    </row>
    <row r="169" customFormat="false" ht="15.75" hidden="false" customHeight="true" outlineLevel="0" collapsed="false">
      <c r="A169" s="135"/>
      <c r="B169" s="189"/>
      <c r="C169" s="135"/>
      <c r="D169" s="189"/>
      <c r="E169" s="135"/>
      <c r="F169" s="135"/>
      <c r="G169" s="135"/>
      <c r="H169" s="135"/>
      <c r="I169" s="135"/>
      <c r="J169" s="135"/>
      <c r="K169" s="189"/>
      <c r="L169" s="135"/>
      <c r="M169" s="135"/>
      <c r="N169" s="135"/>
      <c r="O169" s="135"/>
      <c r="P169" s="135"/>
      <c r="Q169" s="189"/>
      <c r="R169" s="135"/>
      <c r="S169" s="135"/>
      <c r="T169" s="135"/>
      <c r="U169" s="135"/>
      <c r="V169" s="189"/>
      <c r="W169" s="135"/>
      <c r="X169" s="135"/>
    </row>
    <row r="170" customFormat="false" ht="15.75" hidden="false" customHeight="true" outlineLevel="0" collapsed="false">
      <c r="A170" s="135"/>
      <c r="B170" s="189"/>
      <c r="C170" s="135"/>
      <c r="D170" s="189"/>
      <c r="E170" s="135"/>
      <c r="F170" s="135"/>
      <c r="G170" s="135"/>
      <c r="H170" s="135"/>
      <c r="I170" s="135"/>
      <c r="J170" s="135"/>
      <c r="K170" s="189"/>
      <c r="L170" s="135"/>
      <c r="M170" s="135"/>
      <c r="N170" s="135"/>
      <c r="O170" s="135"/>
      <c r="P170" s="135"/>
      <c r="Q170" s="189"/>
      <c r="R170" s="135"/>
      <c r="S170" s="135"/>
      <c r="T170" s="135"/>
      <c r="U170" s="135"/>
      <c r="V170" s="189"/>
      <c r="W170" s="135"/>
      <c r="X170" s="135"/>
    </row>
    <row r="171" customFormat="false" ht="15.75" hidden="false" customHeight="true" outlineLevel="0" collapsed="false">
      <c r="A171" s="135"/>
      <c r="B171" s="189"/>
      <c r="C171" s="135"/>
      <c r="D171" s="189"/>
      <c r="E171" s="135"/>
      <c r="F171" s="135"/>
      <c r="G171" s="135"/>
      <c r="H171" s="135"/>
      <c r="I171" s="135"/>
      <c r="J171" s="135"/>
      <c r="K171" s="189"/>
      <c r="L171" s="135"/>
      <c r="M171" s="135"/>
      <c r="N171" s="135"/>
      <c r="O171" s="135"/>
      <c r="P171" s="135"/>
      <c r="Q171" s="189"/>
      <c r="R171" s="135"/>
      <c r="S171" s="135"/>
      <c r="T171" s="135"/>
      <c r="U171" s="135"/>
      <c r="V171" s="189"/>
      <c r="W171" s="135"/>
      <c r="X171" s="135"/>
    </row>
    <row r="172" customFormat="false" ht="15.75" hidden="false" customHeight="true" outlineLevel="0" collapsed="false">
      <c r="A172" s="135"/>
      <c r="B172" s="189"/>
      <c r="C172" s="135"/>
      <c r="D172" s="189"/>
      <c r="E172" s="135"/>
      <c r="F172" s="135"/>
      <c r="G172" s="135"/>
      <c r="H172" s="135"/>
      <c r="I172" s="135"/>
      <c r="J172" s="135"/>
      <c r="K172" s="189"/>
      <c r="L172" s="135"/>
      <c r="M172" s="135"/>
      <c r="N172" s="135"/>
      <c r="O172" s="135"/>
      <c r="P172" s="135"/>
      <c r="Q172" s="189"/>
      <c r="R172" s="135"/>
      <c r="S172" s="135"/>
      <c r="T172" s="135"/>
      <c r="U172" s="135"/>
      <c r="V172" s="189"/>
      <c r="W172" s="135"/>
      <c r="X172" s="135"/>
    </row>
    <row r="173" customFormat="false" ht="15.75" hidden="false" customHeight="true" outlineLevel="0" collapsed="false">
      <c r="A173" s="135"/>
      <c r="B173" s="189"/>
      <c r="C173" s="135"/>
      <c r="D173" s="189"/>
      <c r="E173" s="135"/>
      <c r="F173" s="135"/>
      <c r="G173" s="135"/>
      <c r="H173" s="135"/>
      <c r="I173" s="135"/>
      <c r="J173" s="135"/>
      <c r="K173" s="189"/>
      <c r="L173" s="135"/>
      <c r="M173" s="135"/>
      <c r="N173" s="135"/>
      <c r="O173" s="135"/>
      <c r="P173" s="135"/>
      <c r="Q173" s="189"/>
      <c r="R173" s="135"/>
      <c r="S173" s="135"/>
      <c r="T173" s="135"/>
      <c r="U173" s="135"/>
      <c r="V173" s="189"/>
      <c r="W173" s="135"/>
      <c r="X173" s="135"/>
    </row>
    <row r="174" customFormat="false" ht="15.75" hidden="false" customHeight="true" outlineLevel="0" collapsed="false">
      <c r="A174" s="135"/>
      <c r="B174" s="189"/>
      <c r="C174" s="135"/>
      <c r="D174" s="189"/>
      <c r="E174" s="135"/>
      <c r="F174" s="135"/>
      <c r="G174" s="135"/>
      <c r="H174" s="135"/>
      <c r="I174" s="135"/>
      <c r="J174" s="135"/>
      <c r="K174" s="189"/>
      <c r="L174" s="135"/>
      <c r="M174" s="135"/>
      <c r="N174" s="135"/>
      <c r="O174" s="135"/>
      <c r="P174" s="135"/>
      <c r="Q174" s="189"/>
      <c r="R174" s="135"/>
      <c r="S174" s="135"/>
      <c r="T174" s="135"/>
      <c r="U174" s="135"/>
      <c r="V174" s="189"/>
      <c r="W174" s="135"/>
      <c r="X174" s="135"/>
    </row>
    <row r="175" customFormat="false" ht="15.75" hidden="false" customHeight="true" outlineLevel="0" collapsed="false">
      <c r="A175" s="135"/>
      <c r="B175" s="189"/>
      <c r="C175" s="135"/>
      <c r="D175" s="189"/>
      <c r="E175" s="135"/>
      <c r="F175" s="135"/>
      <c r="G175" s="135"/>
      <c r="H175" s="135"/>
      <c r="I175" s="135"/>
      <c r="J175" s="135"/>
      <c r="K175" s="189"/>
      <c r="L175" s="135"/>
      <c r="M175" s="135"/>
      <c r="N175" s="135"/>
      <c r="O175" s="135"/>
      <c r="P175" s="135"/>
      <c r="Q175" s="189"/>
      <c r="R175" s="135"/>
      <c r="S175" s="135"/>
      <c r="T175" s="135"/>
      <c r="U175" s="135"/>
      <c r="V175" s="189"/>
      <c r="W175" s="135"/>
      <c r="X175" s="135"/>
    </row>
    <row r="176" customFormat="false" ht="15.75" hidden="false" customHeight="true" outlineLevel="0" collapsed="false">
      <c r="A176" s="135"/>
      <c r="B176" s="189"/>
      <c r="C176" s="135"/>
      <c r="D176" s="189"/>
      <c r="E176" s="135"/>
      <c r="F176" s="135"/>
      <c r="G176" s="135"/>
      <c r="H176" s="135"/>
      <c r="I176" s="135"/>
      <c r="J176" s="135"/>
      <c r="K176" s="189"/>
      <c r="L176" s="135"/>
      <c r="M176" s="135"/>
      <c r="N176" s="135"/>
      <c r="O176" s="135"/>
      <c r="P176" s="135"/>
      <c r="Q176" s="189"/>
      <c r="R176" s="135"/>
      <c r="S176" s="135"/>
      <c r="T176" s="135"/>
      <c r="U176" s="135"/>
      <c r="V176" s="189"/>
      <c r="W176" s="135"/>
      <c r="X176" s="135"/>
    </row>
    <row r="177" customFormat="false" ht="15.75" hidden="false" customHeight="true" outlineLevel="0" collapsed="false">
      <c r="A177" s="135"/>
      <c r="B177" s="189"/>
      <c r="C177" s="135"/>
      <c r="D177" s="189"/>
      <c r="E177" s="135"/>
      <c r="F177" s="135"/>
      <c r="G177" s="135"/>
      <c r="H177" s="135"/>
      <c r="I177" s="135"/>
      <c r="J177" s="135"/>
      <c r="K177" s="189"/>
      <c r="L177" s="135"/>
      <c r="M177" s="135"/>
      <c r="N177" s="135"/>
      <c r="O177" s="135"/>
      <c r="P177" s="135"/>
      <c r="Q177" s="189"/>
      <c r="R177" s="135"/>
      <c r="S177" s="135"/>
      <c r="T177" s="135"/>
      <c r="U177" s="135"/>
      <c r="V177" s="189"/>
      <c r="W177" s="135"/>
      <c r="X177" s="135"/>
    </row>
    <row r="178" customFormat="false" ht="15.75" hidden="false" customHeight="true" outlineLevel="0" collapsed="false">
      <c r="A178" s="135"/>
      <c r="B178" s="189"/>
      <c r="C178" s="135"/>
      <c r="D178" s="189"/>
      <c r="E178" s="135"/>
      <c r="F178" s="135"/>
      <c r="G178" s="135"/>
      <c r="H178" s="135"/>
      <c r="I178" s="135"/>
      <c r="J178" s="135"/>
      <c r="K178" s="189"/>
      <c r="L178" s="135"/>
      <c r="M178" s="135"/>
      <c r="N178" s="135"/>
      <c r="O178" s="135"/>
      <c r="P178" s="135"/>
      <c r="Q178" s="189"/>
      <c r="R178" s="135"/>
      <c r="S178" s="135"/>
      <c r="T178" s="135"/>
      <c r="U178" s="135"/>
      <c r="V178" s="189"/>
      <c r="W178" s="135"/>
      <c r="X178" s="135"/>
    </row>
    <row r="179" customFormat="false" ht="15.75" hidden="false" customHeight="true" outlineLevel="0" collapsed="false">
      <c r="A179" s="135"/>
      <c r="B179" s="189"/>
      <c r="C179" s="135"/>
      <c r="D179" s="189"/>
      <c r="E179" s="135"/>
      <c r="F179" s="135"/>
      <c r="G179" s="135"/>
      <c r="H179" s="135"/>
      <c r="I179" s="135"/>
      <c r="J179" s="135"/>
      <c r="K179" s="189"/>
      <c r="L179" s="135"/>
      <c r="M179" s="135"/>
      <c r="N179" s="135"/>
      <c r="O179" s="135"/>
      <c r="P179" s="135"/>
      <c r="Q179" s="189"/>
      <c r="R179" s="135"/>
      <c r="S179" s="135"/>
      <c r="T179" s="135"/>
      <c r="U179" s="135"/>
      <c r="V179" s="189"/>
      <c r="W179" s="135"/>
      <c r="X179" s="135"/>
    </row>
    <row r="180" customFormat="false" ht="15.75" hidden="false" customHeight="true" outlineLevel="0" collapsed="false">
      <c r="A180" s="135"/>
      <c r="B180" s="189"/>
      <c r="C180" s="135"/>
      <c r="D180" s="189"/>
      <c r="E180" s="135"/>
      <c r="F180" s="135"/>
      <c r="G180" s="135"/>
      <c r="H180" s="135"/>
      <c r="I180" s="135"/>
      <c r="J180" s="135"/>
      <c r="K180" s="189"/>
      <c r="L180" s="135"/>
      <c r="M180" s="135"/>
      <c r="N180" s="135"/>
      <c r="O180" s="135"/>
      <c r="P180" s="135"/>
      <c r="Q180" s="189"/>
      <c r="R180" s="135"/>
      <c r="S180" s="135"/>
      <c r="T180" s="135"/>
      <c r="U180" s="135"/>
      <c r="V180" s="189"/>
      <c r="W180" s="135"/>
      <c r="X180" s="135"/>
    </row>
    <row r="181" customFormat="false" ht="15.75" hidden="false" customHeight="true" outlineLevel="0" collapsed="false">
      <c r="A181" s="135"/>
      <c r="B181" s="189"/>
      <c r="C181" s="135"/>
      <c r="D181" s="189"/>
      <c r="E181" s="135"/>
      <c r="F181" s="135"/>
      <c r="G181" s="135"/>
      <c r="H181" s="135"/>
      <c r="I181" s="135"/>
      <c r="J181" s="135"/>
      <c r="K181" s="189"/>
      <c r="L181" s="135"/>
      <c r="M181" s="135"/>
      <c r="N181" s="135"/>
      <c r="O181" s="135"/>
      <c r="P181" s="135"/>
      <c r="Q181" s="189"/>
      <c r="R181" s="135"/>
      <c r="S181" s="135"/>
      <c r="T181" s="135"/>
      <c r="U181" s="135"/>
      <c r="V181" s="189"/>
      <c r="W181" s="135"/>
      <c r="X181" s="135"/>
    </row>
    <row r="182" customFormat="false" ht="15.75" hidden="false" customHeight="true" outlineLevel="0" collapsed="false">
      <c r="A182" s="135"/>
      <c r="B182" s="189"/>
      <c r="C182" s="135"/>
      <c r="D182" s="189"/>
      <c r="E182" s="135"/>
      <c r="F182" s="135"/>
      <c r="G182" s="135"/>
      <c r="H182" s="135"/>
      <c r="I182" s="135"/>
      <c r="J182" s="135"/>
      <c r="K182" s="189"/>
      <c r="L182" s="135"/>
      <c r="M182" s="135"/>
      <c r="N182" s="135"/>
      <c r="O182" s="135"/>
      <c r="P182" s="135"/>
      <c r="Q182" s="189"/>
      <c r="R182" s="135"/>
      <c r="S182" s="135"/>
      <c r="T182" s="135"/>
      <c r="U182" s="135"/>
      <c r="V182" s="189"/>
      <c r="W182" s="135"/>
      <c r="X182" s="135"/>
    </row>
    <row r="183" customFormat="false" ht="15.75" hidden="false" customHeight="true" outlineLevel="0" collapsed="false">
      <c r="A183" s="135"/>
      <c r="B183" s="189"/>
      <c r="C183" s="135"/>
      <c r="D183" s="189"/>
      <c r="E183" s="135"/>
      <c r="F183" s="135"/>
      <c r="G183" s="135"/>
      <c r="H183" s="135"/>
      <c r="I183" s="135"/>
      <c r="J183" s="135"/>
      <c r="K183" s="189"/>
      <c r="L183" s="135"/>
      <c r="M183" s="135"/>
      <c r="N183" s="135"/>
      <c r="O183" s="135"/>
      <c r="P183" s="135"/>
      <c r="Q183" s="189"/>
      <c r="R183" s="135"/>
      <c r="S183" s="135"/>
      <c r="T183" s="135"/>
      <c r="U183" s="135"/>
      <c r="V183" s="189"/>
      <c r="W183" s="135"/>
      <c r="X183" s="135"/>
    </row>
    <row r="184" customFormat="false" ht="15.75" hidden="false" customHeight="true" outlineLevel="0" collapsed="false">
      <c r="A184" s="135"/>
      <c r="B184" s="189"/>
      <c r="C184" s="135"/>
      <c r="D184" s="189"/>
      <c r="E184" s="135"/>
      <c r="F184" s="135"/>
      <c r="G184" s="135"/>
      <c r="H184" s="135"/>
      <c r="I184" s="135"/>
      <c r="J184" s="135"/>
      <c r="K184" s="189"/>
      <c r="L184" s="135"/>
      <c r="M184" s="135"/>
      <c r="N184" s="135"/>
      <c r="O184" s="135"/>
      <c r="P184" s="135"/>
      <c r="Q184" s="189"/>
      <c r="R184" s="135"/>
      <c r="S184" s="135"/>
      <c r="T184" s="135"/>
      <c r="U184" s="135"/>
      <c r="V184" s="189"/>
      <c r="W184" s="135"/>
      <c r="X184" s="135"/>
    </row>
    <row r="185" customFormat="false" ht="15.75" hidden="false" customHeight="true" outlineLevel="0" collapsed="false">
      <c r="A185" s="135"/>
      <c r="B185" s="189"/>
      <c r="C185" s="135"/>
      <c r="D185" s="189"/>
      <c r="E185" s="135"/>
      <c r="F185" s="135"/>
      <c r="G185" s="135"/>
      <c r="H185" s="135"/>
      <c r="I185" s="135"/>
      <c r="J185" s="135"/>
      <c r="K185" s="189"/>
      <c r="L185" s="135"/>
      <c r="M185" s="135"/>
      <c r="N185" s="135"/>
      <c r="O185" s="135"/>
      <c r="P185" s="135"/>
      <c r="Q185" s="189"/>
      <c r="R185" s="135"/>
      <c r="S185" s="135"/>
      <c r="T185" s="135"/>
      <c r="U185" s="135"/>
      <c r="V185" s="189"/>
      <c r="W185" s="135"/>
      <c r="X185" s="135"/>
    </row>
    <row r="186" customFormat="false" ht="15.75" hidden="false" customHeight="true" outlineLevel="0" collapsed="false">
      <c r="A186" s="135"/>
      <c r="B186" s="189"/>
      <c r="C186" s="135"/>
      <c r="D186" s="189"/>
      <c r="E186" s="135"/>
      <c r="F186" s="135"/>
      <c r="G186" s="135"/>
      <c r="H186" s="135"/>
      <c r="I186" s="135"/>
      <c r="J186" s="135"/>
      <c r="K186" s="189"/>
      <c r="L186" s="135"/>
      <c r="M186" s="135"/>
      <c r="N186" s="135"/>
      <c r="O186" s="135"/>
      <c r="P186" s="135"/>
      <c r="Q186" s="189"/>
      <c r="R186" s="135"/>
      <c r="S186" s="135"/>
      <c r="T186" s="135"/>
      <c r="U186" s="135"/>
      <c r="V186" s="189"/>
      <c r="W186" s="135"/>
      <c r="X186" s="135"/>
    </row>
    <row r="187" customFormat="false" ht="15.75" hidden="false" customHeight="true" outlineLevel="0" collapsed="false">
      <c r="A187" s="135"/>
      <c r="B187" s="189"/>
      <c r="C187" s="135"/>
      <c r="D187" s="189"/>
      <c r="E187" s="135"/>
      <c r="F187" s="135"/>
      <c r="G187" s="135"/>
      <c r="H187" s="135"/>
      <c r="I187" s="135"/>
      <c r="J187" s="135"/>
      <c r="K187" s="189"/>
      <c r="L187" s="135"/>
      <c r="M187" s="135"/>
      <c r="N187" s="135"/>
      <c r="O187" s="135"/>
      <c r="P187" s="135"/>
      <c r="Q187" s="189"/>
      <c r="R187" s="135"/>
      <c r="S187" s="135"/>
      <c r="T187" s="135"/>
      <c r="U187" s="135"/>
      <c r="V187" s="189"/>
      <c r="W187" s="135"/>
      <c r="X187" s="135"/>
    </row>
    <row r="188" customFormat="false" ht="15.75" hidden="false" customHeight="true" outlineLevel="0" collapsed="false">
      <c r="A188" s="135"/>
      <c r="B188" s="189"/>
      <c r="C188" s="135"/>
      <c r="D188" s="189"/>
      <c r="E188" s="135"/>
      <c r="F188" s="135"/>
      <c r="G188" s="135"/>
      <c r="H188" s="135"/>
      <c r="I188" s="135"/>
      <c r="J188" s="135"/>
      <c r="K188" s="189"/>
      <c r="L188" s="135"/>
      <c r="M188" s="135"/>
      <c r="N188" s="135"/>
      <c r="O188" s="135"/>
      <c r="P188" s="135"/>
      <c r="Q188" s="189"/>
      <c r="R188" s="135"/>
      <c r="S188" s="135"/>
      <c r="T188" s="135"/>
      <c r="U188" s="135"/>
      <c r="V188" s="189"/>
      <c r="W188" s="135"/>
      <c r="X188" s="135"/>
    </row>
    <row r="189" customFormat="false" ht="15.75" hidden="false" customHeight="true" outlineLevel="0" collapsed="false">
      <c r="A189" s="135"/>
      <c r="B189" s="189"/>
      <c r="C189" s="135"/>
      <c r="D189" s="189"/>
      <c r="E189" s="135"/>
      <c r="F189" s="135"/>
      <c r="G189" s="135"/>
      <c r="H189" s="135"/>
      <c r="I189" s="135"/>
      <c r="J189" s="135"/>
      <c r="K189" s="189"/>
      <c r="L189" s="135"/>
      <c r="M189" s="135"/>
      <c r="N189" s="135"/>
      <c r="O189" s="135"/>
      <c r="P189" s="135"/>
      <c r="Q189" s="189"/>
      <c r="R189" s="135"/>
      <c r="S189" s="135"/>
      <c r="T189" s="135"/>
      <c r="U189" s="135"/>
      <c r="V189" s="189"/>
      <c r="W189" s="135"/>
      <c r="X189" s="135"/>
    </row>
    <row r="190" customFormat="false" ht="15.75" hidden="false" customHeight="true" outlineLevel="0" collapsed="false">
      <c r="A190" s="135"/>
      <c r="B190" s="189"/>
      <c r="C190" s="135"/>
      <c r="D190" s="189"/>
      <c r="E190" s="135"/>
      <c r="F190" s="135"/>
      <c r="G190" s="135"/>
      <c r="H190" s="135"/>
      <c r="I190" s="135"/>
      <c r="J190" s="135"/>
      <c r="K190" s="189"/>
      <c r="L190" s="135"/>
      <c r="M190" s="135"/>
      <c r="N190" s="135"/>
      <c r="O190" s="135"/>
      <c r="P190" s="135"/>
      <c r="Q190" s="189"/>
      <c r="R190" s="135"/>
      <c r="S190" s="135"/>
      <c r="T190" s="135"/>
      <c r="U190" s="135"/>
      <c r="V190" s="189"/>
      <c r="W190" s="135"/>
      <c r="X190" s="135"/>
    </row>
    <row r="191" customFormat="false" ht="15.75" hidden="false" customHeight="true" outlineLevel="0" collapsed="false">
      <c r="A191" s="135"/>
      <c r="B191" s="189"/>
      <c r="C191" s="135"/>
      <c r="D191" s="189"/>
      <c r="E191" s="135"/>
      <c r="F191" s="135"/>
      <c r="G191" s="135"/>
      <c r="H191" s="135"/>
      <c r="I191" s="135"/>
      <c r="J191" s="135"/>
      <c r="K191" s="189"/>
      <c r="L191" s="135"/>
      <c r="M191" s="135"/>
      <c r="N191" s="135"/>
      <c r="O191" s="135"/>
      <c r="P191" s="135"/>
      <c r="Q191" s="189"/>
      <c r="R191" s="135"/>
      <c r="S191" s="135"/>
      <c r="T191" s="135"/>
      <c r="U191" s="135"/>
      <c r="V191" s="189"/>
      <c r="W191" s="135"/>
      <c r="X191" s="135"/>
    </row>
    <row r="192" customFormat="false" ht="15.75" hidden="false" customHeight="true" outlineLevel="0" collapsed="false">
      <c r="A192" s="135"/>
      <c r="B192" s="189"/>
      <c r="C192" s="135"/>
      <c r="D192" s="189"/>
      <c r="E192" s="135"/>
      <c r="F192" s="135"/>
      <c r="G192" s="135"/>
      <c r="H192" s="135"/>
      <c r="I192" s="135"/>
      <c r="J192" s="135"/>
      <c r="K192" s="189"/>
      <c r="L192" s="135"/>
      <c r="M192" s="135"/>
      <c r="N192" s="135"/>
      <c r="O192" s="135"/>
      <c r="P192" s="135"/>
      <c r="Q192" s="189"/>
      <c r="R192" s="135"/>
      <c r="S192" s="135"/>
      <c r="T192" s="135"/>
      <c r="U192" s="135"/>
      <c r="V192" s="189"/>
      <c r="W192" s="135"/>
      <c r="X192" s="135"/>
    </row>
    <row r="193" customFormat="false" ht="15.75" hidden="false" customHeight="true" outlineLevel="0" collapsed="false">
      <c r="A193" s="135"/>
      <c r="B193" s="189"/>
      <c r="C193" s="135"/>
      <c r="D193" s="189"/>
      <c r="E193" s="135"/>
      <c r="F193" s="135"/>
      <c r="G193" s="135"/>
      <c r="H193" s="135"/>
      <c r="I193" s="135"/>
      <c r="J193" s="135"/>
      <c r="K193" s="189"/>
      <c r="L193" s="135"/>
      <c r="M193" s="135"/>
      <c r="N193" s="135"/>
      <c r="O193" s="135"/>
      <c r="P193" s="135"/>
      <c r="Q193" s="189"/>
      <c r="R193" s="135"/>
      <c r="S193" s="135"/>
      <c r="T193" s="135"/>
      <c r="U193" s="135"/>
      <c r="V193" s="189"/>
      <c r="W193" s="135"/>
      <c r="X193" s="135"/>
    </row>
    <row r="194" customFormat="false" ht="15.75" hidden="false" customHeight="true" outlineLevel="0" collapsed="false">
      <c r="A194" s="135"/>
      <c r="B194" s="189"/>
      <c r="C194" s="135"/>
      <c r="D194" s="189"/>
      <c r="E194" s="135"/>
      <c r="F194" s="135"/>
      <c r="G194" s="135"/>
      <c r="H194" s="135"/>
      <c r="I194" s="135"/>
      <c r="J194" s="135"/>
      <c r="K194" s="189"/>
      <c r="L194" s="135"/>
      <c r="M194" s="135"/>
      <c r="N194" s="135"/>
      <c r="O194" s="135"/>
      <c r="P194" s="135"/>
      <c r="Q194" s="189"/>
      <c r="R194" s="135"/>
      <c r="S194" s="135"/>
      <c r="T194" s="135"/>
      <c r="U194" s="135"/>
      <c r="V194" s="189"/>
      <c r="W194" s="135"/>
      <c r="X194" s="135"/>
    </row>
    <row r="195" customFormat="false" ht="15.75" hidden="false" customHeight="true" outlineLevel="0" collapsed="false">
      <c r="A195" s="135"/>
      <c r="B195" s="189"/>
      <c r="C195" s="135"/>
      <c r="D195" s="189"/>
      <c r="E195" s="135"/>
      <c r="F195" s="135"/>
      <c r="G195" s="135"/>
      <c r="H195" s="135"/>
      <c r="I195" s="135"/>
      <c r="J195" s="135"/>
      <c r="K195" s="189"/>
      <c r="L195" s="135"/>
      <c r="M195" s="135"/>
      <c r="N195" s="135"/>
      <c r="O195" s="135"/>
      <c r="P195" s="135"/>
      <c r="Q195" s="189"/>
      <c r="R195" s="135"/>
      <c r="S195" s="135"/>
      <c r="T195" s="135"/>
      <c r="U195" s="135"/>
      <c r="V195" s="189"/>
      <c r="W195" s="135"/>
      <c r="X195" s="135"/>
    </row>
    <row r="196" customFormat="false" ht="15.75" hidden="false" customHeight="true" outlineLevel="0" collapsed="false">
      <c r="A196" s="135"/>
      <c r="B196" s="189"/>
      <c r="C196" s="135"/>
      <c r="D196" s="189"/>
      <c r="E196" s="135"/>
      <c r="F196" s="135"/>
      <c r="G196" s="135"/>
      <c r="H196" s="135"/>
      <c r="I196" s="135"/>
      <c r="J196" s="135"/>
      <c r="K196" s="189"/>
      <c r="L196" s="135"/>
      <c r="M196" s="135"/>
      <c r="N196" s="135"/>
      <c r="O196" s="135"/>
      <c r="P196" s="135"/>
      <c r="Q196" s="189"/>
      <c r="R196" s="135"/>
      <c r="S196" s="135"/>
      <c r="T196" s="135"/>
      <c r="U196" s="135"/>
      <c r="V196" s="189"/>
      <c r="W196" s="135"/>
      <c r="X196" s="135"/>
    </row>
    <row r="197" customFormat="false" ht="15.75" hidden="false" customHeight="true" outlineLevel="0" collapsed="false">
      <c r="A197" s="135"/>
      <c r="B197" s="189"/>
      <c r="C197" s="135"/>
      <c r="D197" s="189"/>
      <c r="E197" s="135"/>
      <c r="F197" s="135"/>
      <c r="G197" s="135"/>
      <c r="H197" s="135"/>
      <c r="I197" s="135"/>
      <c r="J197" s="135"/>
      <c r="K197" s="189"/>
      <c r="L197" s="135"/>
      <c r="M197" s="135"/>
      <c r="N197" s="135"/>
      <c r="O197" s="135"/>
      <c r="P197" s="135"/>
      <c r="Q197" s="189"/>
      <c r="R197" s="135"/>
      <c r="S197" s="135"/>
      <c r="T197" s="135"/>
      <c r="U197" s="135"/>
      <c r="V197" s="189"/>
      <c r="W197" s="135"/>
      <c r="X197" s="135"/>
    </row>
    <row r="198" customFormat="false" ht="15.75" hidden="false" customHeight="true" outlineLevel="0" collapsed="false">
      <c r="A198" s="135"/>
      <c r="B198" s="189"/>
      <c r="C198" s="135"/>
      <c r="D198" s="189"/>
      <c r="E198" s="135"/>
      <c r="F198" s="135"/>
      <c r="G198" s="135"/>
      <c r="H198" s="135"/>
      <c r="I198" s="135"/>
      <c r="J198" s="135"/>
      <c r="K198" s="189"/>
      <c r="L198" s="135"/>
      <c r="M198" s="135"/>
      <c r="N198" s="135"/>
      <c r="O198" s="135"/>
      <c r="P198" s="135"/>
      <c r="Q198" s="189"/>
      <c r="R198" s="135"/>
      <c r="S198" s="135"/>
      <c r="T198" s="135"/>
      <c r="U198" s="135"/>
      <c r="V198" s="189"/>
      <c r="W198" s="135"/>
      <c r="X198" s="135"/>
    </row>
    <row r="199" customFormat="false" ht="15.75" hidden="false" customHeight="true" outlineLevel="0" collapsed="false">
      <c r="A199" s="135"/>
      <c r="B199" s="189"/>
      <c r="C199" s="135"/>
      <c r="D199" s="189"/>
      <c r="E199" s="135"/>
      <c r="F199" s="135"/>
      <c r="G199" s="135"/>
      <c r="H199" s="135"/>
      <c r="I199" s="135"/>
      <c r="J199" s="135"/>
      <c r="K199" s="189"/>
      <c r="L199" s="135"/>
      <c r="M199" s="135"/>
      <c r="N199" s="135"/>
      <c r="O199" s="135"/>
      <c r="P199" s="135"/>
      <c r="Q199" s="189"/>
      <c r="R199" s="135"/>
      <c r="S199" s="135"/>
      <c r="T199" s="135"/>
      <c r="U199" s="135"/>
      <c r="V199" s="189"/>
      <c r="W199" s="135"/>
      <c r="X199" s="135"/>
    </row>
    <row r="200" customFormat="false" ht="15.75" hidden="false" customHeight="true" outlineLevel="0" collapsed="false">
      <c r="A200" s="135"/>
      <c r="B200" s="189"/>
      <c r="C200" s="135"/>
      <c r="D200" s="189"/>
      <c r="E200" s="135"/>
      <c r="F200" s="135"/>
      <c r="G200" s="135"/>
      <c r="H200" s="135"/>
      <c r="I200" s="135"/>
      <c r="J200" s="135"/>
      <c r="K200" s="189"/>
      <c r="L200" s="135"/>
      <c r="M200" s="135"/>
      <c r="N200" s="135"/>
      <c r="O200" s="135"/>
      <c r="P200" s="135"/>
      <c r="Q200" s="189"/>
      <c r="R200" s="135"/>
      <c r="S200" s="135"/>
      <c r="T200" s="135"/>
      <c r="U200" s="135"/>
      <c r="V200" s="189"/>
      <c r="W200" s="135"/>
      <c r="X200" s="135"/>
    </row>
    <row r="201" customFormat="false" ht="15.75" hidden="false" customHeight="true" outlineLevel="0" collapsed="false">
      <c r="A201" s="135"/>
      <c r="B201" s="189"/>
      <c r="C201" s="135"/>
      <c r="D201" s="189"/>
      <c r="E201" s="135"/>
      <c r="F201" s="135"/>
      <c r="G201" s="135"/>
      <c r="H201" s="135"/>
      <c r="I201" s="135"/>
      <c r="J201" s="135"/>
      <c r="K201" s="189"/>
      <c r="L201" s="135"/>
      <c r="M201" s="135"/>
      <c r="N201" s="135"/>
      <c r="O201" s="135"/>
      <c r="P201" s="135"/>
      <c r="Q201" s="189"/>
      <c r="R201" s="135"/>
      <c r="S201" s="135"/>
      <c r="T201" s="135"/>
      <c r="U201" s="135"/>
      <c r="V201" s="189"/>
      <c r="W201" s="135"/>
      <c r="X201" s="135"/>
    </row>
    <row r="202" customFormat="false" ht="15.75" hidden="false" customHeight="true" outlineLevel="0" collapsed="false">
      <c r="A202" s="135"/>
      <c r="B202" s="189"/>
      <c r="C202" s="135"/>
      <c r="D202" s="189"/>
      <c r="E202" s="135"/>
      <c r="F202" s="135"/>
      <c r="G202" s="135"/>
      <c r="H202" s="135"/>
      <c r="I202" s="135"/>
      <c r="J202" s="135"/>
      <c r="K202" s="189"/>
      <c r="L202" s="135"/>
      <c r="M202" s="135"/>
      <c r="N202" s="135"/>
      <c r="O202" s="135"/>
      <c r="P202" s="135"/>
      <c r="Q202" s="189"/>
      <c r="R202" s="135"/>
      <c r="S202" s="135"/>
      <c r="T202" s="135"/>
      <c r="U202" s="135"/>
      <c r="V202" s="189"/>
      <c r="W202" s="135"/>
      <c r="X202" s="135"/>
    </row>
    <row r="203" customFormat="false" ht="15.75" hidden="false" customHeight="true" outlineLevel="0" collapsed="false">
      <c r="A203" s="135"/>
      <c r="B203" s="189"/>
      <c r="C203" s="135"/>
      <c r="D203" s="189"/>
      <c r="E203" s="135"/>
      <c r="F203" s="135"/>
      <c r="G203" s="135"/>
      <c r="H203" s="135"/>
      <c r="I203" s="135"/>
      <c r="J203" s="135"/>
      <c r="K203" s="189"/>
      <c r="L203" s="135"/>
      <c r="M203" s="135"/>
      <c r="N203" s="135"/>
      <c r="O203" s="135"/>
      <c r="P203" s="135"/>
      <c r="Q203" s="189"/>
      <c r="R203" s="135"/>
      <c r="S203" s="135"/>
      <c r="T203" s="135"/>
      <c r="U203" s="135"/>
      <c r="V203" s="189"/>
      <c r="W203" s="135"/>
      <c r="X203" s="135"/>
    </row>
    <row r="204" customFormat="false" ht="15.75" hidden="false" customHeight="true" outlineLevel="0" collapsed="false">
      <c r="A204" s="135"/>
      <c r="B204" s="189"/>
      <c r="C204" s="135"/>
      <c r="D204" s="189"/>
      <c r="E204" s="135"/>
      <c r="F204" s="135"/>
      <c r="G204" s="135"/>
      <c r="H204" s="135"/>
      <c r="I204" s="135"/>
      <c r="J204" s="135"/>
      <c r="K204" s="189"/>
      <c r="L204" s="135"/>
      <c r="M204" s="135"/>
      <c r="N204" s="135"/>
      <c r="O204" s="135"/>
      <c r="P204" s="135"/>
      <c r="Q204" s="189"/>
      <c r="R204" s="135"/>
      <c r="S204" s="135"/>
      <c r="T204" s="135"/>
      <c r="U204" s="135"/>
      <c r="V204" s="189"/>
      <c r="W204" s="135"/>
      <c r="X204" s="135"/>
    </row>
    <row r="205" customFormat="false" ht="15.75" hidden="false" customHeight="true" outlineLevel="0" collapsed="false">
      <c r="A205" s="135"/>
      <c r="B205" s="189"/>
      <c r="C205" s="135"/>
      <c r="D205" s="189"/>
      <c r="E205" s="135"/>
      <c r="F205" s="135"/>
      <c r="G205" s="135"/>
      <c r="H205" s="135"/>
      <c r="I205" s="135"/>
      <c r="J205" s="135"/>
      <c r="K205" s="189"/>
      <c r="L205" s="135"/>
      <c r="M205" s="135"/>
      <c r="N205" s="135"/>
      <c r="O205" s="135"/>
      <c r="P205" s="135"/>
      <c r="Q205" s="189"/>
      <c r="R205" s="135"/>
      <c r="S205" s="135"/>
      <c r="T205" s="135"/>
      <c r="U205" s="135"/>
      <c r="V205" s="189"/>
      <c r="W205" s="135"/>
      <c r="X205" s="135"/>
    </row>
    <row r="206" customFormat="false" ht="15.75" hidden="false" customHeight="true" outlineLevel="0" collapsed="false">
      <c r="A206" s="135"/>
      <c r="B206" s="189"/>
      <c r="C206" s="135"/>
      <c r="D206" s="189"/>
      <c r="E206" s="135"/>
      <c r="F206" s="135"/>
      <c r="G206" s="135"/>
      <c r="H206" s="135"/>
      <c r="I206" s="135"/>
      <c r="J206" s="135"/>
      <c r="K206" s="189"/>
      <c r="L206" s="135"/>
      <c r="M206" s="135"/>
      <c r="N206" s="135"/>
      <c r="O206" s="135"/>
      <c r="P206" s="135"/>
      <c r="Q206" s="189"/>
      <c r="R206" s="135"/>
      <c r="S206" s="135"/>
      <c r="T206" s="135"/>
      <c r="U206" s="135"/>
      <c r="V206" s="189"/>
      <c r="W206" s="135"/>
      <c r="X206" s="135"/>
    </row>
    <row r="207" customFormat="false" ht="15.75" hidden="false" customHeight="true" outlineLevel="0" collapsed="false">
      <c r="A207" s="135"/>
      <c r="B207" s="189"/>
      <c r="C207" s="135"/>
      <c r="D207" s="189"/>
      <c r="E207" s="135"/>
      <c r="F207" s="135"/>
      <c r="G207" s="135"/>
      <c r="H207" s="135"/>
      <c r="I207" s="135"/>
      <c r="J207" s="135"/>
      <c r="K207" s="189"/>
      <c r="L207" s="135"/>
      <c r="M207" s="135"/>
      <c r="N207" s="135"/>
      <c r="O207" s="135"/>
      <c r="P207" s="135"/>
      <c r="Q207" s="189"/>
      <c r="R207" s="135"/>
      <c r="S207" s="135"/>
      <c r="T207" s="135"/>
      <c r="U207" s="135"/>
      <c r="V207" s="189"/>
      <c r="W207" s="135"/>
      <c r="X207" s="135"/>
    </row>
    <row r="208" customFormat="false" ht="15.75" hidden="false" customHeight="true" outlineLevel="0" collapsed="false">
      <c r="A208" s="135"/>
      <c r="B208" s="189"/>
      <c r="C208" s="135"/>
      <c r="D208" s="189"/>
      <c r="E208" s="135"/>
      <c r="F208" s="135"/>
      <c r="G208" s="135"/>
      <c r="H208" s="135"/>
      <c r="I208" s="135"/>
      <c r="J208" s="135"/>
      <c r="K208" s="189"/>
      <c r="L208" s="135"/>
      <c r="M208" s="135"/>
      <c r="N208" s="135"/>
      <c r="O208" s="135"/>
      <c r="P208" s="135"/>
      <c r="Q208" s="189"/>
      <c r="R208" s="135"/>
      <c r="S208" s="135"/>
      <c r="T208" s="135"/>
      <c r="U208" s="135"/>
      <c r="V208" s="189"/>
      <c r="W208" s="135"/>
      <c r="X208" s="135"/>
    </row>
    <row r="209" customFormat="false" ht="15.75" hidden="false" customHeight="true" outlineLevel="0" collapsed="false">
      <c r="A209" s="135"/>
      <c r="B209" s="189"/>
      <c r="C209" s="135"/>
      <c r="D209" s="189"/>
      <c r="E209" s="135"/>
      <c r="F209" s="135"/>
      <c r="G209" s="135"/>
      <c r="H209" s="135"/>
      <c r="I209" s="135"/>
      <c r="J209" s="135"/>
      <c r="K209" s="189"/>
      <c r="L209" s="135"/>
      <c r="M209" s="135"/>
      <c r="N209" s="135"/>
      <c r="O209" s="135"/>
      <c r="P209" s="135"/>
      <c r="Q209" s="189"/>
      <c r="R209" s="135"/>
      <c r="S209" s="135"/>
      <c r="T209" s="135"/>
      <c r="U209" s="135"/>
      <c r="V209" s="189"/>
      <c r="W209" s="135"/>
      <c r="X209" s="135"/>
    </row>
    <row r="210" customFormat="false" ht="15.75" hidden="false" customHeight="true" outlineLevel="0" collapsed="false">
      <c r="A210" s="135"/>
      <c r="B210" s="189"/>
      <c r="C210" s="135"/>
      <c r="D210" s="189"/>
      <c r="E210" s="135"/>
      <c r="F210" s="135"/>
      <c r="G210" s="135"/>
      <c r="H210" s="135"/>
      <c r="I210" s="135"/>
      <c r="J210" s="135"/>
      <c r="K210" s="189"/>
      <c r="L210" s="135"/>
      <c r="M210" s="135"/>
      <c r="N210" s="135"/>
      <c r="O210" s="135"/>
      <c r="P210" s="135"/>
      <c r="Q210" s="189"/>
      <c r="R210" s="135"/>
      <c r="S210" s="135"/>
      <c r="T210" s="135"/>
      <c r="U210" s="135"/>
      <c r="V210" s="189"/>
      <c r="W210" s="135"/>
      <c r="X210" s="135"/>
    </row>
    <row r="211" customFormat="false" ht="15.75" hidden="false" customHeight="true" outlineLevel="0" collapsed="false">
      <c r="A211" s="135"/>
      <c r="B211" s="189"/>
      <c r="C211" s="135"/>
      <c r="D211" s="189"/>
      <c r="E211" s="135"/>
      <c r="F211" s="135"/>
      <c r="G211" s="135"/>
      <c r="H211" s="135"/>
      <c r="I211" s="135"/>
      <c r="J211" s="135"/>
      <c r="K211" s="189"/>
      <c r="L211" s="135"/>
      <c r="M211" s="135"/>
      <c r="N211" s="135"/>
      <c r="O211" s="135"/>
      <c r="P211" s="135"/>
      <c r="Q211" s="189"/>
      <c r="R211" s="135"/>
      <c r="S211" s="135"/>
      <c r="T211" s="135"/>
      <c r="U211" s="135"/>
      <c r="V211" s="189"/>
      <c r="W211" s="135"/>
      <c r="X211" s="135"/>
    </row>
    <row r="212" customFormat="false" ht="15.75" hidden="false" customHeight="true" outlineLevel="0" collapsed="false">
      <c r="A212" s="135"/>
      <c r="B212" s="189"/>
      <c r="C212" s="135"/>
      <c r="D212" s="189"/>
      <c r="E212" s="135"/>
      <c r="F212" s="135"/>
      <c r="G212" s="135"/>
      <c r="H212" s="135"/>
      <c r="I212" s="135"/>
      <c r="J212" s="135"/>
      <c r="K212" s="189"/>
      <c r="L212" s="135"/>
      <c r="M212" s="135"/>
      <c r="N212" s="135"/>
      <c r="O212" s="135"/>
      <c r="P212" s="135"/>
      <c r="Q212" s="189"/>
      <c r="R212" s="135"/>
      <c r="S212" s="135"/>
      <c r="T212" s="135"/>
      <c r="U212" s="135"/>
      <c r="V212" s="189"/>
      <c r="W212" s="135"/>
      <c r="X212" s="135"/>
    </row>
    <row r="213" customFormat="false" ht="15.75" hidden="false" customHeight="true" outlineLevel="0" collapsed="false">
      <c r="A213" s="135"/>
      <c r="B213" s="189"/>
      <c r="C213" s="135"/>
      <c r="D213" s="189"/>
      <c r="E213" s="135"/>
      <c r="F213" s="135"/>
      <c r="G213" s="135"/>
      <c r="H213" s="135"/>
      <c r="I213" s="135"/>
      <c r="J213" s="135"/>
      <c r="K213" s="189"/>
      <c r="L213" s="135"/>
      <c r="M213" s="135"/>
      <c r="N213" s="135"/>
      <c r="O213" s="135"/>
      <c r="P213" s="135"/>
      <c r="Q213" s="189"/>
      <c r="R213" s="135"/>
      <c r="S213" s="135"/>
      <c r="T213" s="135"/>
      <c r="U213" s="135"/>
      <c r="V213" s="189"/>
      <c r="W213" s="135"/>
      <c r="X213" s="135"/>
    </row>
    <row r="214" customFormat="false" ht="15.75" hidden="false" customHeight="true" outlineLevel="0" collapsed="false">
      <c r="A214" s="135"/>
      <c r="B214" s="189"/>
      <c r="C214" s="135"/>
      <c r="D214" s="189"/>
      <c r="E214" s="135"/>
      <c r="F214" s="135"/>
      <c r="G214" s="135"/>
      <c r="H214" s="135"/>
      <c r="I214" s="135"/>
      <c r="J214" s="135"/>
      <c r="K214" s="189"/>
      <c r="L214" s="135"/>
      <c r="M214" s="135"/>
      <c r="N214" s="135"/>
      <c r="O214" s="135"/>
      <c r="P214" s="135"/>
      <c r="Q214" s="189"/>
      <c r="R214" s="135"/>
      <c r="S214" s="135"/>
      <c r="T214" s="135"/>
      <c r="U214" s="135"/>
      <c r="V214" s="189"/>
      <c r="W214" s="135"/>
      <c r="X214" s="135"/>
    </row>
    <row r="215" customFormat="false" ht="15.75" hidden="false" customHeight="true" outlineLevel="0" collapsed="false">
      <c r="A215" s="135"/>
      <c r="B215" s="189"/>
      <c r="C215" s="135"/>
      <c r="D215" s="189"/>
      <c r="E215" s="135"/>
      <c r="F215" s="135"/>
      <c r="G215" s="135"/>
      <c r="H215" s="135"/>
      <c r="I215" s="135"/>
      <c r="J215" s="135"/>
      <c r="K215" s="189"/>
      <c r="L215" s="135"/>
      <c r="M215" s="135"/>
      <c r="N215" s="135"/>
      <c r="O215" s="135"/>
      <c r="P215" s="135"/>
      <c r="Q215" s="189"/>
      <c r="R215" s="135"/>
      <c r="S215" s="135"/>
      <c r="T215" s="135"/>
      <c r="U215" s="135"/>
      <c r="V215" s="189"/>
      <c r="W215" s="135"/>
      <c r="X215" s="135"/>
    </row>
    <row r="216" customFormat="false" ht="15.75" hidden="false" customHeight="true" outlineLevel="0" collapsed="false">
      <c r="A216" s="135"/>
      <c r="B216" s="189"/>
      <c r="C216" s="135"/>
      <c r="D216" s="189"/>
      <c r="E216" s="135"/>
      <c r="F216" s="135"/>
      <c r="G216" s="135"/>
      <c r="H216" s="135"/>
      <c r="I216" s="135"/>
      <c r="J216" s="135"/>
      <c r="K216" s="189"/>
      <c r="L216" s="135"/>
      <c r="M216" s="135"/>
      <c r="N216" s="135"/>
      <c r="O216" s="135"/>
      <c r="P216" s="135"/>
      <c r="Q216" s="189"/>
      <c r="R216" s="135"/>
      <c r="S216" s="135"/>
      <c r="T216" s="135"/>
      <c r="U216" s="135"/>
      <c r="V216" s="189"/>
      <c r="W216" s="135"/>
      <c r="X216" s="135"/>
    </row>
    <row r="217" customFormat="false" ht="15.75" hidden="false" customHeight="true" outlineLevel="0" collapsed="false">
      <c r="A217" s="135"/>
      <c r="B217" s="189"/>
      <c r="C217" s="135"/>
      <c r="D217" s="189"/>
      <c r="E217" s="135"/>
      <c r="F217" s="135"/>
      <c r="G217" s="135"/>
      <c r="H217" s="135"/>
      <c r="I217" s="135"/>
      <c r="J217" s="135"/>
      <c r="K217" s="189"/>
      <c r="L217" s="135"/>
      <c r="M217" s="135"/>
      <c r="N217" s="135"/>
      <c r="O217" s="135"/>
      <c r="P217" s="135"/>
      <c r="Q217" s="189"/>
      <c r="R217" s="135"/>
      <c r="S217" s="135"/>
      <c r="T217" s="135"/>
      <c r="U217" s="135"/>
      <c r="V217" s="189"/>
      <c r="W217" s="135"/>
      <c r="X217" s="135"/>
    </row>
    <row r="218" customFormat="false" ht="15.75" hidden="false" customHeight="true" outlineLevel="0" collapsed="false">
      <c r="A218" s="135"/>
      <c r="B218" s="189"/>
      <c r="C218" s="135"/>
      <c r="D218" s="189"/>
      <c r="E218" s="135"/>
      <c r="F218" s="135"/>
      <c r="G218" s="135"/>
      <c r="H218" s="135"/>
      <c r="I218" s="135"/>
      <c r="J218" s="135"/>
      <c r="K218" s="189"/>
      <c r="L218" s="135"/>
      <c r="M218" s="135"/>
      <c r="N218" s="135"/>
      <c r="O218" s="135"/>
      <c r="P218" s="135"/>
      <c r="Q218" s="189"/>
      <c r="R218" s="135"/>
      <c r="S218" s="135"/>
      <c r="T218" s="135"/>
      <c r="U218" s="135"/>
      <c r="V218" s="189"/>
      <c r="W218" s="135"/>
      <c r="X218" s="135"/>
    </row>
    <row r="219" customFormat="false" ht="15.75" hidden="false" customHeight="true" outlineLevel="0" collapsed="false">
      <c r="A219" s="135"/>
      <c r="B219" s="189"/>
      <c r="C219" s="135"/>
      <c r="D219" s="189"/>
      <c r="E219" s="135"/>
      <c r="F219" s="135"/>
      <c r="G219" s="135"/>
      <c r="H219" s="135"/>
      <c r="I219" s="135"/>
      <c r="J219" s="135"/>
      <c r="K219" s="189"/>
      <c r="L219" s="135"/>
      <c r="M219" s="135"/>
      <c r="N219" s="135"/>
      <c r="O219" s="135"/>
      <c r="P219" s="135"/>
      <c r="Q219" s="189"/>
      <c r="R219" s="135"/>
      <c r="S219" s="135"/>
      <c r="T219" s="135"/>
      <c r="U219" s="135"/>
      <c r="V219" s="189"/>
      <c r="W219" s="135"/>
      <c r="X219" s="135"/>
    </row>
    <row r="220" customFormat="false" ht="15.75" hidden="false" customHeight="true" outlineLevel="0" collapsed="false">
      <c r="A220" s="135"/>
      <c r="B220" s="189"/>
      <c r="C220" s="135"/>
      <c r="D220" s="189"/>
      <c r="E220" s="135"/>
      <c r="F220" s="135"/>
      <c r="G220" s="135"/>
      <c r="H220" s="135"/>
      <c r="I220" s="135"/>
      <c r="J220" s="135"/>
      <c r="K220" s="189"/>
      <c r="L220" s="135"/>
      <c r="M220" s="135"/>
      <c r="N220" s="135"/>
      <c r="O220" s="135"/>
      <c r="P220" s="135"/>
      <c r="Q220" s="189"/>
      <c r="R220" s="135"/>
      <c r="S220" s="135"/>
      <c r="T220" s="135"/>
      <c r="U220" s="135"/>
      <c r="V220" s="189"/>
      <c r="W220" s="135"/>
      <c r="X220" s="135"/>
    </row>
    <row r="221" customFormat="false" ht="15.75" hidden="false" customHeight="true" outlineLevel="0" collapsed="false">
      <c r="A221" s="135"/>
      <c r="B221" s="189"/>
      <c r="C221" s="135"/>
      <c r="D221" s="189"/>
      <c r="E221" s="135"/>
      <c r="F221" s="135"/>
      <c r="G221" s="135"/>
      <c r="H221" s="135"/>
      <c r="I221" s="135"/>
      <c r="J221" s="135"/>
      <c r="K221" s="189"/>
      <c r="L221" s="135"/>
      <c r="M221" s="135"/>
      <c r="N221" s="135"/>
      <c r="O221" s="135"/>
      <c r="P221" s="135"/>
      <c r="Q221" s="189"/>
      <c r="R221" s="135"/>
      <c r="S221" s="135"/>
      <c r="T221" s="135"/>
      <c r="U221" s="135"/>
      <c r="V221" s="189"/>
      <c r="W221" s="135"/>
      <c r="X221" s="135"/>
    </row>
    <row r="222" customFormat="false" ht="15.75" hidden="false" customHeight="true" outlineLevel="0" collapsed="false">
      <c r="A222" s="135"/>
      <c r="B222" s="189"/>
      <c r="C222" s="135"/>
      <c r="D222" s="189"/>
      <c r="E222" s="135"/>
      <c r="F222" s="135"/>
      <c r="G222" s="135"/>
      <c r="H222" s="135"/>
      <c r="I222" s="135"/>
      <c r="J222" s="135"/>
      <c r="K222" s="189"/>
      <c r="L222" s="135"/>
      <c r="M222" s="135"/>
      <c r="N222" s="135"/>
      <c r="O222" s="135"/>
      <c r="P222" s="135"/>
      <c r="Q222" s="189"/>
      <c r="R222" s="135"/>
      <c r="S222" s="135"/>
      <c r="T222" s="135"/>
      <c r="U222" s="135"/>
      <c r="V222" s="189"/>
      <c r="W222" s="135"/>
      <c r="X222" s="135"/>
    </row>
    <row r="223" customFormat="false" ht="15.75" hidden="false" customHeight="true" outlineLevel="0" collapsed="false">
      <c r="A223" s="135"/>
      <c r="B223" s="189"/>
      <c r="C223" s="135"/>
      <c r="D223" s="189"/>
      <c r="E223" s="135"/>
      <c r="F223" s="135"/>
      <c r="G223" s="135"/>
      <c r="H223" s="135"/>
      <c r="I223" s="135"/>
      <c r="J223" s="135"/>
      <c r="K223" s="189"/>
      <c r="L223" s="135"/>
      <c r="M223" s="135"/>
      <c r="N223" s="135"/>
      <c r="O223" s="135"/>
      <c r="P223" s="135"/>
      <c r="Q223" s="189"/>
      <c r="R223" s="135"/>
      <c r="S223" s="135"/>
      <c r="T223" s="135"/>
      <c r="U223" s="135"/>
      <c r="V223" s="189"/>
      <c r="W223" s="135"/>
      <c r="X223" s="135"/>
    </row>
    <row r="224" customFormat="false" ht="15.75" hidden="false" customHeight="true" outlineLevel="0" collapsed="false">
      <c r="A224" s="135"/>
      <c r="B224" s="189"/>
      <c r="C224" s="135"/>
      <c r="D224" s="189"/>
      <c r="E224" s="135"/>
      <c r="F224" s="135"/>
      <c r="G224" s="135"/>
      <c r="H224" s="135"/>
      <c r="I224" s="135"/>
      <c r="J224" s="135"/>
      <c r="K224" s="189"/>
      <c r="L224" s="135"/>
      <c r="M224" s="135"/>
      <c r="N224" s="135"/>
      <c r="O224" s="135"/>
      <c r="P224" s="135"/>
      <c r="Q224" s="189"/>
      <c r="R224" s="135"/>
      <c r="S224" s="135"/>
      <c r="T224" s="135"/>
      <c r="U224" s="135"/>
      <c r="V224" s="189"/>
      <c r="W224" s="135"/>
      <c r="X224" s="135"/>
    </row>
    <row r="225" customFormat="false" ht="15.75" hidden="false" customHeight="true" outlineLevel="0" collapsed="false">
      <c r="A225" s="135"/>
      <c r="B225" s="189"/>
      <c r="C225" s="135"/>
      <c r="D225" s="189"/>
      <c r="E225" s="135"/>
      <c r="F225" s="135"/>
      <c r="G225" s="135"/>
      <c r="H225" s="135"/>
      <c r="I225" s="135"/>
      <c r="J225" s="135"/>
      <c r="K225" s="189"/>
      <c r="L225" s="135"/>
      <c r="M225" s="135"/>
      <c r="N225" s="135"/>
      <c r="O225" s="135"/>
      <c r="P225" s="135"/>
      <c r="Q225" s="189"/>
      <c r="R225" s="135"/>
      <c r="S225" s="135"/>
      <c r="T225" s="135"/>
      <c r="U225" s="135"/>
      <c r="V225" s="189"/>
      <c r="W225" s="135"/>
      <c r="X225" s="135"/>
    </row>
    <row r="226" customFormat="false" ht="15.75" hidden="false" customHeight="true" outlineLevel="0" collapsed="false">
      <c r="A226" s="135"/>
      <c r="B226" s="189"/>
      <c r="C226" s="135"/>
      <c r="D226" s="189"/>
      <c r="E226" s="135"/>
      <c r="F226" s="135"/>
      <c r="G226" s="135"/>
      <c r="H226" s="135"/>
      <c r="I226" s="135"/>
      <c r="J226" s="135"/>
      <c r="K226" s="189"/>
      <c r="L226" s="135"/>
      <c r="M226" s="135"/>
      <c r="N226" s="135"/>
      <c r="O226" s="135"/>
      <c r="P226" s="135"/>
      <c r="Q226" s="189"/>
      <c r="R226" s="135"/>
      <c r="S226" s="135"/>
      <c r="T226" s="135"/>
      <c r="U226" s="135"/>
      <c r="V226" s="189"/>
      <c r="W226" s="135"/>
      <c r="X226" s="135"/>
    </row>
    <row r="227" customFormat="false" ht="15.75" hidden="false" customHeight="true" outlineLevel="0" collapsed="false">
      <c r="A227" s="135"/>
      <c r="B227" s="189"/>
      <c r="C227" s="135"/>
      <c r="D227" s="189"/>
      <c r="E227" s="135"/>
      <c r="F227" s="135"/>
      <c r="G227" s="135"/>
      <c r="H227" s="135"/>
      <c r="I227" s="135"/>
      <c r="J227" s="135"/>
      <c r="K227" s="189"/>
      <c r="L227" s="135"/>
      <c r="M227" s="135"/>
      <c r="N227" s="135"/>
      <c r="O227" s="135"/>
      <c r="P227" s="135"/>
      <c r="Q227" s="189"/>
      <c r="R227" s="135"/>
      <c r="S227" s="135"/>
      <c r="T227" s="135"/>
      <c r="U227" s="135"/>
      <c r="V227" s="189"/>
      <c r="W227" s="135"/>
      <c r="X227" s="135"/>
    </row>
    <row r="228" customFormat="false" ht="15.75" hidden="false" customHeight="true" outlineLevel="0" collapsed="false">
      <c r="A228" s="135"/>
      <c r="B228" s="189"/>
      <c r="C228" s="135"/>
      <c r="D228" s="189"/>
      <c r="E228" s="135"/>
      <c r="F228" s="135"/>
      <c r="G228" s="135"/>
      <c r="H228" s="135"/>
      <c r="I228" s="135"/>
      <c r="J228" s="135"/>
      <c r="K228" s="189"/>
      <c r="L228" s="135"/>
      <c r="M228" s="135"/>
      <c r="N228" s="135"/>
      <c r="O228" s="135"/>
      <c r="P228" s="135"/>
      <c r="Q228" s="189"/>
      <c r="R228" s="135"/>
      <c r="S228" s="135"/>
      <c r="T228" s="135"/>
      <c r="U228" s="135"/>
      <c r="V228" s="189"/>
      <c r="W228" s="135"/>
      <c r="X228" s="135"/>
    </row>
    <row r="229" customFormat="false" ht="15.75" hidden="false" customHeight="true" outlineLevel="0" collapsed="false">
      <c r="A229" s="135"/>
      <c r="B229" s="189"/>
      <c r="C229" s="135"/>
      <c r="D229" s="189"/>
      <c r="E229" s="135"/>
      <c r="F229" s="135"/>
      <c r="G229" s="135"/>
      <c r="H229" s="135"/>
      <c r="I229" s="135"/>
      <c r="J229" s="135"/>
      <c r="K229" s="189"/>
      <c r="L229" s="135"/>
      <c r="M229" s="135"/>
      <c r="N229" s="135"/>
      <c r="O229" s="135"/>
      <c r="P229" s="135"/>
      <c r="Q229" s="189"/>
      <c r="R229" s="135"/>
      <c r="S229" s="135"/>
      <c r="T229" s="135"/>
      <c r="U229" s="135"/>
      <c r="V229" s="189"/>
      <c r="W229" s="135"/>
      <c r="X229" s="135"/>
    </row>
    <row r="230" customFormat="false" ht="15.75" hidden="false" customHeight="true" outlineLevel="0" collapsed="false">
      <c r="A230" s="135"/>
      <c r="B230" s="189"/>
      <c r="C230" s="135"/>
      <c r="D230" s="189"/>
      <c r="E230" s="135"/>
      <c r="F230" s="135"/>
      <c r="G230" s="135"/>
      <c r="H230" s="135"/>
      <c r="I230" s="135"/>
      <c r="J230" s="135"/>
      <c r="K230" s="189"/>
      <c r="L230" s="135"/>
      <c r="M230" s="135"/>
      <c r="N230" s="135"/>
      <c r="O230" s="135"/>
      <c r="P230" s="135"/>
      <c r="Q230" s="189"/>
      <c r="R230" s="135"/>
      <c r="S230" s="135"/>
      <c r="T230" s="135"/>
      <c r="U230" s="135"/>
      <c r="V230" s="189"/>
      <c r="W230" s="135"/>
      <c r="X230" s="135"/>
    </row>
    <row r="231" customFormat="false" ht="15.75" hidden="false" customHeight="true" outlineLevel="0" collapsed="false">
      <c r="A231" s="135"/>
      <c r="B231" s="189"/>
      <c r="C231" s="135"/>
      <c r="D231" s="189"/>
      <c r="E231" s="135"/>
      <c r="F231" s="135"/>
      <c r="G231" s="135"/>
      <c r="H231" s="135"/>
      <c r="I231" s="135"/>
      <c r="J231" s="135"/>
      <c r="K231" s="189"/>
      <c r="L231" s="135"/>
      <c r="M231" s="135"/>
      <c r="N231" s="135"/>
      <c r="O231" s="135"/>
      <c r="P231" s="135"/>
      <c r="Q231" s="189"/>
      <c r="R231" s="135"/>
      <c r="S231" s="135"/>
      <c r="T231" s="135"/>
      <c r="U231" s="135"/>
      <c r="V231" s="189"/>
      <c r="W231" s="135"/>
      <c r="X231" s="135"/>
    </row>
    <row r="232" customFormat="false" ht="15.75" hidden="false" customHeight="true" outlineLevel="0" collapsed="false">
      <c r="A232" s="135"/>
      <c r="B232" s="189"/>
      <c r="C232" s="135"/>
      <c r="D232" s="189"/>
      <c r="E232" s="135"/>
      <c r="F232" s="135"/>
      <c r="G232" s="135"/>
      <c r="H232" s="135"/>
      <c r="I232" s="135"/>
      <c r="J232" s="135"/>
      <c r="K232" s="189"/>
      <c r="L232" s="135"/>
      <c r="M232" s="135"/>
      <c r="N232" s="135"/>
      <c r="O232" s="135"/>
      <c r="P232" s="135"/>
      <c r="Q232" s="189"/>
      <c r="R232" s="135"/>
      <c r="S232" s="135"/>
      <c r="T232" s="135"/>
      <c r="U232" s="135"/>
      <c r="V232" s="189"/>
      <c r="W232" s="135"/>
      <c r="X232" s="135"/>
    </row>
    <row r="233" customFormat="false" ht="15.75" hidden="false" customHeight="true" outlineLevel="0" collapsed="false">
      <c r="A233" s="135"/>
      <c r="B233" s="189"/>
      <c r="C233" s="135"/>
      <c r="D233" s="189"/>
      <c r="E233" s="135"/>
      <c r="F233" s="135"/>
      <c r="G233" s="135"/>
      <c r="H233" s="135"/>
      <c r="I233" s="135"/>
      <c r="J233" s="135"/>
      <c r="K233" s="189"/>
      <c r="L233" s="135"/>
      <c r="M233" s="135"/>
      <c r="N233" s="135"/>
      <c r="O233" s="135"/>
      <c r="P233" s="135"/>
      <c r="Q233" s="189"/>
      <c r="R233" s="135"/>
      <c r="S233" s="135"/>
      <c r="T233" s="135"/>
      <c r="U233" s="135"/>
      <c r="V233" s="189"/>
      <c r="W233" s="135"/>
      <c r="X233" s="135"/>
    </row>
    <row r="234" customFormat="false" ht="15.75" hidden="false" customHeight="true" outlineLevel="0" collapsed="false">
      <c r="A234" s="135"/>
      <c r="B234" s="189"/>
      <c r="C234" s="135"/>
      <c r="D234" s="189"/>
      <c r="E234" s="135"/>
      <c r="F234" s="135"/>
      <c r="G234" s="135"/>
      <c r="H234" s="135"/>
      <c r="I234" s="135"/>
      <c r="J234" s="135"/>
      <c r="K234" s="189"/>
      <c r="L234" s="135"/>
      <c r="M234" s="135"/>
      <c r="N234" s="135"/>
      <c r="O234" s="135"/>
      <c r="P234" s="135"/>
      <c r="Q234" s="189"/>
      <c r="R234" s="135"/>
      <c r="S234" s="135"/>
      <c r="T234" s="135"/>
      <c r="U234" s="135"/>
      <c r="V234" s="189"/>
      <c r="W234" s="135"/>
      <c r="X234" s="135"/>
    </row>
    <row r="235" customFormat="false" ht="15.75" hidden="false" customHeight="true" outlineLevel="0" collapsed="false">
      <c r="A235" s="135"/>
      <c r="B235" s="189"/>
      <c r="C235" s="135"/>
      <c r="D235" s="189"/>
      <c r="E235" s="135"/>
      <c r="F235" s="135"/>
      <c r="G235" s="135"/>
      <c r="H235" s="135"/>
      <c r="I235" s="135"/>
      <c r="J235" s="135"/>
      <c r="K235" s="189"/>
      <c r="L235" s="135"/>
      <c r="M235" s="135"/>
      <c r="N235" s="135"/>
      <c r="O235" s="135"/>
      <c r="P235" s="135"/>
      <c r="Q235" s="189"/>
      <c r="R235" s="135"/>
      <c r="S235" s="135"/>
      <c r="T235" s="135"/>
      <c r="U235" s="135"/>
      <c r="V235" s="189"/>
      <c r="W235" s="135"/>
      <c r="X235" s="135"/>
    </row>
    <row r="236" customFormat="false" ht="15.75" hidden="false" customHeight="true" outlineLevel="0" collapsed="false">
      <c r="A236" s="135"/>
      <c r="B236" s="189"/>
      <c r="C236" s="135"/>
      <c r="D236" s="189"/>
      <c r="E236" s="135"/>
      <c r="F236" s="135"/>
      <c r="G236" s="135"/>
      <c r="H236" s="135"/>
      <c r="I236" s="135"/>
      <c r="J236" s="135"/>
      <c r="K236" s="189"/>
      <c r="L236" s="135"/>
      <c r="M236" s="135"/>
      <c r="N236" s="135"/>
      <c r="O236" s="135"/>
      <c r="P236" s="135"/>
      <c r="Q236" s="189"/>
      <c r="R236" s="135"/>
      <c r="S236" s="135"/>
      <c r="T236" s="135"/>
      <c r="U236" s="135"/>
      <c r="V236" s="189"/>
      <c r="W236" s="135"/>
      <c r="X236" s="135"/>
    </row>
    <row r="237" customFormat="false" ht="15.75" hidden="false" customHeight="true" outlineLevel="0" collapsed="false">
      <c r="A237" s="135"/>
      <c r="B237" s="189"/>
      <c r="C237" s="135"/>
      <c r="D237" s="189"/>
      <c r="E237" s="135"/>
      <c r="F237" s="135"/>
      <c r="G237" s="135"/>
      <c r="H237" s="135"/>
      <c r="I237" s="135"/>
      <c r="J237" s="135"/>
      <c r="K237" s="189"/>
      <c r="L237" s="135"/>
      <c r="M237" s="135"/>
      <c r="N237" s="135"/>
      <c r="O237" s="135"/>
      <c r="P237" s="135"/>
      <c r="Q237" s="189"/>
      <c r="R237" s="135"/>
      <c r="S237" s="135"/>
      <c r="T237" s="135"/>
      <c r="U237" s="135"/>
      <c r="V237" s="189"/>
      <c r="W237" s="135"/>
      <c r="X237" s="135"/>
    </row>
    <row r="238" customFormat="false" ht="15.75" hidden="false" customHeight="true" outlineLevel="0" collapsed="false">
      <c r="A238" s="135"/>
      <c r="B238" s="189"/>
      <c r="C238" s="135"/>
      <c r="D238" s="189"/>
      <c r="E238" s="135"/>
      <c r="F238" s="135"/>
      <c r="G238" s="135"/>
      <c r="H238" s="135"/>
      <c r="I238" s="135"/>
      <c r="J238" s="135"/>
      <c r="K238" s="189"/>
      <c r="L238" s="135"/>
      <c r="M238" s="135"/>
      <c r="N238" s="135"/>
      <c r="O238" s="135"/>
      <c r="P238" s="135"/>
      <c r="Q238" s="189"/>
      <c r="R238" s="135"/>
      <c r="S238" s="135"/>
      <c r="T238" s="135"/>
      <c r="U238" s="135"/>
      <c r="V238" s="189"/>
      <c r="W238" s="135"/>
      <c r="X238" s="135"/>
    </row>
    <row r="239" customFormat="false" ht="15.75" hidden="false" customHeight="true" outlineLevel="0" collapsed="false">
      <c r="A239" s="135"/>
      <c r="B239" s="189"/>
      <c r="C239" s="135"/>
      <c r="D239" s="189"/>
      <c r="E239" s="135"/>
      <c r="F239" s="135"/>
      <c r="G239" s="135"/>
      <c r="H239" s="135"/>
      <c r="I239" s="135"/>
      <c r="J239" s="135"/>
      <c r="K239" s="189"/>
      <c r="L239" s="135"/>
      <c r="M239" s="135"/>
      <c r="N239" s="135"/>
      <c r="O239" s="135"/>
      <c r="P239" s="135"/>
      <c r="Q239" s="189"/>
      <c r="R239" s="135"/>
      <c r="S239" s="135"/>
      <c r="T239" s="135"/>
      <c r="U239" s="135"/>
      <c r="V239" s="189"/>
      <c r="W239" s="135"/>
      <c r="X239" s="135"/>
    </row>
    <row r="240" customFormat="false" ht="15.75" hidden="false" customHeight="true" outlineLevel="0" collapsed="false">
      <c r="A240" s="135"/>
      <c r="B240" s="189"/>
      <c r="C240" s="135"/>
      <c r="D240" s="189"/>
      <c r="E240" s="135"/>
      <c r="F240" s="135"/>
      <c r="G240" s="135"/>
      <c r="H240" s="135"/>
      <c r="I240" s="135"/>
      <c r="J240" s="135"/>
      <c r="K240" s="189"/>
      <c r="L240" s="135"/>
      <c r="M240" s="135"/>
      <c r="N240" s="135"/>
      <c r="O240" s="135"/>
      <c r="P240" s="135"/>
      <c r="Q240" s="189"/>
      <c r="R240" s="135"/>
      <c r="S240" s="135"/>
      <c r="T240" s="135"/>
      <c r="U240" s="135"/>
      <c r="V240" s="189"/>
      <c r="W240" s="135"/>
      <c r="X240" s="135"/>
    </row>
    <row r="241" customFormat="false" ht="15.75" hidden="false" customHeight="true" outlineLevel="0" collapsed="false">
      <c r="A241" s="135"/>
      <c r="B241" s="189"/>
      <c r="C241" s="135"/>
      <c r="D241" s="189"/>
      <c r="E241" s="135"/>
      <c r="F241" s="135"/>
      <c r="G241" s="135"/>
      <c r="H241" s="135"/>
      <c r="I241" s="135"/>
      <c r="J241" s="135"/>
      <c r="K241" s="189"/>
      <c r="L241" s="135"/>
      <c r="M241" s="135"/>
      <c r="N241" s="135"/>
      <c r="O241" s="135"/>
      <c r="P241" s="135"/>
      <c r="Q241" s="189"/>
      <c r="R241" s="135"/>
      <c r="S241" s="135"/>
      <c r="T241" s="135"/>
      <c r="U241" s="135"/>
      <c r="V241" s="189"/>
      <c r="W241" s="135"/>
      <c r="X241" s="135"/>
    </row>
    <row r="242" customFormat="false" ht="15.75" hidden="false" customHeight="true" outlineLevel="0" collapsed="false">
      <c r="A242" s="135"/>
      <c r="B242" s="189"/>
      <c r="C242" s="135"/>
      <c r="D242" s="189"/>
      <c r="E242" s="135"/>
      <c r="F242" s="135"/>
      <c r="G242" s="135"/>
      <c r="H242" s="135"/>
      <c r="I242" s="135"/>
      <c r="J242" s="135"/>
      <c r="K242" s="189"/>
      <c r="L242" s="135"/>
      <c r="M242" s="135"/>
      <c r="N242" s="135"/>
      <c r="O242" s="135"/>
      <c r="P242" s="135"/>
      <c r="Q242" s="189"/>
      <c r="R242" s="135"/>
      <c r="S242" s="135"/>
      <c r="T242" s="135"/>
      <c r="U242" s="135"/>
      <c r="V242" s="189"/>
      <c r="W242" s="135"/>
      <c r="X242" s="135"/>
    </row>
    <row r="243" customFormat="false" ht="15.75" hidden="false" customHeight="true" outlineLevel="0" collapsed="false">
      <c r="A243" s="135"/>
      <c r="B243" s="189"/>
      <c r="C243" s="135"/>
      <c r="D243" s="189"/>
      <c r="E243" s="135"/>
      <c r="F243" s="135"/>
      <c r="G243" s="135"/>
      <c r="H243" s="135"/>
      <c r="I243" s="135"/>
      <c r="J243" s="135"/>
      <c r="K243" s="189"/>
      <c r="L243" s="135"/>
      <c r="M243" s="135"/>
      <c r="N243" s="135"/>
      <c r="O243" s="135"/>
      <c r="P243" s="135"/>
      <c r="Q243" s="189"/>
      <c r="R243" s="135"/>
      <c r="S243" s="135"/>
      <c r="T243" s="135"/>
      <c r="U243" s="135"/>
      <c r="V243" s="189"/>
      <c r="W243" s="135"/>
      <c r="X243" s="135"/>
    </row>
    <row r="244" customFormat="false" ht="15.75" hidden="false" customHeight="true" outlineLevel="0" collapsed="false">
      <c r="A244" s="135"/>
      <c r="B244" s="189"/>
      <c r="C244" s="135"/>
      <c r="D244" s="189"/>
      <c r="E244" s="135"/>
      <c r="F244" s="135"/>
      <c r="G244" s="135"/>
      <c r="H244" s="135"/>
      <c r="I244" s="135"/>
      <c r="J244" s="135"/>
      <c r="K244" s="189"/>
      <c r="L244" s="135"/>
      <c r="M244" s="135"/>
      <c r="N244" s="135"/>
      <c r="O244" s="135"/>
      <c r="P244" s="135"/>
      <c r="Q244" s="189"/>
      <c r="R244" s="135"/>
      <c r="S244" s="135"/>
      <c r="T244" s="135"/>
      <c r="U244" s="135"/>
      <c r="V244" s="189"/>
      <c r="W244" s="135"/>
      <c r="X244" s="135"/>
    </row>
    <row r="245" customFormat="false" ht="15.75" hidden="false" customHeight="true" outlineLevel="0" collapsed="false">
      <c r="A245" s="135"/>
      <c r="B245" s="189"/>
      <c r="C245" s="135"/>
      <c r="D245" s="189"/>
      <c r="E245" s="135"/>
      <c r="F245" s="135"/>
      <c r="G245" s="135"/>
      <c r="H245" s="135"/>
      <c r="I245" s="135"/>
      <c r="J245" s="135"/>
      <c r="K245" s="189"/>
      <c r="L245" s="135"/>
      <c r="M245" s="135"/>
      <c r="N245" s="135"/>
      <c r="O245" s="135"/>
      <c r="P245" s="135"/>
      <c r="Q245" s="189"/>
      <c r="R245" s="135"/>
      <c r="S245" s="135"/>
      <c r="T245" s="135"/>
      <c r="U245" s="135"/>
      <c r="V245" s="189"/>
      <c r="W245" s="135"/>
      <c r="X245" s="135"/>
    </row>
    <row r="246" customFormat="false" ht="15.75" hidden="false" customHeight="true" outlineLevel="0" collapsed="false">
      <c r="A246" s="135"/>
      <c r="B246" s="189"/>
      <c r="C246" s="135"/>
      <c r="D246" s="189"/>
      <c r="E246" s="135"/>
      <c r="F246" s="135"/>
      <c r="G246" s="135"/>
      <c r="H246" s="135"/>
      <c r="I246" s="135"/>
      <c r="J246" s="135"/>
      <c r="K246" s="189"/>
      <c r="L246" s="135"/>
      <c r="M246" s="135"/>
      <c r="N246" s="135"/>
      <c r="O246" s="135"/>
      <c r="P246" s="135"/>
      <c r="Q246" s="189"/>
      <c r="R246" s="135"/>
      <c r="S246" s="135"/>
      <c r="T246" s="135"/>
      <c r="U246" s="135"/>
      <c r="V246" s="189"/>
      <c r="W246" s="135"/>
      <c r="X246" s="135"/>
    </row>
    <row r="247" customFormat="false" ht="15.75" hidden="false" customHeight="true" outlineLevel="0" collapsed="false">
      <c r="A247" s="135"/>
      <c r="B247" s="189"/>
      <c r="C247" s="135"/>
      <c r="D247" s="189"/>
      <c r="E247" s="135"/>
      <c r="F247" s="135"/>
      <c r="G247" s="135"/>
      <c r="H247" s="135"/>
      <c r="I247" s="135"/>
      <c r="J247" s="135"/>
      <c r="K247" s="189"/>
      <c r="L247" s="135"/>
      <c r="M247" s="135"/>
      <c r="N247" s="135"/>
      <c r="O247" s="135"/>
      <c r="P247" s="135"/>
      <c r="Q247" s="189"/>
      <c r="R247" s="135"/>
      <c r="S247" s="135"/>
      <c r="T247" s="135"/>
      <c r="U247" s="135"/>
      <c r="V247" s="189"/>
      <c r="W247" s="135"/>
      <c r="X247" s="135"/>
    </row>
    <row r="248" customFormat="false" ht="15.75" hidden="false" customHeight="true" outlineLevel="0" collapsed="false">
      <c r="A248" s="135"/>
      <c r="B248" s="189"/>
      <c r="C248" s="135"/>
      <c r="D248" s="189"/>
      <c r="E248" s="135"/>
      <c r="F248" s="135"/>
      <c r="G248" s="135"/>
      <c r="H248" s="135"/>
      <c r="I248" s="135"/>
      <c r="J248" s="135"/>
      <c r="K248" s="189"/>
      <c r="L248" s="135"/>
      <c r="M248" s="135"/>
      <c r="N248" s="135"/>
      <c r="O248" s="135"/>
      <c r="P248" s="135"/>
      <c r="Q248" s="189"/>
      <c r="R248" s="135"/>
      <c r="S248" s="135"/>
      <c r="T248" s="135"/>
      <c r="U248" s="135"/>
      <c r="V248" s="189"/>
      <c r="W248" s="135"/>
      <c r="X248" s="135"/>
    </row>
    <row r="249" customFormat="false" ht="15.75" hidden="false" customHeight="true" outlineLevel="0" collapsed="false">
      <c r="A249" s="135"/>
      <c r="B249" s="189"/>
      <c r="C249" s="135"/>
      <c r="D249" s="189"/>
      <c r="E249" s="135"/>
      <c r="F249" s="135"/>
      <c r="G249" s="135"/>
      <c r="H249" s="135"/>
      <c r="I249" s="135"/>
      <c r="J249" s="135"/>
      <c r="K249" s="189"/>
      <c r="L249" s="135"/>
      <c r="M249" s="135"/>
      <c r="N249" s="135"/>
      <c r="O249" s="135"/>
      <c r="P249" s="135"/>
      <c r="Q249" s="189"/>
      <c r="R249" s="135"/>
      <c r="S249" s="135"/>
      <c r="T249" s="135"/>
      <c r="U249" s="135"/>
      <c r="V249" s="189"/>
      <c r="W249" s="135"/>
      <c r="X249" s="135"/>
    </row>
    <row r="250" customFormat="false" ht="15.75" hidden="false" customHeight="true" outlineLevel="0" collapsed="false">
      <c r="A250" s="135"/>
      <c r="B250" s="189"/>
      <c r="C250" s="135"/>
      <c r="D250" s="189"/>
      <c r="E250" s="135"/>
      <c r="F250" s="135"/>
      <c r="G250" s="135"/>
      <c r="H250" s="135"/>
      <c r="I250" s="135"/>
      <c r="J250" s="135"/>
      <c r="K250" s="189"/>
      <c r="L250" s="135"/>
      <c r="M250" s="135"/>
      <c r="N250" s="135"/>
      <c r="O250" s="135"/>
      <c r="P250" s="135"/>
      <c r="Q250" s="189"/>
      <c r="R250" s="135"/>
      <c r="S250" s="135"/>
      <c r="T250" s="135"/>
      <c r="U250" s="135"/>
      <c r="V250" s="189"/>
      <c r="W250" s="135"/>
      <c r="X250" s="135"/>
    </row>
    <row r="251" customFormat="false" ht="15.75" hidden="false" customHeight="true" outlineLevel="0" collapsed="false">
      <c r="A251" s="135"/>
      <c r="B251" s="189"/>
      <c r="C251" s="135"/>
      <c r="D251" s="189"/>
      <c r="E251" s="135"/>
      <c r="F251" s="135"/>
      <c r="G251" s="135"/>
      <c r="H251" s="135"/>
      <c r="I251" s="135"/>
      <c r="J251" s="135"/>
      <c r="K251" s="189"/>
      <c r="L251" s="135"/>
      <c r="M251" s="135"/>
      <c r="N251" s="135"/>
      <c r="O251" s="135"/>
      <c r="P251" s="135"/>
      <c r="Q251" s="189"/>
      <c r="R251" s="135"/>
      <c r="S251" s="135"/>
      <c r="T251" s="135"/>
      <c r="U251" s="135"/>
      <c r="V251" s="189"/>
      <c r="W251" s="135"/>
      <c r="X251" s="135"/>
    </row>
    <row r="252" customFormat="false" ht="15.75" hidden="false" customHeight="true" outlineLevel="0" collapsed="false">
      <c r="A252" s="135"/>
      <c r="B252" s="189"/>
      <c r="C252" s="135"/>
      <c r="D252" s="189"/>
      <c r="E252" s="135"/>
      <c r="F252" s="135"/>
      <c r="G252" s="135"/>
      <c r="H252" s="135"/>
      <c r="I252" s="135"/>
      <c r="J252" s="135"/>
      <c r="K252" s="189"/>
      <c r="L252" s="135"/>
      <c r="M252" s="135"/>
      <c r="N252" s="135"/>
      <c r="O252" s="135"/>
      <c r="P252" s="135"/>
      <c r="Q252" s="189"/>
      <c r="R252" s="135"/>
      <c r="S252" s="135"/>
      <c r="T252" s="135"/>
      <c r="U252" s="135"/>
      <c r="V252" s="189"/>
      <c r="W252" s="135"/>
      <c r="X252" s="135"/>
    </row>
    <row r="253" customFormat="false" ht="15.75" hidden="false" customHeight="true" outlineLevel="0" collapsed="false">
      <c r="A253" s="135"/>
      <c r="B253" s="189"/>
      <c r="C253" s="135"/>
      <c r="D253" s="189"/>
      <c r="E253" s="135"/>
      <c r="F253" s="135"/>
      <c r="G253" s="135"/>
      <c r="H253" s="135"/>
      <c r="I253" s="135"/>
      <c r="J253" s="135"/>
      <c r="K253" s="189"/>
      <c r="L253" s="135"/>
      <c r="M253" s="135"/>
      <c r="N253" s="135"/>
      <c r="O253" s="135"/>
      <c r="P253" s="135"/>
      <c r="Q253" s="189"/>
      <c r="R253" s="135"/>
      <c r="S253" s="135"/>
      <c r="T253" s="135"/>
      <c r="U253" s="135"/>
      <c r="V253" s="189"/>
      <c r="W253" s="135"/>
      <c r="X253" s="135"/>
    </row>
    <row r="254" customFormat="false" ht="15.75" hidden="false" customHeight="true" outlineLevel="0" collapsed="false">
      <c r="A254" s="135"/>
      <c r="B254" s="189"/>
      <c r="C254" s="135"/>
      <c r="D254" s="189"/>
      <c r="E254" s="135"/>
      <c r="F254" s="135"/>
      <c r="G254" s="135"/>
      <c r="H254" s="135"/>
      <c r="I254" s="135"/>
      <c r="J254" s="135"/>
      <c r="K254" s="189"/>
      <c r="L254" s="135"/>
      <c r="M254" s="135"/>
      <c r="N254" s="135"/>
      <c r="O254" s="135"/>
      <c r="P254" s="135"/>
      <c r="Q254" s="189"/>
      <c r="R254" s="135"/>
      <c r="S254" s="135"/>
      <c r="T254" s="135"/>
      <c r="U254" s="135"/>
      <c r="V254" s="189"/>
      <c r="W254" s="135"/>
      <c r="X254" s="135"/>
    </row>
    <row r="255" customFormat="false" ht="15.75" hidden="false" customHeight="true" outlineLevel="0" collapsed="false">
      <c r="A255" s="135"/>
      <c r="B255" s="189"/>
      <c r="C255" s="135"/>
      <c r="D255" s="189"/>
      <c r="E255" s="135"/>
      <c r="F255" s="135"/>
      <c r="G255" s="135"/>
      <c r="H255" s="135"/>
      <c r="I255" s="135"/>
      <c r="J255" s="135"/>
      <c r="K255" s="189"/>
      <c r="L255" s="135"/>
      <c r="M255" s="135"/>
      <c r="N255" s="135"/>
      <c r="O255" s="135"/>
      <c r="P255" s="135"/>
      <c r="Q255" s="189"/>
      <c r="R255" s="135"/>
      <c r="S255" s="135"/>
      <c r="T255" s="135"/>
      <c r="U255" s="135"/>
      <c r="V255" s="189"/>
      <c r="W255" s="135"/>
      <c r="X255" s="135"/>
    </row>
    <row r="256" customFormat="false" ht="15.75" hidden="false" customHeight="true" outlineLevel="0" collapsed="false">
      <c r="A256" s="135"/>
      <c r="B256" s="189"/>
      <c r="C256" s="135"/>
      <c r="D256" s="189"/>
      <c r="E256" s="135"/>
      <c r="F256" s="135"/>
      <c r="G256" s="135"/>
      <c r="H256" s="135"/>
      <c r="I256" s="135"/>
      <c r="J256" s="135"/>
      <c r="K256" s="189"/>
      <c r="L256" s="135"/>
      <c r="M256" s="135"/>
      <c r="N256" s="135"/>
      <c r="O256" s="135"/>
      <c r="P256" s="135"/>
      <c r="Q256" s="189"/>
      <c r="R256" s="135"/>
      <c r="S256" s="135"/>
      <c r="T256" s="135"/>
      <c r="U256" s="135"/>
      <c r="V256" s="189"/>
      <c r="W256" s="135"/>
      <c r="X256" s="135"/>
    </row>
    <row r="257" customFormat="false" ht="15.75" hidden="false" customHeight="true" outlineLevel="0" collapsed="false">
      <c r="A257" s="135"/>
      <c r="B257" s="189"/>
      <c r="C257" s="135"/>
      <c r="D257" s="189"/>
      <c r="E257" s="135"/>
      <c r="F257" s="135"/>
      <c r="G257" s="135"/>
      <c r="H257" s="135"/>
      <c r="I257" s="135"/>
      <c r="J257" s="135"/>
      <c r="K257" s="189"/>
      <c r="L257" s="135"/>
      <c r="M257" s="135"/>
      <c r="N257" s="135"/>
      <c r="O257" s="135"/>
      <c r="P257" s="135"/>
      <c r="Q257" s="189"/>
      <c r="R257" s="135"/>
      <c r="S257" s="135"/>
      <c r="T257" s="135"/>
      <c r="U257" s="135"/>
      <c r="V257" s="189"/>
      <c r="W257" s="135"/>
      <c r="X257" s="135"/>
    </row>
    <row r="258" customFormat="false" ht="15.75" hidden="false" customHeight="true" outlineLevel="0" collapsed="false">
      <c r="A258" s="135"/>
      <c r="B258" s="189"/>
      <c r="C258" s="135"/>
      <c r="D258" s="189"/>
      <c r="E258" s="135"/>
      <c r="F258" s="135"/>
      <c r="G258" s="135"/>
      <c r="H258" s="135"/>
      <c r="I258" s="135"/>
      <c r="J258" s="135"/>
      <c r="K258" s="189"/>
      <c r="L258" s="135"/>
      <c r="M258" s="135"/>
      <c r="N258" s="135"/>
      <c r="O258" s="135"/>
      <c r="P258" s="135"/>
      <c r="Q258" s="189"/>
      <c r="R258" s="135"/>
      <c r="S258" s="135"/>
      <c r="T258" s="135"/>
      <c r="U258" s="135"/>
      <c r="V258" s="189"/>
      <c r="W258" s="135"/>
      <c r="X258" s="135"/>
    </row>
    <row r="259" customFormat="false" ht="15.75" hidden="false" customHeight="true" outlineLevel="0" collapsed="false">
      <c r="A259" s="135"/>
      <c r="B259" s="189"/>
      <c r="C259" s="135"/>
      <c r="D259" s="189"/>
      <c r="E259" s="135"/>
      <c r="F259" s="135"/>
      <c r="G259" s="135"/>
      <c r="H259" s="135"/>
      <c r="I259" s="135"/>
      <c r="J259" s="135"/>
      <c r="K259" s="189"/>
      <c r="L259" s="135"/>
      <c r="M259" s="135"/>
      <c r="N259" s="135"/>
      <c r="O259" s="135"/>
      <c r="P259" s="135"/>
      <c r="Q259" s="189"/>
      <c r="R259" s="135"/>
      <c r="S259" s="135"/>
      <c r="T259" s="135"/>
      <c r="U259" s="135"/>
      <c r="V259" s="189"/>
      <c r="W259" s="135"/>
      <c r="X259" s="135"/>
    </row>
    <row r="260" customFormat="false" ht="15.75" hidden="false" customHeight="true" outlineLevel="0" collapsed="false">
      <c r="A260" s="135"/>
      <c r="B260" s="189"/>
      <c r="C260" s="135"/>
      <c r="D260" s="189"/>
      <c r="E260" s="135"/>
      <c r="F260" s="135"/>
      <c r="G260" s="135"/>
      <c r="H260" s="135"/>
      <c r="I260" s="135"/>
      <c r="J260" s="135"/>
      <c r="K260" s="189"/>
      <c r="L260" s="135"/>
      <c r="M260" s="135"/>
      <c r="N260" s="135"/>
      <c r="O260" s="135"/>
      <c r="P260" s="135"/>
      <c r="Q260" s="189"/>
      <c r="R260" s="135"/>
      <c r="S260" s="135"/>
      <c r="T260" s="135"/>
      <c r="U260" s="135"/>
      <c r="V260" s="189"/>
      <c r="W260" s="135"/>
      <c r="X260" s="135"/>
    </row>
    <row r="261" customFormat="false" ht="15.75" hidden="false" customHeight="true" outlineLevel="0" collapsed="false">
      <c r="A261" s="135"/>
      <c r="B261" s="189"/>
      <c r="C261" s="135"/>
      <c r="D261" s="189"/>
      <c r="E261" s="135"/>
      <c r="F261" s="135"/>
      <c r="G261" s="135"/>
      <c r="H261" s="135"/>
      <c r="I261" s="135"/>
      <c r="J261" s="135"/>
      <c r="K261" s="189"/>
      <c r="L261" s="135"/>
      <c r="M261" s="135"/>
      <c r="N261" s="135"/>
      <c r="O261" s="135"/>
      <c r="P261" s="135"/>
      <c r="Q261" s="189"/>
      <c r="R261" s="135"/>
      <c r="S261" s="135"/>
      <c r="T261" s="135"/>
      <c r="U261" s="135"/>
      <c r="V261" s="189"/>
      <c r="W261" s="135"/>
      <c r="X261" s="135"/>
    </row>
    <row r="262" customFormat="false" ht="15.75" hidden="false" customHeight="true" outlineLevel="0" collapsed="false">
      <c r="A262" s="135"/>
      <c r="B262" s="189"/>
      <c r="C262" s="135"/>
      <c r="D262" s="189"/>
      <c r="E262" s="135"/>
      <c r="F262" s="135"/>
      <c r="G262" s="135"/>
      <c r="H262" s="135"/>
      <c r="I262" s="135"/>
      <c r="J262" s="135"/>
      <c r="K262" s="189"/>
      <c r="L262" s="135"/>
      <c r="M262" s="135"/>
      <c r="N262" s="135"/>
      <c r="O262" s="135"/>
      <c r="P262" s="135"/>
      <c r="Q262" s="189"/>
      <c r="R262" s="135"/>
      <c r="S262" s="135"/>
      <c r="T262" s="135"/>
      <c r="U262" s="135"/>
      <c r="V262" s="189"/>
      <c r="W262" s="135"/>
      <c r="X262" s="135"/>
    </row>
    <row r="263" customFormat="false" ht="15.75" hidden="false" customHeight="true" outlineLevel="0" collapsed="false">
      <c r="A263" s="135"/>
      <c r="B263" s="189"/>
      <c r="C263" s="135"/>
      <c r="D263" s="189"/>
      <c r="E263" s="135"/>
      <c r="F263" s="135"/>
      <c r="G263" s="135"/>
      <c r="H263" s="135"/>
      <c r="I263" s="135"/>
      <c r="J263" s="135"/>
      <c r="K263" s="189"/>
      <c r="L263" s="135"/>
      <c r="M263" s="135"/>
      <c r="N263" s="135"/>
      <c r="O263" s="135"/>
      <c r="P263" s="135"/>
      <c r="Q263" s="189"/>
      <c r="R263" s="135"/>
      <c r="S263" s="135"/>
      <c r="T263" s="135"/>
      <c r="U263" s="135"/>
      <c r="V263" s="189"/>
      <c r="W263" s="135"/>
      <c r="X263" s="135"/>
    </row>
    <row r="264" customFormat="false" ht="15.75" hidden="false" customHeight="true" outlineLevel="0" collapsed="false">
      <c r="A264" s="135"/>
      <c r="B264" s="189"/>
      <c r="C264" s="135"/>
      <c r="D264" s="189"/>
      <c r="E264" s="135"/>
      <c r="F264" s="135"/>
      <c r="G264" s="135"/>
      <c r="H264" s="135"/>
      <c r="I264" s="135"/>
      <c r="J264" s="135"/>
      <c r="K264" s="189"/>
      <c r="L264" s="135"/>
      <c r="M264" s="135"/>
      <c r="N264" s="135"/>
      <c r="O264" s="135"/>
      <c r="P264" s="135"/>
      <c r="Q264" s="189"/>
      <c r="R264" s="135"/>
      <c r="S264" s="135"/>
      <c r="T264" s="135"/>
      <c r="U264" s="135"/>
      <c r="V264" s="189"/>
      <c r="W264" s="135"/>
      <c r="X264" s="135"/>
    </row>
    <row r="265" customFormat="false" ht="15.75" hidden="false" customHeight="true" outlineLevel="0" collapsed="false">
      <c r="A265" s="135"/>
      <c r="B265" s="189"/>
      <c r="C265" s="135"/>
      <c r="D265" s="189"/>
      <c r="E265" s="135"/>
      <c r="F265" s="135"/>
      <c r="G265" s="135"/>
      <c r="H265" s="135"/>
      <c r="I265" s="135"/>
      <c r="J265" s="135"/>
      <c r="K265" s="189"/>
      <c r="L265" s="135"/>
      <c r="M265" s="135"/>
      <c r="N265" s="135"/>
      <c r="O265" s="135"/>
      <c r="P265" s="135"/>
      <c r="Q265" s="189"/>
      <c r="R265" s="135"/>
      <c r="S265" s="135"/>
      <c r="T265" s="135"/>
      <c r="U265" s="135"/>
      <c r="V265" s="189"/>
      <c r="W265" s="135"/>
      <c r="X265" s="135"/>
    </row>
    <row r="266" customFormat="false" ht="15.75" hidden="false" customHeight="true" outlineLevel="0" collapsed="false">
      <c r="A266" s="135"/>
      <c r="B266" s="189"/>
      <c r="C266" s="135"/>
      <c r="D266" s="189"/>
      <c r="E266" s="135"/>
      <c r="F266" s="135"/>
      <c r="G266" s="135"/>
      <c r="H266" s="135"/>
      <c r="I266" s="135"/>
      <c r="J266" s="135"/>
      <c r="K266" s="189"/>
      <c r="L266" s="135"/>
      <c r="M266" s="135"/>
      <c r="N266" s="135"/>
      <c r="O266" s="135"/>
      <c r="P266" s="135"/>
      <c r="Q266" s="189"/>
      <c r="R266" s="135"/>
      <c r="S266" s="135"/>
      <c r="T266" s="135"/>
      <c r="U266" s="135"/>
      <c r="V266" s="189"/>
      <c r="W266" s="135"/>
      <c r="X266" s="135"/>
    </row>
    <row r="267" customFormat="false" ht="15.75" hidden="false" customHeight="true" outlineLevel="0" collapsed="false">
      <c r="A267" s="135"/>
      <c r="B267" s="189"/>
      <c r="C267" s="135"/>
      <c r="D267" s="189"/>
      <c r="E267" s="135"/>
      <c r="F267" s="135"/>
      <c r="G267" s="135"/>
      <c r="H267" s="135"/>
      <c r="I267" s="135"/>
      <c r="J267" s="135"/>
      <c r="K267" s="189"/>
      <c r="L267" s="135"/>
      <c r="M267" s="135"/>
      <c r="N267" s="135"/>
      <c r="O267" s="135"/>
      <c r="P267" s="135"/>
      <c r="Q267" s="189"/>
      <c r="R267" s="135"/>
      <c r="S267" s="135"/>
      <c r="T267" s="135"/>
      <c r="U267" s="135"/>
      <c r="V267" s="189"/>
      <c r="W267" s="135"/>
      <c r="X267" s="135"/>
    </row>
    <row r="268" customFormat="false" ht="15.75" hidden="false" customHeight="true" outlineLevel="0" collapsed="false">
      <c r="A268" s="135"/>
      <c r="B268" s="189"/>
      <c r="C268" s="135"/>
      <c r="D268" s="189"/>
      <c r="E268" s="135"/>
      <c r="F268" s="135"/>
      <c r="G268" s="135"/>
      <c r="H268" s="135"/>
      <c r="I268" s="135"/>
      <c r="J268" s="135"/>
      <c r="K268" s="189"/>
      <c r="L268" s="135"/>
      <c r="M268" s="135"/>
      <c r="N268" s="135"/>
      <c r="O268" s="135"/>
      <c r="P268" s="135"/>
      <c r="Q268" s="189"/>
      <c r="R268" s="135"/>
      <c r="S268" s="135"/>
      <c r="T268" s="135"/>
      <c r="U268" s="135"/>
      <c r="V268" s="189"/>
      <c r="W268" s="135"/>
      <c r="X268" s="135"/>
    </row>
    <row r="269" customFormat="false" ht="15.75" hidden="false" customHeight="true" outlineLevel="0" collapsed="false">
      <c r="A269" s="135"/>
      <c r="B269" s="189"/>
      <c r="C269" s="135"/>
      <c r="D269" s="189"/>
      <c r="E269" s="135"/>
      <c r="F269" s="135"/>
      <c r="G269" s="135"/>
      <c r="H269" s="135"/>
      <c r="I269" s="135"/>
      <c r="J269" s="135"/>
      <c r="K269" s="189"/>
      <c r="L269" s="135"/>
      <c r="M269" s="135"/>
      <c r="N269" s="135"/>
      <c r="O269" s="135"/>
      <c r="P269" s="135"/>
      <c r="Q269" s="189"/>
      <c r="R269" s="135"/>
      <c r="S269" s="135"/>
      <c r="T269" s="135"/>
      <c r="U269" s="135"/>
      <c r="V269" s="189"/>
      <c r="W269" s="135"/>
      <c r="X269" s="135"/>
    </row>
    <row r="270" customFormat="false" ht="15.75" hidden="false" customHeight="true" outlineLevel="0" collapsed="false">
      <c r="A270" s="135"/>
      <c r="B270" s="189"/>
      <c r="C270" s="135"/>
      <c r="D270" s="189"/>
      <c r="E270" s="135"/>
      <c r="F270" s="135"/>
      <c r="G270" s="135"/>
      <c r="H270" s="135"/>
      <c r="I270" s="135"/>
      <c r="J270" s="135"/>
      <c r="K270" s="189"/>
      <c r="L270" s="135"/>
      <c r="M270" s="135"/>
      <c r="N270" s="135"/>
      <c r="O270" s="135"/>
      <c r="P270" s="135"/>
      <c r="Q270" s="189"/>
      <c r="R270" s="135"/>
      <c r="S270" s="135"/>
      <c r="T270" s="135"/>
      <c r="U270" s="135"/>
      <c r="V270" s="189"/>
      <c r="W270" s="135"/>
      <c r="X270" s="135"/>
    </row>
    <row r="271" customFormat="false" ht="15.75" hidden="false" customHeight="true" outlineLevel="0" collapsed="false">
      <c r="A271" s="135"/>
      <c r="B271" s="189"/>
      <c r="C271" s="135"/>
      <c r="D271" s="189"/>
      <c r="E271" s="135"/>
      <c r="F271" s="135"/>
      <c r="G271" s="135"/>
      <c r="H271" s="135"/>
      <c r="I271" s="135"/>
      <c r="J271" s="135"/>
      <c r="K271" s="189"/>
      <c r="L271" s="135"/>
      <c r="M271" s="135"/>
      <c r="N271" s="135"/>
      <c r="O271" s="135"/>
      <c r="P271" s="135"/>
      <c r="Q271" s="189"/>
      <c r="R271" s="135"/>
      <c r="S271" s="135"/>
      <c r="T271" s="135"/>
      <c r="U271" s="135"/>
      <c r="V271" s="189"/>
      <c r="W271" s="135"/>
      <c r="X271" s="135"/>
    </row>
    <row r="272" customFormat="false" ht="15.75" hidden="false" customHeight="true" outlineLevel="0" collapsed="false">
      <c r="A272" s="135"/>
      <c r="B272" s="189"/>
      <c r="C272" s="135"/>
      <c r="D272" s="189"/>
      <c r="E272" s="135"/>
      <c r="F272" s="135"/>
      <c r="G272" s="135"/>
      <c r="H272" s="135"/>
      <c r="I272" s="135"/>
      <c r="J272" s="135"/>
      <c r="K272" s="189"/>
      <c r="L272" s="135"/>
      <c r="M272" s="135"/>
      <c r="N272" s="135"/>
      <c r="O272" s="135"/>
      <c r="P272" s="135"/>
      <c r="Q272" s="189"/>
      <c r="R272" s="135"/>
      <c r="S272" s="135"/>
      <c r="T272" s="135"/>
      <c r="U272" s="135"/>
      <c r="V272" s="189"/>
      <c r="W272" s="135"/>
      <c r="X272" s="135"/>
    </row>
    <row r="273" customFormat="false" ht="15.75" hidden="false" customHeight="true" outlineLevel="0" collapsed="false">
      <c r="A273" s="135"/>
      <c r="B273" s="189"/>
      <c r="C273" s="135"/>
      <c r="D273" s="189"/>
      <c r="E273" s="135"/>
      <c r="F273" s="135"/>
      <c r="G273" s="135"/>
      <c r="H273" s="135"/>
      <c r="I273" s="135"/>
      <c r="J273" s="135"/>
      <c r="K273" s="189"/>
      <c r="L273" s="135"/>
      <c r="M273" s="135"/>
      <c r="N273" s="135"/>
      <c r="O273" s="135"/>
      <c r="P273" s="135"/>
      <c r="Q273" s="189"/>
      <c r="R273" s="135"/>
      <c r="S273" s="135"/>
      <c r="T273" s="135"/>
      <c r="U273" s="135"/>
      <c r="V273" s="189"/>
      <c r="W273" s="135"/>
      <c r="X273" s="135"/>
    </row>
    <row r="274" customFormat="false" ht="15.75" hidden="false" customHeight="true" outlineLevel="0" collapsed="false">
      <c r="A274" s="135"/>
      <c r="B274" s="189"/>
      <c r="C274" s="135"/>
      <c r="D274" s="189"/>
      <c r="E274" s="135"/>
      <c r="F274" s="135"/>
      <c r="G274" s="135"/>
      <c r="H274" s="135"/>
      <c r="I274" s="135"/>
      <c r="J274" s="135"/>
      <c r="K274" s="189"/>
      <c r="L274" s="135"/>
      <c r="M274" s="135"/>
      <c r="N274" s="135"/>
      <c r="O274" s="135"/>
      <c r="P274" s="135"/>
      <c r="Q274" s="189"/>
      <c r="R274" s="135"/>
      <c r="S274" s="135"/>
      <c r="T274" s="135"/>
      <c r="U274" s="135"/>
      <c r="V274" s="189"/>
      <c r="W274" s="135"/>
      <c r="X274" s="135"/>
    </row>
    <row r="275" customFormat="false" ht="15.75" hidden="false" customHeight="true" outlineLevel="0" collapsed="false">
      <c r="A275" s="135"/>
      <c r="B275" s="189"/>
      <c r="C275" s="135"/>
      <c r="D275" s="189"/>
      <c r="E275" s="135"/>
      <c r="F275" s="135"/>
      <c r="G275" s="135"/>
      <c r="H275" s="135"/>
      <c r="I275" s="135"/>
      <c r="J275" s="135"/>
      <c r="K275" s="189"/>
      <c r="L275" s="135"/>
      <c r="M275" s="135"/>
      <c r="N275" s="135"/>
      <c r="O275" s="135"/>
      <c r="P275" s="135"/>
      <c r="Q275" s="189"/>
      <c r="R275" s="135"/>
      <c r="S275" s="135"/>
      <c r="T275" s="135"/>
      <c r="U275" s="135"/>
      <c r="V275" s="189"/>
      <c r="W275" s="135"/>
      <c r="X275" s="135"/>
    </row>
    <row r="276" customFormat="false" ht="15.75" hidden="false" customHeight="true" outlineLevel="0" collapsed="false">
      <c r="A276" s="135"/>
      <c r="B276" s="189"/>
      <c r="C276" s="135"/>
      <c r="D276" s="189"/>
      <c r="E276" s="135"/>
      <c r="F276" s="135"/>
      <c r="G276" s="135"/>
      <c r="H276" s="135"/>
      <c r="I276" s="135"/>
      <c r="J276" s="135"/>
      <c r="K276" s="189"/>
      <c r="L276" s="135"/>
      <c r="M276" s="135"/>
      <c r="N276" s="135"/>
      <c r="O276" s="135"/>
      <c r="P276" s="135"/>
      <c r="Q276" s="189"/>
      <c r="R276" s="135"/>
      <c r="S276" s="135"/>
      <c r="T276" s="135"/>
      <c r="U276" s="135"/>
      <c r="V276" s="189"/>
      <c r="W276" s="135"/>
      <c r="X276" s="135"/>
    </row>
    <row r="277" customFormat="false" ht="15.75" hidden="false" customHeight="true" outlineLevel="0" collapsed="false">
      <c r="A277" s="135"/>
      <c r="B277" s="189"/>
      <c r="C277" s="135"/>
      <c r="D277" s="189"/>
      <c r="E277" s="135"/>
      <c r="F277" s="135"/>
      <c r="G277" s="135"/>
      <c r="H277" s="135"/>
      <c r="I277" s="135"/>
      <c r="J277" s="135"/>
      <c r="K277" s="189"/>
      <c r="L277" s="135"/>
      <c r="M277" s="135"/>
      <c r="N277" s="135"/>
      <c r="O277" s="135"/>
      <c r="P277" s="135"/>
      <c r="Q277" s="189"/>
      <c r="R277" s="135"/>
      <c r="S277" s="135"/>
      <c r="T277" s="135"/>
      <c r="U277" s="135"/>
      <c r="V277" s="189"/>
      <c r="W277" s="135"/>
      <c r="X277" s="135"/>
    </row>
    <row r="278" customFormat="false" ht="15.75" hidden="false" customHeight="true" outlineLevel="0" collapsed="false">
      <c r="A278" s="135"/>
      <c r="B278" s="189"/>
      <c r="C278" s="135"/>
      <c r="D278" s="189"/>
      <c r="E278" s="135"/>
      <c r="F278" s="135"/>
      <c r="G278" s="135"/>
      <c r="H278" s="135"/>
      <c r="I278" s="135"/>
      <c r="J278" s="135"/>
      <c r="K278" s="189"/>
      <c r="L278" s="135"/>
      <c r="M278" s="135"/>
      <c r="N278" s="135"/>
      <c r="O278" s="135"/>
      <c r="P278" s="135"/>
      <c r="Q278" s="189"/>
      <c r="R278" s="135"/>
      <c r="S278" s="135"/>
      <c r="T278" s="135"/>
      <c r="U278" s="135"/>
      <c r="V278" s="189"/>
      <c r="W278" s="135"/>
      <c r="X278" s="135"/>
    </row>
    <row r="279" customFormat="false" ht="15.75" hidden="false" customHeight="true" outlineLevel="0" collapsed="false">
      <c r="A279" s="135"/>
      <c r="B279" s="189"/>
      <c r="C279" s="135"/>
      <c r="D279" s="189"/>
      <c r="E279" s="135"/>
      <c r="F279" s="135"/>
      <c r="G279" s="135"/>
      <c r="H279" s="135"/>
      <c r="I279" s="135"/>
      <c r="J279" s="135"/>
      <c r="K279" s="189"/>
      <c r="L279" s="135"/>
      <c r="M279" s="135"/>
      <c r="N279" s="135"/>
      <c r="O279" s="135"/>
      <c r="P279" s="135"/>
      <c r="Q279" s="189"/>
      <c r="R279" s="135"/>
      <c r="S279" s="135"/>
      <c r="T279" s="135"/>
      <c r="U279" s="135"/>
      <c r="V279" s="189"/>
      <c r="W279" s="135"/>
      <c r="X279" s="135"/>
    </row>
    <row r="280" customFormat="false" ht="15.75" hidden="false" customHeight="true" outlineLevel="0" collapsed="false">
      <c r="A280" s="135"/>
      <c r="B280" s="189"/>
      <c r="C280" s="135"/>
      <c r="D280" s="189"/>
      <c r="E280" s="135"/>
      <c r="F280" s="135"/>
      <c r="G280" s="135"/>
      <c r="H280" s="135"/>
      <c r="I280" s="135"/>
      <c r="J280" s="135"/>
      <c r="K280" s="189"/>
      <c r="L280" s="135"/>
      <c r="M280" s="135"/>
      <c r="N280" s="135"/>
      <c r="O280" s="135"/>
      <c r="P280" s="135"/>
      <c r="Q280" s="189"/>
      <c r="R280" s="135"/>
      <c r="S280" s="135"/>
      <c r="T280" s="135"/>
      <c r="U280" s="135"/>
      <c r="V280" s="189"/>
      <c r="W280" s="135"/>
      <c r="X280" s="135"/>
    </row>
    <row r="281" customFormat="false" ht="15.75" hidden="false" customHeight="true" outlineLevel="0" collapsed="false">
      <c r="A281" s="135"/>
      <c r="B281" s="189"/>
      <c r="C281" s="135"/>
      <c r="D281" s="189"/>
      <c r="E281" s="135"/>
      <c r="F281" s="135"/>
      <c r="G281" s="135"/>
      <c r="H281" s="135"/>
      <c r="I281" s="135"/>
      <c r="J281" s="135"/>
      <c r="K281" s="189"/>
      <c r="L281" s="135"/>
      <c r="M281" s="135"/>
      <c r="N281" s="135"/>
      <c r="O281" s="135"/>
      <c r="P281" s="135"/>
      <c r="Q281" s="189"/>
      <c r="R281" s="135"/>
      <c r="S281" s="135"/>
      <c r="T281" s="135"/>
      <c r="U281" s="135"/>
      <c r="V281" s="189"/>
      <c r="W281" s="135"/>
      <c r="X281" s="135"/>
    </row>
    <row r="282" customFormat="false" ht="15.75" hidden="false" customHeight="true" outlineLevel="0" collapsed="false">
      <c r="A282" s="135"/>
      <c r="B282" s="189"/>
      <c r="C282" s="135"/>
      <c r="D282" s="189"/>
      <c r="E282" s="135"/>
      <c r="F282" s="135"/>
      <c r="G282" s="135"/>
      <c r="H282" s="135"/>
      <c r="I282" s="135"/>
      <c r="J282" s="135"/>
      <c r="K282" s="189"/>
      <c r="L282" s="135"/>
      <c r="M282" s="135"/>
      <c r="N282" s="135"/>
      <c r="O282" s="135"/>
      <c r="P282" s="135"/>
      <c r="Q282" s="189"/>
      <c r="R282" s="135"/>
      <c r="S282" s="135"/>
      <c r="T282" s="135"/>
      <c r="U282" s="135"/>
      <c r="V282" s="189"/>
      <c r="W282" s="135"/>
      <c r="X282" s="135"/>
    </row>
    <row r="283" customFormat="false" ht="15.75" hidden="false" customHeight="true" outlineLevel="0" collapsed="false">
      <c r="A283" s="135"/>
      <c r="B283" s="189"/>
      <c r="C283" s="135"/>
      <c r="D283" s="189"/>
      <c r="E283" s="135"/>
      <c r="F283" s="135"/>
      <c r="G283" s="135"/>
      <c r="H283" s="135"/>
      <c r="I283" s="135"/>
      <c r="J283" s="135"/>
      <c r="K283" s="189"/>
      <c r="L283" s="135"/>
      <c r="M283" s="135"/>
      <c r="N283" s="135"/>
      <c r="O283" s="135"/>
      <c r="P283" s="135"/>
      <c r="Q283" s="189"/>
      <c r="R283" s="135"/>
      <c r="S283" s="135"/>
      <c r="T283" s="135"/>
      <c r="U283" s="135"/>
      <c r="V283" s="189"/>
      <c r="W283" s="135"/>
      <c r="X283" s="135"/>
    </row>
    <row r="284" customFormat="false" ht="15.75" hidden="false" customHeight="true" outlineLevel="0" collapsed="false">
      <c r="A284" s="135"/>
      <c r="B284" s="189"/>
      <c r="C284" s="135"/>
      <c r="D284" s="189"/>
      <c r="E284" s="135"/>
      <c r="F284" s="135"/>
      <c r="G284" s="135"/>
      <c r="H284" s="135"/>
      <c r="I284" s="135"/>
      <c r="J284" s="135"/>
      <c r="K284" s="189"/>
      <c r="L284" s="135"/>
      <c r="M284" s="135"/>
      <c r="N284" s="135"/>
      <c r="O284" s="135"/>
      <c r="P284" s="135"/>
      <c r="Q284" s="189"/>
      <c r="R284" s="135"/>
      <c r="S284" s="135"/>
      <c r="T284" s="135"/>
      <c r="U284" s="135"/>
      <c r="V284" s="189"/>
      <c r="W284" s="135"/>
      <c r="X284" s="135"/>
    </row>
    <row r="285" customFormat="false" ht="15.75" hidden="false" customHeight="true" outlineLevel="0" collapsed="false">
      <c r="A285" s="135"/>
      <c r="B285" s="189"/>
      <c r="C285" s="135"/>
      <c r="D285" s="189"/>
      <c r="E285" s="135"/>
      <c r="F285" s="135"/>
      <c r="G285" s="135"/>
      <c r="H285" s="135"/>
      <c r="I285" s="135"/>
      <c r="J285" s="135"/>
      <c r="K285" s="189"/>
      <c r="L285" s="135"/>
      <c r="M285" s="135"/>
      <c r="N285" s="135"/>
      <c r="O285" s="135"/>
      <c r="P285" s="135"/>
      <c r="Q285" s="189"/>
      <c r="R285" s="135"/>
      <c r="S285" s="135"/>
      <c r="T285" s="135"/>
      <c r="U285" s="135"/>
      <c r="V285" s="189"/>
      <c r="W285" s="135"/>
      <c r="X285" s="135"/>
    </row>
    <row r="286" customFormat="false" ht="15.75" hidden="false" customHeight="true" outlineLevel="0" collapsed="false">
      <c r="A286" s="135"/>
      <c r="B286" s="189"/>
      <c r="C286" s="135"/>
      <c r="D286" s="189"/>
      <c r="E286" s="135"/>
      <c r="F286" s="135"/>
      <c r="G286" s="135"/>
      <c r="H286" s="135"/>
      <c r="I286" s="135"/>
      <c r="J286" s="135"/>
      <c r="K286" s="189"/>
      <c r="L286" s="135"/>
      <c r="M286" s="135"/>
      <c r="N286" s="135"/>
      <c r="O286" s="135"/>
      <c r="P286" s="135"/>
      <c r="Q286" s="189"/>
      <c r="R286" s="135"/>
      <c r="S286" s="135"/>
      <c r="T286" s="135"/>
      <c r="U286" s="135"/>
      <c r="V286" s="189"/>
      <c r="W286" s="135"/>
      <c r="X286" s="135"/>
    </row>
    <row r="287" customFormat="false" ht="15.75" hidden="false" customHeight="true" outlineLevel="0" collapsed="false">
      <c r="A287" s="135"/>
      <c r="B287" s="189"/>
      <c r="C287" s="135"/>
      <c r="D287" s="189"/>
      <c r="E287" s="135"/>
      <c r="F287" s="135"/>
      <c r="G287" s="135"/>
      <c r="H287" s="135"/>
      <c r="I287" s="135"/>
      <c r="J287" s="135"/>
      <c r="K287" s="189"/>
      <c r="L287" s="135"/>
      <c r="M287" s="135"/>
      <c r="N287" s="135"/>
      <c r="O287" s="135"/>
      <c r="P287" s="135"/>
      <c r="Q287" s="189"/>
      <c r="R287" s="135"/>
      <c r="S287" s="135"/>
      <c r="T287" s="135"/>
      <c r="U287" s="135"/>
      <c r="V287" s="189"/>
      <c r="W287" s="135"/>
      <c r="X287" s="135"/>
    </row>
    <row r="288" customFormat="false" ht="15.75" hidden="false" customHeight="true" outlineLevel="0" collapsed="false">
      <c r="A288" s="135"/>
      <c r="B288" s="189"/>
      <c r="C288" s="135"/>
      <c r="D288" s="189"/>
      <c r="E288" s="135"/>
      <c r="F288" s="135"/>
      <c r="G288" s="135"/>
      <c r="H288" s="135"/>
      <c r="I288" s="135"/>
      <c r="J288" s="135"/>
      <c r="K288" s="189"/>
      <c r="L288" s="135"/>
      <c r="M288" s="135"/>
      <c r="N288" s="135"/>
      <c r="O288" s="135"/>
      <c r="P288" s="135"/>
      <c r="Q288" s="189"/>
      <c r="R288" s="135"/>
      <c r="S288" s="135"/>
      <c r="T288" s="135"/>
      <c r="U288" s="135"/>
      <c r="V288" s="189"/>
      <c r="W288" s="135"/>
      <c r="X288" s="135"/>
    </row>
    <row r="289" customFormat="false" ht="15.75" hidden="false" customHeight="true" outlineLevel="0" collapsed="false">
      <c r="A289" s="135"/>
      <c r="B289" s="189"/>
      <c r="C289" s="135"/>
      <c r="D289" s="189"/>
      <c r="E289" s="135"/>
      <c r="F289" s="135"/>
      <c r="G289" s="135"/>
      <c r="H289" s="135"/>
      <c r="I289" s="135"/>
      <c r="J289" s="135"/>
      <c r="K289" s="189"/>
      <c r="L289" s="135"/>
      <c r="M289" s="135"/>
      <c r="N289" s="135"/>
      <c r="O289" s="135"/>
      <c r="P289" s="135"/>
      <c r="Q289" s="189"/>
      <c r="R289" s="135"/>
      <c r="S289" s="135"/>
      <c r="T289" s="135"/>
      <c r="U289" s="135"/>
      <c r="V289" s="189"/>
      <c r="W289" s="135"/>
      <c r="X289" s="135"/>
    </row>
    <row r="290" customFormat="false" ht="15.75" hidden="false" customHeight="true" outlineLevel="0" collapsed="false">
      <c r="A290" s="135"/>
      <c r="B290" s="189"/>
      <c r="C290" s="135"/>
      <c r="D290" s="189"/>
      <c r="E290" s="135"/>
      <c r="F290" s="135"/>
      <c r="G290" s="135"/>
      <c r="H290" s="135"/>
      <c r="I290" s="135"/>
      <c r="J290" s="135"/>
      <c r="K290" s="189"/>
      <c r="L290" s="135"/>
      <c r="M290" s="135"/>
      <c r="N290" s="135"/>
      <c r="O290" s="135"/>
      <c r="P290" s="135"/>
      <c r="Q290" s="189"/>
      <c r="R290" s="135"/>
      <c r="S290" s="135"/>
      <c r="T290" s="135"/>
      <c r="U290" s="135"/>
      <c r="V290" s="189"/>
      <c r="W290" s="135"/>
      <c r="X290" s="135"/>
    </row>
    <row r="291" customFormat="false" ht="15.75" hidden="false" customHeight="true" outlineLevel="0" collapsed="false">
      <c r="A291" s="135"/>
      <c r="B291" s="189"/>
      <c r="C291" s="135"/>
      <c r="D291" s="189"/>
      <c r="E291" s="135"/>
      <c r="F291" s="135"/>
      <c r="G291" s="135"/>
      <c r="H291" s="135"/>
      <c r="I291" s="135"/>
      <c r="J291" s="135"/>
      <c r="K291" s="189"/>
      <c r="L291" s="135"/>
      <c r="M291" s="135"/>
      <c r="N291" s="135"/>
      <c r="O291" s="135"/>
      <c r="P291" s="135"/>
      <c r="Q291" s="189"/>
      <c r="R291" s="135"/>
      <c r="S291" s="135"/>
      <c r="T291" s="135"/>
      <c r="U291" s="135"/>
      <c r="V291" s="189"/>
      <c r="W291" s="135"/>
      <c r="X291" s="135"/>
    </row>
    <row r="292" customFormat="false" ht="15.75" hidden="false" customHeight="true" outlineLevel="0" collapsed="false">
      <c r="A292" s="135"/>
      <c r="B292" s="189"/>
      <c r="C292" s="135"/>
      <c r="D292" s="189"/>
      <c r="E292" s="135"/>
      <c r="F292" s="135"/>
      <c r="G292" s="135"/>
      <c r="H292" s="135"/>
      <c r="I292" s="135"/>
      <c r="J292" s="135"/>
      <c r="K292" s="189"/>
      <c r="L292" s="135"/>
      <c r="M292" s="135"/>
      <c r="N292" s="135"/>
      <c r="O292" s="135"/>
      <c r="P292" s="135"/>
      <c r="Q292" s="189"/>
      <c r="R292" s="135"/>
      <c r="S292" s="135"/>
      <c r="T292" s="135"/>
      <c r="U292" s="135"/>
      <c r="V292" s="189"/>
      <c r="W292" s="135"/>
      <c r="X292" s="135"/>
    </row>
    <row r="293" customFormat="false" ht="15.75" hidden="false" customHeight="true" outlineLevel="0" collapsed="false">
      <c r="A293" s="135"/>
      <c r="B293" s="189"/>
      <c r="C293" s="135"/>
      <c r="D293" s="189"/>
      <c r="E293" s="135"/>
      <c r="F293" s="135"/>
      <c r="G293" s="135"/>
      <c r="H293" s="135"/>
      <c r="I293" s="135"/>
      <c r="J293" s="135"/>
      <c r="K293" s="189"/>
      <c r="L293" s="135"/>
      <c r="M293" s="135"/>
      <c r="N293" s="135"/>
      <c r="O293" s="135"/>
      <c r="P293" s="135"/>
      <c r="Q293" s="189"/>
      <c r="R293" s="135"/>
      <c r="S293" s="135"/>
      <c r="T293" s="135"/>
      <c r="U293" s="135"/>
      <c r="V293" s="189"/>
      <c r="W293" s="135"/>
      <c r="X293" s="135"/>
    </row>
    <row r="294" customFormat="false" ht="15.75" hidden="false" customHeight="true" outlineLevel="0" collapsed="false">
      <c r="A294" s="135"/>
      <c r="B294" s="189"/>
      <c r="C294" s="135"/>
      <c r="D294" s="189"/>
      <c r="E294" s="135"/>
      <c r="F294" s="135"/>
      <c r="G294" s="135"/>
      <c r="H294" s="135"/>
      <c r="I294" s="135"/>
      <c r="J294" s="135"/>
      <c r="K294" s="189"/>
      <c r="L294" s="135"/>
      <c r="M294" s="135"/>
      <c r="N294" s="135"/>
      <c r="O294" s="135"/>
      <c r="P294" s="135"/>
      <c r="Q294" s="189"/>
      <c r="R294" s="135"/>
      <c r="S294" s="135"/>
      <c r="T294" s="135"/>
      <c r="U294" s="135"/>
      <c r="V294" s="189"/>
      <c r="W294" s="135"/>
      <c r="X294" s="135"/>
    </row>
    <row r="295" customFormat="false" ht="15.75" hidden="false" customHeight="true" outlineLevel="0" collapsed="false">
      <c r="A295" s="135"/>
      <c r="B295" s="189"/>
      <c r="C295" s="135"/>
      <c r="D295" s="189"/>
      <c r="E295" s="135"/>
      <c r="F295" s="135"/>
      <c r="G295" s="135"/>
      <c r="H295" s="135"/>
      <c r="I295" s="135"/>
      <c r="J295" s="135"/>
      <c r="K295" s="189"/>
      <c r="L295" s="135"/>
      <c r="M295" s="135"/>
      <c r="N295" s="135"/>
      <c r="O295" s="135"/>
      <c r="P295" s="135"/>
      <c r="Q295" s="189"/>
      <c r="R295" s="135"/>
      <c r="S295" s="135"/>
      <c r="T295" s="135"/>
      <c r="U295" s="135"/>
      <c r="V295" s="189"/>
      <c r="W295" s="135"/>
      <c r="X295" s="135"/>
    </row>
    <row r="296" customFormat="false" ht="15.75" hidden="false" customHeight="true" outlineLevel="0" collapsed="false">
      <c r="A296" s="135"/>
      <c r="B296" s="189"/>
      <c r="C296" s="135"/>
      <c r="D296" s="189"/>
      <c r="E296" s="135"/>
      <c r="F296" s="135"/>
      <c r="G296" s="135"/>
      <c r="H296" s="135"/>
      <c r="I296" s="135"/>
      <c r="J296" s="135"/>
      <c r="K296" s="189"/>
      <c r="L296" s="135"/>
      <c r="M296" s="135"/>
      <c r="N296" s="135"/>
      <c r="O296" s="135"/>
      <c r="P296" s="135"/>
      <c r="Q296" s="189"/>
      <c r="R296" s="135"/>
      <c r="S296" s="135"/>
      <c r="T296" s="135"/>
      <c r="U296" s="135"/>
      <c r="V296" s="189"/>
      <c r="W296" s="135"/>
      <c r="X296" s="135"/>
    </row>
    <row r="297" customFormat="false" ht="15.75" hidden="false" customHeight="true" outlineLevel="0" collapsed="false">
      <c r="A297" s="135"/>
      <c r="B297" s="189"/>
      <c r="C297" s="135"/>
      <c r="D297" s="189"/>
      <c r="E297" s="135"/>
      <c r="F297" s="135"/>
      <c r="G297" s="135"/>
      <c r="H297" s="135"/>
      <c r="I297" s="135"/>
      <c r="J297" s="135"/>
      <c r="K297" s="189"/>
      <c r="L297" s="135"/>
      <c r="M297" s="135"/>
      <c r="N297" s="135"/>
      <c r="O297" s="135"/>
      <c r="P297" s="135"/>
      <c r="Q297" s="189"/>
      <c r="R297" s="135"/>
      <c r="S297" s="135"/>
      <c r="T297" s="135"/>
      <c r="U297" s="135"/>
      <c r="V297" s="189"/>
      <c r="W297" s="135"/>
      <c r="X297" s="135"/>
    </row>
    <row r="298" customFormat="false" ht="15.75" hidden="false" customHeight="true" outlineLevel="0" collapsed="false">
      <c r="A298" s="135"/>
      <c r="B298" s="189"/>
      <c r="C298" s="135"/>
      <c r="D298" s="189"/>
      <c r="E298" s="135"/>
      <c r="F298" s="135"/>
      <c r="G298" s="135"/>
      <c r="H298" s="135"/>
      <c r="I298" s="135"/>
      <c r="J298" s="135"/>
      <c r="K298" s="189"/>
      <c r="L298" s="135"/>
      <c r="M298" s="135"/>
      <c r="N298" s="135"/>
      <c r="O298" s="135"/>
      <c r="P298" s="135"/>
      <c r="Q298" s="189"/>
      <c r="R298" s="135"/>
      <c r="S298" s="135"/>
      <c r="T298" s="135"/>
      <c r="U298" s="135"/>
      <c r="V298" s="189"/>
      <c r="W298" s="135"/>
      <c r="X298" s="135"/>
    </row>
    <row r="299" customFormat="false" ht="15.75" hidden="false" customHeight="true" outlineLevel="0" collapsed="false">
      <c r="A299" s="135"/>
      <c r="B299" s="189"/>
      <c r="C299" s="135"/>
      <c r="D299" s="189"/>
      <c r="E299" s="135"/>
      <c r="F299" s="135"/>
      <c r="G299" s="135"/>
      <c r="H299" s="135"/>
      <c r="I299" s="135"/>
      <c r="J299" s="135"/>
      <c r="K299" s="189"/>
      <c r="L299" s="135"/>
      <c r="M299" s="135"/>
      <c r="N299" s="135"/>
      <c r="O299" s="135"/>
      <c r="P299" s="135"/>
      <c r="Q299" s="189"/>
      <c r="R299" s="135"/>
      <c r="S299" s="135"/>
      <c r="T299" s="135"/>
      <c r="U299" s="135"/>
      <c r="V299" s="189"/>
      <c r="W299" s="135"/>
      <c r="X299" s="135"/>
    </row>
    <row r="300" customFormat="false" ht="15.75" hidden="false" customHeight="true" outlineLevel="0" collapsed="false">
      <c r="A300" s="135"/>
      <c r="B300" s="189"/>
      <c r="C300" s="135"/>
      <c r="D300" s="189"/>
      <c r="E300" s="135"/>
      <c r="F300" s="135"/>
      <c r="G300" s="135"/>
      <c r="H300" s="135"/>
      <c r="I300" s="135"/>
      <c r="J300" s="135"/>
      <c r="K300" s="189"/>
      <c r="L300" s="135"/>
      <c r="M300" s="135"/>
      <c r="N300" s="135"/>
      <c r="O300" s="135"/>
      <c r="P300" s="135"/>
      <c r="Q300" s="189"/>
      <c r="R300" s="135"/>
      <c r="S300" s="135"/>
      <c r="T300" s="135"/>
      <c r="U300" s="135"/>
      <c r="V300" s="189"/>
      <c r="W300" s="135"/>
      <c r="X300" s="135"/>
    </row>
    <row r="301" customFormat="false" ht="15.75" hidden="false" customHeight="true" outlineLevel="0" collapsed="false">
      <c r="A301" s="135"/>
      <c r="B301" s="189"/>
      <c r="C301" s="135"/>
      <c r="D301" s="189"/>
      <c r="E301" s="135"/>
      <c r="F301" s="135"/>
      <c r="G301" s="135"/>
      <c r="H301" s="135"/>
      <c r="I301" s="135"/>
      <c r="J301" s="135"/>
      <c r="K301" s="189"/>
      <c r="L301" s="135"/>
      <c r="M301" s="135"/>
      <c r="N301" s="135"/>
      <c r="O301" s="135"/>
      <c r="P301" s="135"/>
      <c r="Q301" s="189"/>
      <c r="R301" s="135"/>
      <c r="S301" s="135"/>
      <c r="T301" s="135"/>
      <c r="U301" s="135"/>
      <c r="V301" s="189"/>
      <c r="W301" s="135"/>
      <c r="X301" s="135"/>
    </row>
    <row r="302" customFormat="false" ht="15.75" hidden="false" customHeight="true" outlineLevel="0" collapsed="false">
      <c r="A302" s="135"/>
      <c r="B302" s="189"/>
      <c r="C302" s="135"/>
      <c r="D302" s="189"/>
      <c r="E302" s="135"/>
      <c r="F302" s="135"/>
      <c r="G302" s="135"/>
      <c r="H302" s="135"/>
      <c r="I302" s="135"/>
      <c r="J302" s="135"/>
      <c r="K302" s="189"/>
      <c r="L302" s="135"/>
      <c r="M302" s="135"/>
      <c r="N302" s="135"/>
      <c r="O302" s="135"/>
      <c r="P302" s="135"/>
      <c r="Q302" s="189"/>
      <c r="R302" s="135"/>
      <c r="S302" s="135"/>
      <c r="T302" s="135"/>
      <c r="U302" s="135"/>
      <c r="V302" s="189"/>
      <c r="W302" s="135"/>
      <c r="X302" s="135"/>
    </row>
    <row r="303" customFormat="false" ht="15.75" hidden="false" customHeight="true" outlineLevel="0" collapsed="false">
      <c r="A303" s="135"/>
      <c r="B303" s="189"/>
      <c r="C303" s="135"/>
      <c r="D303" s="189"/>
      <c r="E303" s="135"/>
      <c r="F303" s="135"/>
      <c r="G303" s="135"/>
      <c r="H303" s="135"/>
      <c r="I303" s="135"/>
      <c r="J303" s="135"/>
      <c r="K303" s="189"/>
      <c r="L303" s="135"/>
      <c r="M303" s="135"/>
      <c r="N303" s="135"/>
      <c r="O303" s="135"/>
      <c r="P303" s="135"/>
      <c r="Q303" s="189"/>
      <c r="R303" s="135"/>
      <c r="S303" s="135"/>
      <c r="T303" s="135"/>
      <c r="U303" s="135"/>
      <c r="V303" s="189"/>
      <c r="W303" s="135"/>
      <c r="X303" s="135"/>
    </row>
    <row r="304" customFormat="false" ht="15.75" hidden="false" customHeight="true" outlineLevel="0" collapsed="false">
      <c r="A304" s="135"/>
      <c r="B304" s="189"/>
      <c r="C304" s="135"/>
      <c r="D304" s="189"/>
      <c r="E304" s="135"/>
      <c r="F304" s="135"/>
      <c r="G304" s="135"/>
      <c r="H304" s="135"/>
      <c r="I304" s="135"/>
      <c r="J304" s="135"/>
      <c r="K304" s="189"/>
      <c r="L304" s="135"/>
      <c r="M304" s="135"/>
      <c r="N304" s="135"/>
      <c r="O304" s="135"/>
      <c r="P304" s="135"/>
      <c r="Q304" s="189"/>
      <c r="R304" s="135"/>
      <c r="S304" s="135"/>
      <c r="T304" s="135"/>
      <c r="U304" s="135"/>
      <c r="V304" s="189"/>
      <c r="W304" s="135"/>
      <c r="X304" s="135"/>
    </row>
    <row r="305" customFormat="false" ht="15.75" hidden="false" customHeight="true" outlineLevel="0" collapsed="false">
      <c r="A305" s="135"/>
      <c r="B305" s="189"/>
      <c r="C305" s="135"/>
      <c r="D305" s="189"/>
      <c r="E305" s="135"/>
      <c r="F305" s="135"/>
      <c r="G305" s="135"/>
      <c r="H305" s="135"/>
      <c r="I305" s="135"/>
      <c r="J305" s="135"/>
      <c r="K305" s="189"/>
      <c r="L305" s="135"/>
      <c r="M305" s="135"/>
      <c r="N305" s="135"/>
      <c r="O305" s="135"/>
      <c r="P305" s="135"/>
      <c r="Q305" s="189"/>
      <c r="R305" s="135"/>
      <c r="S305" s="135"/>
      <c r="T305" s="135"/>
      <c r="U305" s="135"/>
      <c r="V305" s="189"/>
      <c r="W305" s="135"/>
      <c r="X305" s="135"/>
    </row>
    <row r="306" customFormat="false" ht="15.75" hidden="false" customHeight="true" outlineLevel="0" collapsed="false">
      <c r="A306" s="135"/>
      <c r="B306" s="189"/>
      <c r="C306" s="135"/>
      <c r="D306" s="189"/>
      <c r="E306" s="135"/>
      <c r="F306" s="135"/>
      <c r="G306" s="135"/>
      <c r="H306" s="135"/>
      <c r="I306" s="135"/>
      <c r="J306" s="135"/>
      <c r="K306" s="189"/>
      <c r="L306" s="135"/>
      <c r="M306" s="135"/>
      <c r="N306" s="135"/>
      <c r="O306" s="135"/>
      <c r="P306" s="135"/>
      <c r="Q306" s="189"/>
      <c r="R306" s="135"/>
      <c r="S306" s="135"/>
      <c r="T306" s="135"/>
      <c r="U306" s="135"/>
      <c r="V306" s="189"/>
      <c r="W306" s="135"/>
      <c r="X306" s="135"/>
    </row>
    <row r="307" customFormat="false" ht="15.75" hidden="false" customHeight="true" outlineLevel="0" collapsed="false">
      <c r="A307" s="135"/>
      <c r="B307" s="189"/>
      <c r="C307" s="135"/>
      <c r="D307" s="189"/>
      <c r="E307" s="135"/>
      <c r="F307" s="135"/>
      <c r="G307" s="135"/>
      <c r="H307" s="135"/>
      <c r="I307" s="135"/>
      <c r="J307" s="135"/>
      <c r="K307" s="189"/>
      <c r="L307" s="135"/>
      <c r="M307" s="135"/>
      <c r="N307" s="135"/>
      <c r="O307" s="135"/>
      <c r="P307" s="135"/>
      <c r="Q307" s="189"/>
      <c r="R307" s="135"/>
      <c r="S307" s="135"/>
      <c r="T307" s="135"/>
      <c r="U307" s="135"/>
      <c r="V307" s="189"/>
      <c r="W307" s="135"/>
      <c r="X307" s="135"/>
    </row>
    <row r="308" customFormat="false" ht="15.75" hidden="false" customHeight="true" outlineLevel="0" collapsed="false">
      <c r="A308" s="135"/>
      <c r="B308" s="189"/>
      <c r="C308" s="135"/>
      <c r="D308" s="189"/>
      <c r="E308" s="135"/>
      <c r="F308" s="135"/>
      <c r="G308" s="135"/>
      <c r="H308" s="135"/>
      <c r="I308" s="135"/>
      <c r="J308" s="135"/>
      <c r="K308" s="189"/>
      <c r="L308" s="135"/>
      <c r="M308" s="135"/>
      <c r="N308" s="135"/>
      <c r="O308" s="135"/>
      <c r="P308" s="135"/>
      <c r="Q308" s="189"/>
      <c r="R308" s="135"/>
      <c r="S308" s="135"/>
      <c r="T308" s="135"/>
      <c r="U308" s="135"/>
      <c r="V308" s="189"/>
      <c r="W308" s="135"/>
      <c r="X308" s="135"/>
    </row>
    <row r="309" customFormat="false" ht="15.75" hidden="false" customHeight="true" outlineLevel="0" collapsed="false">
      <c r="A309" s="135"/>
      <c r="B309" s="189"/>
      <c r="C309" s="135"/>
      <c r="D309" s="189"/>
      <c r="E309" s="135"/>
      <c r="F309" s="135"/>
      <c r="G309" s="135"/>
      <c r="H309" s="135"/>
      <c r="I309" s="135"/>
      <c r="J309" s="135"/>
      <c r="K309" s="189"/>
      <c r="L309" s="135"/>
      <c r="M309" s="135"/>
      <c r="N309" s="135"/>
      <c r="O309" s="135"/>
      <c r="P309" s="135"/>
      <c r="Q309" s="189"/>
      <c r="R309" s="135"/>
      <c r="S309" s="135"/>
      <c r="T309" s="135"/>
      <c r="U309" s="135"/>
      <c r="V309" s="189"/>
      <c r="W309" s="135"/>
      <c r="X309" s="135"/>
    </row>
    <row r="310" customFormat="false" ht="15.75" hidden="false" customHeight="true" outlineLevel="0" collapsed="false">
      <c r="A310" s="135"/>
      <c r="B310" s="189"/>
      <c r="C310" s="135"/>
      <c r="D310" s="189"/>
      <c r="E310" s="135"/>
      <c r="F310" s="135"/>
      <c r="G310" s="135"/>
      <c r="H310" s="135"/>
      <c r="I310" s="135"/>
      <c r="J310" s="135"/>
      <c r="K310" s="189"/>
      <c r="L310" s="135"/>
      <c r="M310" s="135"/>
      <c r="N310" s="135"/>
      <c r="O310" s="135"/>
      <c r="P310" s="135"/>
      <c r="Q310" s="189"/>
      <c r="R310" s="135"/>
      <c r="S310" s="135"/>
      <c r="T310" s="135"/>
      <c r="U310" s="135"/>
      <c r="V310" s="189"/>
      <c r="W310" s="135"/>
      <c r="X310" s="135"/>
    </row>
    <row r="311" customFormat="false" ht="15.75" hidden="false" customHeight="true" outlineLevel="0" collapsed="false">
      <c r="A311" s="135"/>
      <c r="B311" s="189"/>
      <c r="C311" s="135"/>
      <c r="D311" s="189"/>
      <c r="E311" s="135"/>
      <c r="F311" s="135"/>
      <c r="G311" s="135"/>
      <c r="H311" s="135"/>
      <c r="I311" s="135"/>
      <c r="J311" s="135"/>
      <c r="K311" s="189"/>
      <c r="L311" s="135"/>
      <c r="M311" s="135"/>
      <c r="N311" s="135"/>
      <c r="O311" s="135"/>
      <c r="P311" s="135"/>
      <c r="Q311" s="189"/>
      <c r="R311" s="135"/>
      <c r="S311" s="135"/>
      <c r="T311" s="135"/>
      <c r="U311" s="135"/>
      <c r="V311" s="189"/>
      <c r="W311" s="135"/>
      <c r="X311" s="135"/>
    </row>
    <row r="312" customFormat="false" ht="15.75" hidden="false" customHeight="true" outlineLevel="0" collapsed="false">
      <c r="A312" s="135"/>
      <c r="B312" s="189"/>
      <c r="C312" s="135"/>
      <c r="D312" s="189"/>
      <c r="E312" s="135"/>
      <c r="F312" s="135"/>
      <c r="G312" s="135"/>
      <c r="H312" s="135"/>
      <c r="I312" s="135"/>
      <c r="J312" s="135"/>
      <c r="K312" s="189"/>
      <c r="L312" s="135"/>
      <c r="M312" s="135"/>
      <c r="N312" s="135"/>
      <c r="O312" s="135"/>
      <c r="P312" s="135"/>
      <c r="Q312" s="189"/>
      <c r="R312" s="135"/>
      <c r="S312" s="135"/>
      <c r="T312" s="135"/>
      <c r="U312" s="135"/>
      <c r="V312" s="189"/>
      <c r="W312" s="135"/>
      <c r="X312" s="135"/>
    </row>
    <row r="313" customFormat="false" ht="15.75" hidden="false" customHeight="true" outlineLevel="0" collapsed="false">
      <c r="A313" s="135"/>
      <c r="B313" s="189"/>
      <c r="C313" s="135"/>
      <c r="D313" s="189"/>
      <c r="E313" s="135"/>
      <c r="F313" s="135"/>
      <c r="G313" s="135"/>
      <c r="H313" s="135"/>
      <c r="I313" s="135"/>
      <c r="J313" s="135"/>
      <c r="K313" s="189"/>
      <c r="L313" s="135"/>
      <c r="M313" s="135"/>
      <c r="N313" s="135"/>
      <c r="O313" s="135"/>
      <c r="P313" s="135"/>
      <c r="Q313" s="189"/>
      <c r="R313" s="135"/>
      <c r="S313" s="135"/>
      <c r="T313" s="135"/>
      <c r="U313" s="135"/>
      <c r="V313" s="189"/>
      <c r="W313" s="135"/>
      <c r="X313" s="135"/>
    </row>
    <row r="314" customFormat="false" ht="15.75" hidden="false" customHeight="true" outlineLevel="0" collapsed="false">
      <c r="A314" s="135"/>
      <c r="B314" s="189"/>
      <c r="C314" s="135"/>
      <c r="D314" s="189"/>
      <c r="E314" s="135"/>
      <c r="F314" s="135"/>
      <c r="G314" s="135"/>
      <c r="H314" s="135"/>
      <c r="I314" s="135"/>
      <c r="J314" s="135"/>
      <c r="K314" s="189"/>
      <c r="L314" s="135"/>
      <c r="M314" s="135"/>
      <c r="N314" s="135"/>
      <c r="O314" s="135"/>
      <c r="P314" s="135"/>
      <c r="Q314" s="189"/>
      <c r="R314" s="135"/>
      <c r="S314" s="135"/>
      <c r="T314" s="135"/>
      <c r="U314" s="135"/>
      <c r="V314" s="189"/>
      <c r="W314" s="135"/>
      <c r="X314" s="135"/>
    </row>
    <row r="315" customFormat="false" ht="15.75" hidden="false" customHeight="true" outlineLevel="0" collapsed="false">
      <c r="A315" s="135"/>
      <c r="B315" s="189"/>
      <c r="C315" s="135"/>
      <c r="D315" s="189"/>
      <c r="E315" s="135"/>
      <c r="F315" s="135"/>
      <c r="G315" s="135"/>
      <c r="H315" s="135"/>
      <c r="I315" s="135"/>
      <c r="J315" s="135"/>
      <c r="K315" s="189"/>
      <c r="L315" s="135"/>
      <c r="M315" s="135"/>
      <c r="N315" s="135"/>
      <c r="O315" s="135"/>
      <c r="P315" s="135"/>
      <c r="Q315" s="189"/>
      <c r="R315" s="135"/>
      <c r="S315" s="135"/>
      <c r="T315" s="135"/>
      <c r="U315" s="135"/>
      <c r="V315" s="189"/>
      <c r="W315" s="135"/>
      <c r="X315" s="135"/>
    </row>
    <row r="316" customFormat="false" ht="15.75" hidden="false" customHeight="true" outlineLevel="0" collapsed="false">
      <c r="A316" s="135"/>
      <c r="B316" s="189"/>
      <c r="C316" s="135"/>
      <c r="D316" s="189"/>
      <c r="E316" s="135"/>
      <c r="F316" s="135"/>
      <c r="G316" s="135"/>
      <c r="H316" s="135"/>
      <c r="I316" s="135"/>
      <c r="J316" s="135"/>
      <c r="K316" s="189"/>
      <c r="L316" s="135"/>
      <c r="M316" s="135"/>
      <c r="N316" s="135"/>
      <c r="O316" s="135"/>
      <c r="P316" s="135"/>
      <c r="Q316" s="189"/>
      <c r="R316" s="135"/>
      <c r="S316" s="135"/>
      <c r="T316" s="135"/>
      <c r="U316" s="135"/>
      <c r="V316" s="189"/>
      <c r="W316" s="135"/>
      <c r="X316" s="135"/>
    </row>
    <row r="317" customFormat="false" ht="15.75" hidden="false" customHeight="true" outlineLevel="0" collapsed="false">
      <c r="A317" s="135"/>
      <c r="B317" s="189"/>
      <c r="C317" s="135"/>
      <c r="D317" s="189"/>
      <c r="E317" s="135"/>
      <c r="F317" s="135"/>
      <c r="G317" s="135"/>
      <c r="H317" s="135"/>
      <c r="I317" s="135"/>
      <c r="J317" s="135"/>
      <c r="K317" s="189"/>
      <c r="L317" s="135"/>
      <c r="M317" s="135"/>
      <c r="N317" s="135"/>
      <c r="O317" s="135"/>
      <c r="P317" s="135"/>
      <c r="Q317" s="189"/>
      <c r="R317" s="135"/>
      <c r="S317" s="135"/>
      <c r="T317" s="135"/>
      <c r="U317" s="135"/>
      <c r="V317" s="189"/>
      <c r="W317" s="135"/>
      <c r="X317" s="135"/>
    </row>
    <row r="318" customFormat="false" ht="15.75" hidden="false" customHeight="true" outlineLevel="0" collapsed="false">
      <c r="A318" s="135"/>
      <c r="B318" s="189"/>
      <c r="C318" s="135"/>
      <c r="D318" s="189"/>
      <c r="E318" s="135"/>
      <c r="F318" s="135"/>
      <c r="G318" s="135"/>
      <c r="H318" s="135"/>
      <c r="I318" s="135"/>
      <c r="J318" s="135"/>
      <c r="K318" s="189"/>
      <c r="L318" s="135"/>
      <c r="M318" s="135"/>
      <c r="N318" s="135"/>
      <c r="O318" s="135"/>
      <c r="P318" s="135"/>
      <c r="Q318" s="189"/>
      <c r="R318" s="135"/>
      <c r="S318" s="135"/>
      <c r="T318" s="135"/>
      <c r="U318" s="135"/>
      <c r="V318" s="189"/>
      <c r="W318" s="135"/>
      <c r="X318" s="135"/>
    </row>
    <row r="319" customFormat="false" ht="15.75" hidden="false" customHeight="true" outlineLevel="0" collapsed="false">
      <c r="A319" s="135"/>
      <c r="B319" s="189"/>
      <c r="C319" s="135"/>
      <c r="D319" s="189"/>
      <c r="E319" s="135"/>
      <c r="F319" s="135"/>
      <c r="G319" s="135"/>
      <c r="H319" s="135"/>
      <c r="I319" s="135"/>
      <c r="J319" s="135"/>
      <c r="K319" s="189"/>
      <c r="L319" s="135"/>
      <c r="M319" s="135"/>
      <c r="N319" s="135"/>
      <c r="O319" s="135"/>
      <c r="P319" s="135"/>
      <c r="Q319" s="189"/>
      <c r="R319" s="135"/>
      <c r="S319" s="135"/>
      <c r="T319" s="135"/>
      <c r="U319" s="135"/>
      <c r="V319" s="189"/>
      <c r="W319" s="135"/>
      <c r="X319" s="135"/>
    </row>
    <row r="320" customFormat="false" ht="15.75" hidden="false" customHeight="true" outlineLevel="0" collapsed="false">
      <c r="A320" s="135"/>
      <c r="B320" s="189"/>
      <c r="C320" s="135"/>
      <c r="D320" s="189"/>
      <c r="E320" s="135"/>
      <c r="F320" s="135"/>
      <c r="G320" s="135"/>
      <c r="H320" s="135"/>
      <c r="I320" s="135"/>
      <c r="J320" s="135"/>
      <c r="K320" s="189"/>
      <c r="L320" s="135"/>
      <c r="M320" s="135"/>
      <c r="N320" s="135"/>
      <c r="O320" s="135"/>
      <c r="P320" s="135"/>
      <c r="Q320" s="189"/>
      <c r="R320" s="135"/>
      <c r="S320" s="135"/>
      <c r="T320" s="135"/>
      <c r="U320" s="135"/>
      <c r="V320" s="189"/>
      <c r="W320" s="135"/>
      <c r="X320" s="135"/>
    </row>
    <row r="321" customFormat="false" ht="15.75" hidden="false" customHeight="true" outlineLevel="0" collapsed="false">
      <c r="A321" s="135"/>
      <c r="B321" s="189"/>
      <c r="C321" s="135"/>
      <c r="D321" s="189"/>
      <c r="E321" s="135"/>
      <c r="F321" s="135"/>
      <c r="G321" s="135"/>
      <c r="H321" s="135"/>
      <c r="I321" s="135"/>
      <c r="J321" s="135"/>
      <c r="K321" s="189"/>
      <c r="L321" s="135"/>
      <c r="M321" s="135"/>
      <c r="N321" s="135"/>
      <c r="O321" s="135"/>
      <c r="P321" s="135"/>
      <c r="Q321" s="189"/>
      <c r="R321" s="135"/>
      <c r="S321" s="135"/>
      <c r="T321" s="135"/>
      <c r="U321" s="135"/>
      <c r="V321" s="189"/>
      <c r="W321" s="135"/>
      <c r="X321" s="135"/>
    </row>
    <row r="322" customFormat="false" ht="15.75" hidden="false" customHeight="true" outlineLevel="0" collapsed="false">
      <c r="A322" s="135"/>
      <c r="B322" s="189"/>
      <c r="C322" s="135"/>
      <c r="D322" s="189"/>
      <c r="E322" s="135"/>
      <c r="F322" s="135"/>
      <c r="G322" s="135"/>
      <c r="H322" s="135"/>
      <c r="I322" s="135"/>
      <c r="J322" s="135"/>
      <c r="K322" s="189"/>
      <c r="L322" s="135"/>
      <c r="M322" s="135"/>
      <c r="N322" s="135"/>
      <c r="O322" s="135"/>
      <c r="P322" s="135"/>
      <c r="Q322" s="189"/>
      <c r="R322" s="135"/>
      <c r="S322" s="135"/>
      <c r="T322" s="135"/>
      <c r="U322" s="135"/>
      <c r="V322" s="189"/>
      <c r="W322" s="135"/>
      <c r="X322" s="135"/>
    </row>
    <row r="323" customFormat="false" ht="15.75" hidden="false" customHeight="true" outlineLevel="0" collapsed="false">
      <c r="A323" s="135"/>
      <c r="B323" s="189"/>
      <c r="C323" s="135"/>
      <c r="D323" s="189"/>
      <c r="E323" s="135"/>
      <c r="F323" s="135"/>
      <c r="G323" s="135"/>
      <c r="H323" s="135"/>
      <c r="I323" s="135"/>
      <c r="J323" s="135"/>
      <c r="K323" s="189"/>
      <c r="L323" s="135"/>
      <c r="M323" s="135"/>
      <c r="N323" s="135"/>
      <c r="O323" s="135"/>
      <c r="P323" s="135"/>
      <c r="Q323" s="189"/>
      <c r="R323" s="135"/>
      <c r="S323" s="135"/>
      <c r="T323" s="135"/>
      <c r="U323" s="135"/>
      <c r="V323" s="189"/>
      <c r="W323" s="135"/>
      <c r="X323" s="135"/>
    </row>
    <row r="324" customFormat="false" ht="15.75" hidden="false" customHeight="true" outlineLevel="0" collapsed="false">
      <c r="A324" s="135"/>
      <c r="B324" s="189"/>
      <c r="C324" s="135"/>
      <c r="D324" s="189"/>
      <c r="E324" s="135"/>
      <c r="F324" s="135"/>
      <c r="G324" s="135"/>
      <c r="H324" s="135"/>
      <c r="I324" s="135"/>
      <c r="J324" s="135"/>
      <c r="K324" s="189"/>
      <c r="L324" s="135"/>
      <c r="M324" s="135"/>
      <c r="N324" s="135"/>
      <c r="O324" s="135"/>
      <c r="P324" s="135"/>
      <c r="Q324" s="189"/>
      <c r="R324" s="135"/>
      <c r="S324" s="135"/>
      <c r="T324" s="135"/>
      <c r="U324" s="135"/>
      <c r="V324" s="189"/>
      <c r="W324" s="135"/>
      <c r="X324" s="135"/>
    </row>
    <row r="325" customFormat="false" ht="15.75" hidden="false" customHeight="true" outlineLevel="0" collapsed="false">
      <c r="A325" s="135"/>
      <c r="B325" s="189"/>
      <c r="C325" s="135"/>
      <c r="D325" s="189"/>
      <c r="E325" s="135"/>
      <c r="F325" s="135"/>
      <c r="G325" s="135"/>
      <c r="H325" s="135"/>
      <c r="I325" s="135"/>
      <c r="J325" s="135"/>
      <c r="K325" s="189"/>
      <c r="L325" s="135"/>
      <c r="M325" s="135"/>
      <c r="N325" s="135"/>
      <c r="O325" s="135"/>
      <c r="P325" s="135"/>
      <c r="Q325" s="189"/>
      <c r="R325" s="135"/>
      <c r="S325" s="135"/>
      <c r="T325" s="135"/>
      <c r="U325" s="135"/>
      <c r="V325" s="189"/>
      <c r="W325" s="135"/>
      <c r="X325" s="135"/>
    </row>
    <row r="326" customFormat="false" ht="15.75" hidden="false" customHeight="true" outlineLevel="0" collapsed="false">
      <c r="A326" s="135"/>
      <c r="B326" s="189"/>
      <c r="C326" s="135"/>
      <c r="D326" s="189"/>
      <c r="E326" s="135"/>
      <c r="F326" s="135"/>
      <c r="G326" s="135"/>
      <c r="H326" s="135"/>
      <c r="I326" s="135"/>
      <c r="J326" s="135"/>
      <c r="K326" s="189"/>
      <c r="L326" s="135"/>
      <c r="M326" s="135"/>
      <c r="N326" s="135"/>
      <c r="O326" s="135"/>
      <c r="P326" s="135"/>
      <c r="Q326" s="189"/>
      <c r="R326" s="135"/>
      <c r="S326" s="135"/>
      <c r="T326" s="135"/>
      <c r="U326" s="135"/>
      <c r="V326" s="189"/>
      <c r="W326" s="135"/>
      <c r="X326" s="135"/>
    </row>
    <row r="327" customFormat="false" ht="15.75" hidden="false" customHeight="true" outlineLevel="0" collapsed="false">
      <c r="A327" s="135"/>
      <c r="B327" s="189"/>
      <c r="C327" s="135"/>
      <c r="D327" s="189"/>
      <c r="E327" s="135"/>
      <c r="F327" s="135"/>
      <c r="G327" s="135"/>
      <c r="H327" s="135"/>
      <c r="I327" s="135"/>
      <c r="J327" s="135"/>
      <c r="K327" s="189"/>
      <c r="L327" s="135"/>
      <c r="M327" s="135"/>
      <c r="N327" s="135"/>
      <c r="O327" s="135"/>
      <c r="P327" s="135"/>
      <c r="Q327" s="189"/>
      <c r="R327" s="135"/>
      <c r="S327" s="135"/>
      <c r="T327" s="135"/>
      <c r="U327" s="135"/>
      <c r="V327" s="189"/>
      <c r="W327" s="135"/>
      <c r="X327" s="135"/>
    </row>
    <row r="328" customFormat="false" ht="15.75" hidden="false" customHeight="true" outlineLevel="0" collapsed="false">
      <c r="A328" s="135"/>
      <c r="B328" s="189"/>
      <c r="C328" s="135"/>
      <c r="D328" s="189"/>
      <c r="E328" s="135"/>
      <c r="F328" s="135"/>
      <c r="G328" s="135"/>
      <c r="H328" s="135"/>
      <c r="I328" s="135"/>
      <c r="J328" s="135"/>
      <c r="K328" s="189"/>
      <c r="L328" s="135"/>
      <c r="M328" s="135"/>
      <c r="N328" s="135"/>
      <c r="O328" s="135"/>
      <c r="P328" s="135"/>
      <c r="Q328" s="189"/>
      <c r="R328" s="135"/>
      <c r="S328" s="135"/>
      <c r="T328" s="135"/>
      <c r="U328" s="135"/>
      <c r="V328" s="189"/>
      <c r="W328" s="135"/>
      <c r="X328" s="135"/>
    </row>
    <row r="329" customFormat="false" ht="15.75" hidden="false" customHeight="true" outlineLevel="0" collapsed="false">
      <c r="A329" s="135"/>
      <c r="B329" s="189"/>
      <c r="C329" s="135"/>
      <c r="D329" s="189"/>
      <c r="E329" s="135"/>
      <c r="F329" s="135"/>
      <c r="G329" s="135"/>
      <c r="H329" s="135"/>
      <c r="I329" s="135"/>
      <c r="J329" s="135"/>
      <c r="K329" s="189"/>
      <c r="L329" s="135"/>
      <c r="M329" s="135"/>
      <c r="N329" s="135"/>
      <c r="O329" s="135"/>
      <c r="P329" s="135"/>
      <c r="Q329" s="189"/>
      <c r="R329" s="135"/>
      <c r="S329" s="135"/>
      <c r="T329" s="135"/>
      <c r="U329" s="135"/>
      <c r="V329" s="189"/>
      <c r="W329" s="135"/>
      <c r="X329" s="135"/>
    </row>
    <row r="330" customFormat="false" ht="15.75" hidden="false" customHeight="true" outlineLevel="0" collapsed="false">
      <c r="A330" s="135"/>
      <c r="B330" s="189"/>
      <c r="C330" s="135"/>
      <c r="D330" s="189"/>
      <c r="E330" s="135"/>
      <c r="F330" s="135"/>
      <c r="G330" s="135"/>
      <c r="H330" s="135"/>
      <c r="I330" s="135"/>
      <c r="J330" s="135"/>
      <c r="K330" s="189"/>
      <c r="L330" s="135"/>
      <c r="M330" s="135"/>
      <c r="N330" s="135"/>
      <c r="O330" s="135"/>
      <c r="P330" s="135"/>
      <c r="Q330" s="189"/>
      <c r="R330" s="135"/>
      <c r="S330" s="135"/>
      <c r="T330" s="135"/>
      <c r="U330" s="135"/>
      <c r="V330" s="189"/>
      <c r="W330" s="135"/>
      <c r="X330" s="135"/>
    </row>
    <row r="331" customFormat="false" ht="15.75" hidden="false" customHeight="true" outlineLevel="0" collapsed="false">
      <c r="A331" s="135"/>
      <c r="B331" s="189"/>
      <c r="C331" s="135"/>
      <c r="D331" s="189"/>
      <c r="E331" s="135"/>
      <c r="F331" s="135"/>
      <c r="G331" s="135"/>
      <c r="H331" s="135"/>
      <c r="I331" s="135"/>
      <c r="J331" s="135"/>
      <c r="K331" s="189"/>
      <c r="L331" s="135"/>
      <c r="M331" s="135"/>
      <c r="N331" s="135"/>
      <c r="O331" s="135"/>
      <c r="P331" s="135"/>
      <c r="Q331" s="189"/>
      <c r="R331" s="135"/>
      <c r="S331" s="135"/>
      <c r="T331" s="135"/>
      <c r="U331" s="135"/>
      <c r="V331" s="189"/>
      <c r="W331" s="135"/>
      <c r="X331" s="135"/>
    </row>
    <row r="332" customFormat="false" ht="15.75" hidden="false" customHeight="true" outlineLevel="0" collapsed="false">
      <c r="A332" s="135"/>
      <c r="B332" s="189"/>
      <c r="C332" s="135"/>
      <c r="D332" s="189"/>
      <c r="E332" s="135"/>
      <c r="F332" s="135"/>
      <c r="G332" s="135"/>
      <c r="H332" s="135"/>
      <c r="I332" s="135"/>
      <c r="J332" s="135"/>
      <c r="K332" s="189"/>
      <c r="L332" s="135"/>
      <c r="M332" s="135"/>
      <c r="N332" s="135"/>
      <c r="O332" s="135"/>
      <c r="P332" s="135"/>
      <c r="Q332" s="189"/>
      <c r="R332" s="135"/>
      <c r="S332" s="135"/>
      <c r="T332" s="135"/>
      <c r="U332" s="135"/>
      <c r="V332" s="189"/>
      <c r="W332" s="135"/>
      <c r="X332" s="135"/>
    </row>
    <row r="333" customFormat="false" ht="15.75" hidden="false" customHeight="true" outlineLevel="0" collapsed="false">
      <c r="A333" s="135"/>
      <c r="B333" s="189"/>
      <c r="C333" s="135"/>
      <c r="D333" s="189"/>
      <c r="E333" s="135"/>
      <c r="F333" s="135"/>
      <c r="G333" s="135"/>
      <c r="H333" s="135"/>
      <c r="I333" s="135"/>
      <c r="J333" s="135"/>
      <c r="K333" s="189"/>
      <c r="L333" s="135"/>
      <c r="M333" s="135"/>
      <c r="N333" s="135"/>
      <c r="O333" s="135"/>
      <c r="P333" s="135"/>
      <c r="Q333" s="189"/>
      <c r="R333" s="135"/>
      <c r="S333" s="135"/>
      <c r="T333" s="135"/>
      <c r="U333" s="135"/>
      <c r="V333" s="189"/>
      <c r="W333" s="135"/>
      <c r="X333" s="135"/>
    </row>
    <row r="334" customFormat="false" ht="15.75" hidden="false" customHeight="true" outlineLevel="0" collapsed="false">
      <c r="A334" s="135"/>
      <c r="B334" s="189"/>
      <c r="C334" s="135"/>
      <c r="D334" s="189"/>
      <c r="E334" s="135"/>
      <c r="F334" s="135"/>
      <c r="G334" s="135"/>
      <c r="H334" s="135"/>
      <c r="I334" s="135"/>
      <c r="J334" s="135"/>
      <c r="K334" s="189"/>
      <c r="L334" s="135"/>
      <c r="M334" s="135"/>
      <c r="N334" s="135"/>
      <c r="O334" s="135"/>
      <c r="P334" s="135"/>
      <c r="Q334" s="189"/>
      <c r="R334" s="135"/>
      <c r="S334" s="135"/>
      <c r="T334" s="135"/>
      <c r="U334" s="135"/>
      <c r="V334" s="189"/>
      <c r="W334" s="135"/>
      <c r="X334" s="135"/>
    </row>
    <row r="335" customFormat="false" ht="15.75" hidden="false" customHeight="true" outlineLevel="0" collapsed="false">
      <c r="A335" s="135"/>
      <c r="B335" s="189"/>
      <c r="C335" s="135"/>
      <c r="D335" s="189"/>
      <c r="E335" s="135"/>
      <c r="F335" s="135"/>
      <c r="G335" s="135"/>
      <c r="H335" s="135"/>
      <c r="I335" s="135"/>
      <c r="J335" s="135"/>
      <c r="K335" s="189"/>
      <c r="L335" s="135"/>
      <c r="M335" s="135"/>
      <c r="N335" s="135"/>
      <c r="O335" s="135"/>
      <c r="P335" s="135"/>
      <c r="Q335" s="189"/>
      <c r="R335" s="135"/>
      <c r="S335" s="135"/>
      <c r="T335" s="135"/>
      <c r="U335" s="135"/>
      <c r="V335" s="189"/>
      <c r="W335" s="135"/>
      <c r="X335" s="135"/>
    </row>
    <row r="336" customFormat="false" ht="15.75" hidden="false" customHeight="true" outlineLevel="0" collapsed="false">
      <c r="A336" s="135"/>
      <c r="B336" s="189"/>
      <c r="C336" s="135"/>
      <c r="D336" s="189"/>
      <c r="E336" s="135"/>
      <c r="F336" s="135"/>
      <c r="G336" s="135"/>
      <c r="H336" s="135"/>
      <c r="I336" s="135"/>
      <c r="J336" s="135"/>
      <c r="K336" s="189"/>
      <c r="L336" s="135"/>
      <c r="M336" s="135"/>
      <c r="N336" s="135"/>
      <c r="O336" s="135"/>
      <c r="P336" s="135"/>
      <c r="Q336" s="189"/>
      <c r="R336" s="135"/>
      <c r="S336" s="135"/>
      <c r="T336" s="135"/>
      <c r="U336" s="135"/>
      <c r="V336" s="189"/>
      <c r="W336" s="135"/>
      <c r="X336" s="135"/>
    </row>
    <row r="337" customFormat="false" ht="15.75" hidden="false" customHeight="true" outlineLevel="0" collapsed="false">
      <c r="A337" s="135"/>
      <c r="B337" s="189"/>
      <c r="C337" s="135"/>
      <c r="D337" s="189"/>
      <c r="E337" s="135"/>
      <c r="F337" s="135"/>
      <c r="G337" s="135"/>
      <c r="H337" s="135"/>
      <c r="I337" s="135"/>
      <c r="J337" s="135"/>
      <c r="K337" s="189"/>
      <c r="L337" s="135"/>
      <c r="M337" s="135"/>
      <c r="N337" s="135"/>
      <c r="O337" s="135"/>
      <c r="P337" s="135"/>
      <c r="Q337" s="189"/>
      <c r="R337" s="135"/>
      <c r="S337" s="135"/>
      <c r="T337" s="135"/>
      <c r="U337" s="135"/>
      <c r="V337" s="189"/>
      <c r="W337" s="135"/>
      <c r="X337" s="135"/>
    </row>
    <row r="338" customFormat="false" ht="15.75" hidden="false" customHeight="true" outlineLevel="0" collapsed="false">
      <c r="A338" s="135"/>
      <c r="B338" s="189"/>
      <c r="C338" s="135"/>
      <c r="D338" s="189"/>
      <c r="E338" s="135"/>
      <c r="F338" s="135"/>
      <c r="G338" s="135"/>
      <c r="H338" s="135"/>
      <c r="I338" s="135"/>
      <c r="J338" s="135"/>
      <c r="K338" s="189"/>
      <c r="L338" s="135"/>
      <c r="M338" s="135"/>
      <c r="N338" s="135"/>
      <c r="O338" s="135"/>
      <c r="P338" s="135"/>
      <c r="Q338" s="189"/>
      <c r="R338" s="135"/>
      <c r="S338" s="135"/>
      <c r="T338" s="135"/>
      <c r="U338" s="135"/>
      <c r="V338" s="189"/>
      <c r="W338" s="135"/>
      <c r="X338" s="135"/>
    </row>
    <row r="339" customFormat="false" ht="15.75" hidden="false" customHeight="true" outlineLevel="0" collapsed="false">
      <c r="A339" s="135"/>
      <c r="B339" s="189"/>
      <c r="C339" s="135"/>
      <c r="D339" s="189"/>
      <c r="E339" s="135"/>
      <c r="F339" s="135"/>
      <c r="G339" s="135"/>
      <c r="H339" s="135"/>
      <c r="I339" s="135"/>
      <c r="J339" s="135"/>
      <c r="K339" s="189"/>
      <c r="L339" s="135"/>
      <c r="M339" s="135"/>
      <c r="N339" s="135"/>
      <c r="O339" s="135"/>
      <c r="P339" s="135"/>
      <c r="Q339" s="189"/>
      <c r="R339" s="135"/>
      <c r="S339" s="135"/>
      <c r="T339" s="135"/>
      <c r="U339" s="135"/>
      <c r="V339" s="189"/>
      <c r="W339" s="135"/>
      <c r="X339" s="135"/>
    </row>
    <row r="340" customFormat="false" ht="15.75" hidden="false" customHeight="true" outlineLevel="0" collapsed="false">
      <c r="A340" s="135"/>
      <c r="B340" s="189"/>
      <c r="C340" s="135"/>
      <c r="D340" s="189"/>
      <c r="E340" s="135"/>
      <c r="F340" s="135"/>
      <c r="G340" s="135"/>
      <c r="H340" s="135"/>
      <c r="I340" s="135"/>
      <c r="J340" s="135"/>
      <c r="K340" s="189"/>
      <c r="L340" s="135"/>
      <c r="M340" s="135"/>
      <c r="N340" s="135"/>
      <c r="O340" s="135"/>
      <c r="P340" s="135"/>
      <c r="Q340" s="189"/>
      <c r="R340" s="135"/>
      <c r="S340" s="135"/>
      <c r="T340" s="135"/>
      <c r="U340" s="135"/>
      <c r="V340" s="189"/>
      <c r="W340" s="135"/>
      <c r="X340" s="135"/>
    </row>
    <row r="341" customFormat="false" ht="15.75" hidden="false" customHeight="true" outlineLevel="0" collapsed="false">
      <c r="A341" s="135"/>
      <c r="B341" s="189"/>
      <c r="C341" s="135"/>
      <c r="D341" s="189"/>
      <c r="E341" s="135"/>
      <c r="F341" s="135"/>
      <c r="G341" s="135"/>
      <c r="H341" s="135"/>
      <c r="I341" s="135"/>
      <c r="J341" s="135"/>
      <c r="K341" s="189"/>
      <c r="L341" s="135"/>
      <c r="M341" s="135"/>
      <c r="N341" s="135"/>
      <c r="O341" s="135"/>
      <c r="P341" s="135"/>
      <c r="Q341" s="189"/>
      <c r="R341" s="135"/>
      <c r="S341" s="135"/>
      <c r="T341" s="135"/>
      <c r="U341" s="135"/>
      <c r="V341" s="189"/>
      <c r="W341" s="135"/>
      <c r="X341" s="135"/>
    </row>
    <row r="342" customFormat="false" ht="15.75" hidden="false" customHeight="true" outlineLevel="0" collapsed="false">
      <c r="A342" s="135"/>
      <c r="B342" s="189"/>
      <c r="C342" s="135"/>
      <c r="D342" s="189"/>
      <c r="E342" s="135"/>
      <c r="F342" s="135"/>
      <c r="G342" s="135"/>
      <c r="H342" s="135"/>
      <c r="I342" s="135"/>
      <c r="J342" s="135"/>
      <c r="K342" s="189"/>
      <c r="L342" s="135"/>
      <c r="M342" s="135"/>
      <c r="N342" s="135"/>
      <c r="O342" s="135"/>
      <c r="P342" s="135"/>
      <c r="Q342" s="189"/>
      <c r="R342" s="135"/>
      <c r="S342" s="135"/>
      <c r="T342" s="135"/>
      <c r="U342" s="135"/>
      <c r="V342" s="189"/>
      <c r="W342" s="135"/>
      <c r="X342" s="135"/>
    </row>
    <row r="343" customFormat="false" ht="15.75" hidden="false" customHeight="true" outlineLevel="0" collapsed="false">
      <c r="A343" s="135"/>
      <c r="B343" s="189"/>
      <c r="C343" s="135"/>
      <c r="D343" s="189"/>
      <c r="E343" s="135"/>
      <c r="F343" s="135"/>
      <c r="G343" s="135"/>
      <c r="H343" s="135"/>
      <c r="I343" s="135"/>
      <c r="J343" s="135"/>
      <c r="K343" s="189"/>
      <c r="L343" s="135"/>
      <c r="M343" s="135"/>
      <c r="N343" s="135"/>
      <c r="O343" s="135"/>
      <c r="P343" s="135"/>
      <c r="Q343" s="189"/>
      <c r="R343" s="135"/>
      <c r="S343" s="135"/>
      <c r="T343" s="135"/>
      <c r="U343" s="135"/>
      <c r="V343" s="189"/>
      <c r="W343" s="135"/>
      <c r="X343" s="135"/>
    </row>
    <row r="344" customFormat="false" ht="15.75" hidden="false" customHeight="true" outlineLevel="0" collapsed="false">
      <c r="A344" s="135"/>
      <c r="B344" s="189"/>
      <c r="C344" s="135"/>
      <c r="D344" s="189"/>
      <c r="E344" s="135"/>
      <c r="F344" s="135"/>
      <c r="G344" s="135"/>
      <c r="H344" s="135"/>
      <c r="I344" s="135"/>
      <c r="J344" s="135"/>
      <c r="K344" s="189"/>
      <c r="L344" s="135"/>
      <c r="M344" s="135"/>
      <c r="N344" s="135"/>
      <c r="O344" s="135"/>
      <c r="P344" s="135"/>
      <c r="Q344" s="189"/>
      <c r="R344" s="135"/>
      <c r="S344" s="135"/>
      <c r="T344" s="135"/>
      <c r="U344" s="135"/>
      <c r="V344" s="189"/>
      <c r="W344" s="135"/>
      <c r="X344" s="135"/>
    </row>
    <row r="345" customFormat="false" ht="15.75" hidden="false" customHeight="true" outlineLevel="0" collapsed="false">
      <c r="A345" s="135"/>
      <c r="B345" s="189"/>
      <c r="C345" s="135"/>
      <c r="D345" s="189"/>
      <c r="E345" s="135"/>
      <c r="F345" s="135"/>
      <c r="G345" s="135"/>
      <c r="H345" s="135"/>
      <c r="I345" s="135"/>
      <c r="J345" s="135"/>
      <c r="K345" s="189"/>
      <c r="L345" s="135"/>
      <c r="M345" s="135"/>
      <c r="N345" s="135"/>
      <c r="O345" s="135"/>
      <c r="P345" s="135"/>
      <c r="Q345" s="189"/>
      <c r="R345" s="135"/>
      <c r="S345" s="135"/>
      <c r="T345" s="135"/>
      <c r="U345" s="135"/>
      <c r="V345" s="189"/>
      <c r="W345" s="135"/>
      <c r="X345" s="135"/>
    </row>
    <row r="346" customFormat="false" ht="15.75" hidden="false" customHeight="true" outlineLevel="0" collapsed="false">
      <c r="A346" s="135"/>
      <c r="B346" s="189"/>
      <c r="C346" s="135"/>
      <c r="D346" s="189"/>
      <c r="E346" s="135"/>
      <c r="F346" s="135"/>
      <c r="G346" s="135"/>
      <c r="H346" s="135"/>
      <c r="I346" s="135"/>
      <c r="J346" s="135"/>
      <c r="K346" s="189"/>
      <c r="L346" s="135"/>
      <c r="M346" s="135"/>
      <c r="N346" s="135"/>
      <c r="O346" s="135"/>
      <c r="P346" s="135"/>
      <c r="Q346" s="189"/>
      <c r="R346" s="135"/>
      <c r="S346" s="135"/>
      <c r="T346" s="135"/>
      <c r="U346" s="135"/>
      <c r="V346" s="189"/>
      <c r="W346" s="135"/>
      <c r="X346" s="135"/>
    </row>
    <row r="347" customFormat="false" ht="15.75" hidden="false" customHeight="true" outlineLevel="0" collapsed="false">
      <c r="A347" s="135"/>
      <c r="B347" s="189"/>
      <c r="C347" s="135"/>
      <c r="D347" s="189"/>
      <c r="E347" s="135"/>
      <c r="F347" s="135"/>
      <c r="G347" s="135"/>
      <c r="H347" s="135"/>
      <c r="I347" s="135"/>
      <c r="J347" s="135"/>
      <c r="K347" s="189"/>
      <c r="L347" s="135"/>
      <c r="M347" s="135"/>
      <c r="N347" s="135"/>
      <c r="O347" s="135"/>
      <c r="P347" s="135"/>
      <c r="Q347" s="189"/>
      <c r="R347" s="135"/>
      <c r="S347" s="135"/>
      <c r="T347" s="135"/>
      <c r="U347" s="135"/>
      <c r="V347" s="189"/>
      <c r="W347" s="135"/>
      <c r="X347" s="135"/>
    </row>
    <row r="348" customFormat="false" ht="15.75" hidden="false" customHeight="true" outlineLevel="0" collapsed="false">
      <c r="A348" s="135"/>
      <c r="B348" s="189"/>
      <c r="C348" s="135"/>
      <c r="D348" s="189"/>
      <c r="E348" s="135"/>
      <c r="F348" s="135"/>
      <c r="G348" s="135"/>
      <c r="H348" s="135"/>
      <c r="I348" s="135"/>
      <c r="J348" s="135"/>
      <c r="K348" s="189"/>
      <c r="L348" s="135"/>
      <c r="M348" s="135"/>
      <c r="N348" s="135"/>
      <c r="O348" s="135"/>
      <c r="P348" s="135"/>
      <c r="Q348" s="189"/>
      <c r="R348" s="135"/>
      <c r="S348" s="135"/>
      <c r="T348" s="135"/>
      <c r="U348" s="135"/>
      <c r="V348" s="189"/>
      <c r="W348" s="135"/>
      <c r="X348" s="135"/>
    </row>
    <row r="349" customFormat="false" ht="15.75" hidden="false" customHeight="true" outlineLevel="0" collapsed="false">
      <c r="A349" s="135"/>
      <c r="B349" s="189"/>
      <c r="C349" s="135"/>
      <c r="D349" s="189"/>
      <c r="E349" s="135"/>
      <c r="F349" s="135"/>
      <c r="G349" s="135"/>
      <c r="H349" s="135"/>
      <c r="I349" s="135"/>
      <c r="J349" s="135"/>
      <c r="K349" s="189"/>
      <c r="L349" s="135"/>
      <c r="M349" s="135"/>
      <c r="N349" s="135"/>
      <c r="O349" s="135"/>
      <c r="P349" s="135"/>
      <c r="Q349" s="189"/>
      <c r="R349" s="135"/>
      <c r="S349" s="135"/>
      <c r="T349" s="135"/>
      <c r="U349" s="135"/>
      <c r="V349" s="189"/>
      <c r="W349" s="135"/>
      <c r="X349" s="135"/>
    </row>
    <row r="350" customFormat="false" ht="15.75" hidden="false" customHeight="true" outlineLevel="0" collapsed="false">
      <c r="A350" s="135"/>
      <c r="B350" s="189"/>
      <c r="C350" s="135"/>
      <c r="D350" s="189"/>
      <c r="E350" s="135"/>
      <c r="F350" s="135"/>
      <c r="G350" s="135"/>
      <c r="H350" s="135"/>
      <c r="I350" s="135"/>
      <c r="J350" s="135"/>
      <c r="K350" s="189"/>
      <c r="L350" s="135"/>
      <c r="M350" s="135"/>
      <c r="N350" s="135"/>
      <c r="O350" s="135"/>
      <c r="P350" s="135"/>
      <c r="Q350" s="189"/>
      <c r="R350" s="135"/>
      <c r="S350" s="135"/>
      <c r="T350" s="135"/>
      <c r="U350" s="135"/>
      <c r="V350" s="189"/>
      <c r="W350" s="135"/>
      <c r="X350" s="135"/>
    </row>
    <row r="351" customFormat="false" ht="15.75" hidden="false" customHeight="true" outlineLevel="0" collapsed="false">
      <c r="A351" s="135"/>
      <c r="B351" s="189"/>
      <c r="C351" s="135"/>
      <c r="D351" s="189"/>
      <c r="E351" s="135"/>
      <c r="F351" s="135"/>
      <c r="G351" s="135"/>
      <c r="H351" s="135"/>
      <c r="I351" s="135"/>
      <c r="J351" s="135"/>
      <c r="K351" s="189"/>
      <c r="L351" s="135"/>
      <c r="M351" s="135"/>
      <c r="N351" s="135"/>
      <c r="O351" s="135"/>
      <c r="P351" s="135"/>
      <c r="Q351" s="189"/>
      <c r="R351" s="135"/>
      <c r="S351" s="135"/>
      <c r="T351" s="135"/>
      <c r="U351" s="135"/>
      <c r="V351" s="189"/>
      <c r="W351" s="135"/>
      <c r="X351" s="135"/>
    </row>
    <row r="352" customFormat="false" ht="15.75" hidden="false" customHeight="true" outlineLevel="0" collapsed="false">
      <c r="A352" s="135"/>
      <c r="B352" s="189"/>
      <c r="C352" s="135"/>
      <c r="D352" s="189"/>
      <c r="E352" s="135"/>
      <c r="F352" s="135"/>
      <c r="G352" s="135"/>
      <c r="H352" s="135"/>
      <c r="I352" s="135"/>
      <c r="J352" s="135"/>
      <c r="K352" s="189"/>
      <c r="L352" s="135"/>
      <c r="M352" s="135"/>
      <c r="N352" s="135"/>
      <c r="O352" s="135"/>
      <c r="P352" s="135"/>
      <c r="Q352" s="189"/>
      <c r="R352" s="135"/>
      <c r="S352" s="135"/>
      <c r="T352" s="135"/>
      <c r="U352" s="135"/>
      <c r="V352" s="189"/>
      <c r="W352" s="135"/>
      <c r="X352" s="135"/>
    </row>
    <row r="353" customFormat="false" ht="15.75" hidden="false" customHeight="true" outlineLevel="0" collapsed="false">
      <c r="A353" s="135"/>
      <c r="B353" s="189"/>
      <c r="C353" s="135"/>
      <c r="D353" s="189"/>
      <c r="E353" s="135"/>
      <c r="F353" s="135"/>
      <c r="G353" s="135"/>
      <c r="H353" s="135"/>
      <c r="I353" s="135"/>
      <c r="J353" s="135"/>
      <c r="K353" s="189"/>
      <c r="L353" s="135"/>
      <c r="M353" s="135"/>
      <c r="N353" s="135"/>
      <c r="O353" s="135"/>
      <c r="P353" s="135"/>
      <c r="Q353" s="189"/>
      <c r="R353" s="135"/>
      <c r="S353" s="135"/>
      <c r="T353" s="135"/>
      <c r="U353" s="135"/>
      <c r="V353" s="189"/>
      <c r="W353" s="135"/>
      <c r="X353" s="135"/>
    </row>
    <row r="354" customFormat="false" ht="15.75" hidden="false" customHeight="true" outlineLevel="0" collapsed="false">
      <c r="A354" s="135"/>
      <c r="B354" s="189"/>
      <c r="C354" s="135"/>
      <c r="D354" s="189"/>
      <c r="E354" s="135"/>
      <c r="F354" s="135"/>
      <c r="G354" s="135"/>
      <c r="H354" s="135"/>
      <c r="I354" s="135"/>
      <c r="J354" s="135"/>
      <c r="K354" s="189"/>
      <c r="L354" s="135"/>
      <c r="M354" s="135"/>
      <c r="N354" s="135"/>
      <c r="O354" s="135"/>
      <c r="P354" s="135"/>
      <c r="Q354" s="189"/>
      <c r="R354" s="135"/>
      <c r="S354" s="135"/>
      <c r="T354" s="135"/>
      <c r="U354" s="135"/>
      <c r="V354" s="189"/>
      <c r="W354" s="135"/>
      <c r="X354" s="135"/>
    </row>
    <row r="355" customFormat="false" ht="15.75" hidden="false" customHeight="true" outlineLevel="0" collapsed="false">
      <c r="A355" s="135"/>
      <c r="B355" s="189"/>
      <c r="C355" s="135"/>
      <c r="D355" s="189"/>
      <c r="E355" s="135"/>
      <c r="F355" s="135"/>
      <c r="G355" s="135"/>
      <c r="H355" s="135"/>
      <c r="I355" s="135"/>
      <c r="J355" s="135"/>
      <c r="K355" s="189"/>
      <c r="L355" s="135"/>
      <c r="M355" s="135"/>
      <c r="N355" s="135"/>
      <c r="O355" s="135"/>
      <c r="P355" s="135"/>
      <c r="Q355" s="189"/>
      <c r="R355" s="135"/>
      <c r="S355" s="135"/>
      <c r="T355" s="135"/>
      <c r="U355" s="135"/>
      <c r="V355" s="189"/>
      <c r="W355" s="135"/>
      <c r="X355" s="135"/>
    </row>
    <row r="356" customFormat="false" ht="15.75" hidden="false" customHeight="true" outlineLevel="0" collapsed="false">
      <c r="A356" s="135"/>
      <c r="B356" s="189"/>
      <c r="C356" s="135"/>
      <c r="D356" s="189"/>
      <c r="E356" s="135"/>
      <c r="F356" s="135"/>
      <c r="G356" s="135"/>
      <c r="H356" s="135"/>
      <c r="I356" s="135"/>
      <c r="J356" s="135"/>
      <c r="K356" s="189"/>
      <c r="L356" s="135"/>
      <c r="M356" s="135"/>
      <c r="N356" s="135"/>
      <c r="O356" s="135"/>
      <c r="P356" s="135"/>
      <c r="Q356" s="189"/>
      <c r="R356" s="135"/>
      <c r="S356" s="135"/>
      <c r="T356" s="135"/>
      <c r="U356" s="135"/>
      <c r="V356" s="189"/>
      <c r="W356" s="135"/>
      <c r="X356" s="135"/>
    </row>
    <row r="357" customFormat="false" ht="15.75" hidden="false" customHeight="true" outlineLevel="0" collapsed="false">
      <c r="A357" s="135"/>
      <c r="B357" s="189"/>
      <c r="C357" s="135"/>
      <c r="D357" s="189"/>
      <c r="E357" s="135"/>
      <c r="F357" s="135"/>
      <c r="G357" s="135"/>
      <c r="H357" s="135"/>
      <c r="I357" s="135"/>
      <c r="J357" s="135"/>
      <c r="K357" s="189"/>
      <c r="L357" s="135"/>
      <c r="M357" s="135"/>
      <c r="N357" s="135"/>
      <c r="O357" s="135"/>
      <c r="P357" s="135"/>
      <c r="Q357" s="189"/>
      <c r="R357" s="135"/>
      <c r="S357" s="135"/>
      <c r="T357" s="135"/>
      <c r="U357" s="135"/>
      <c r="V357" s="189"/>
      <c r="W357" s="135"/>
      <c r="X357" s="135"/>
    </row>
    <row r="358" customFormat="false" ht="15.75" hidden="false" customHeight="true" outlineLevel="0" collapsed="false">
      <c r="A358" s="135"/>
      <c r="B358" s="189"/>
      <c r="C358" s="135"/>
      <c r="D358" s="189"/>
      <c r="E358" s="135"/>
      <c r="F358" s="135"/>
      <c r="G358" s="135"/>
      <c r="H358" s="135"/>
      <c r="I358" s="135"/>
      <c r="J358" s="135"/>
      <c r="K358" s="189"/>
      <c r="L358" s="135"/>
      <c r="M358" s="135"/>
      <c r="N358" s="135"/>
      <c r="O358" s="135"/>
      <c r="P358" s="135"/>
      <c r="Q358" s="189"/>
      <c r="R358" s="135"/>
      <c r="S358" s="135"/>
      <c r="T358" s="135"/>
      <c r="U358" s="135"/>
      <c r="V358" s="189"/>
      <c r="W358" s="135"/>
      <c r="X358" s="135"/>
    </row>
    <row r="359" customFormat="false" ht="15.75" hidden="false" customHeight="true" outlineLevel="0" collapsed="false">
      <c r="A359" s="135"/>
      <c r="B359" s="189"/>
      <c r="C359" s="135"/>
      <c r="D359" s="189"/>
      <c r="E359" s="135"/>
      <c r="F359" s="135"/>
      <c r="G359" s="135"/>
      <c r="H359" s="135"/>
      <c r="I359" s="135"/>
      <c r="J359" s="135"/>
      <c r="K359" s="189"/>
      <c r="L359" s="135"/>
      <c r="M359" s="135"/>
      <c r="N359" s="135"/>
      <c r="O359" s="135"/>
      <c r="P359" s="135"/>
      <c r="Q359" s="189"/>
      <c r="R359" s="135"/>
      <c r="S359" s="135"/>
      <c r="T359" s="135"/>
      <c r="U359" s="135"/>
      <c r="V359" s="189"/>
      <c r="W359" s="135"/>
      <c r="X359" s="135"/>
    </row>
    <row r="360" customFormat="false" ht="15.75" hidden="false" customHeight="true" outlineLevel="0" collapsed="false">
      <c r="A360" s="135"/>
      <c r="B360" s="189"/>
      <c r="C360" s="135"/>
      <c r="D360" s="189"/>
      <c r="E360" s="135"/>
      <c r="F360" s="135"/>
      <c r="G360" s="135"/>
      <c r="H360" s="135"/>
      <c r="I360" s="135"/>
      <c r="J360" s="135"/>
      <c r="K360" s="189"/>
      <c r="L360" s="135"/>
      <c r="M360" s="135"/>
      <c r="N360" s="135"/>
      <c r="O360" s="135"/>
      <c r="P360" s="135"/>
      <c r="Q360" s="189"/>
      <c r="R360" s="135"/>
      <c r="S360" s="135"/>
      <c r="T360" s="135"/>
      <c r="U360" s="135"/>
      <c r="V360" s="189"/>
      <c r="W360" s="135"/>
      <c r="X360" s="135"/>
    </row>
    <row r="361" customFormat="false" ht="15.75" hidden="false" customHeight="true" outlineLevel="0" collapsed="false">
      <c r="A361" s="135"/>
      <c r="B361" s="189"/>
      <c r="C361" s="135"/>
      <c r="D361" s="189"/>
      <c r="E361" s="135"/>
      <c r="F361" s="135"/>
      <c r="G361" s="135"/>
      <c r="H361" s="135"/>
      <c r="I361" s="135"/>
      <c r="J361" s="135"/>
      <c r="K361" s="189"/>
      <c r="L361" s="135"/>
      <c r="M361" s="135"/>
      <c r="N361" s="135"/>
      <c r="O361" s="135"/>
      <c r="P361" s="135"/>
      <c r="Q361" s="189"/>
      <c r="R361" s="135"/>
      <c r="S361" s="135"/>
      <c r="T361" s="135"/>
      <c r="U361" s="135"/>
      <c r="V361" s="189"/>
      <c r="W361" s="135"/>
      <c r="X361" s="135"/>
    </row>
    <row r="362" customFormat="false" ht="15.75" hidden="false" customHeight="true" outlineLevel="0" collapsed="false">
      <c r="A362" s="135"/>
      <c r="B362" s="189"/>
      <c r="C362" s="135"/>
      <c r="D362" s="189"/>
      <c r="E362" s="135"/>
      <c r="F362" s="135"/>
      <c r="G362" s="135"/>
      <c r="H362" s="135"/>
      <c r="I362" s="135"/>
      <c r="J362" s="135"/>
      <c r="K362" s="189"/>
      <c r="L362" s="135"/>
      <c r="M362" s="135"/>
      <c r="N362" s="135"/>
      <c r="O362" s="135"/>
      <c r="P362" s="135"/>
      <c r="Q362" s="189"/>
      <c r="R362" s="135"/>
      <c r="S362" s="135"/>
      <c r="T362" s="135"/>
      <c r="U362" s="135"/>
      <c r="V362" s="189"/>
      <c r="W362" s="135"/>
      <c r="X362" s="135"/>
    </row>
    <row r="363" customFormat="false" ht="15.75" hidden="false" customHeight="true" outlineLevel="0" collapsed="false">
      <c r="A363" s="135"/>
      <c r="B363" s="189"/>
      <c r="C363" s="135"/>
      <c r="D363" s="189"/>
      <c r="E363" s="135"/>
      <c r="F363" s="135"/>
      <c r="G363" s="135"/>
      <c r="H363" s="135"/>
      <c r="I363" s="135"/>
      <c r="J363" s="135"/>
      <c r="K363" s="189"/>
      <c r="L363" s="135"/>
      <c r="M363" s="135"/>
      <c r="N363" s="135"/>
      <c r="O363" s="135"/>
      <c r="P363" s="135"/>
      <c r="Q363" s="189"/>
      <c r="R363" s="135"/>
      <c r="S363" s="135"/>
      <c r="T363" s="135"/>
      <c r="U363" s="135"/>
      <c r="V363" s="189"/>
      <c r="W363" s="135"/>
      <c r="X363" s="135"/>
    </row>
    <row r="364" customFormat="false" ht="15.75" hidden="false" customHeight="true" outlineLevel="0" collapsed="false">
      <c r="A364" s="135"/>
      <c r="B364" s="189"/>
      <c r="C364" s="135"/>
      <c r="D364" s="189"/>
      <c r="E364" s="135"/>
      <c r="F364" s="135"/>
      <c r="G364" s="135"/>
      <c r="H364" s="135"/>
      <c r="I364" s="135"/>
      <c r="J364" s="135"/>
      <c r="K364" s="189"/>
      <c r="L364" s="135"/>
      <c r="M364" s="135"/>
      <c r="N364" s="135"/>
      <c r="O364" s="135"/>
      <c r="P364" s="135"/>
      <c r="Q364" s="189"/>
      <c r="R364" s="135"/>
      <c r="S364" s="135"/>
      <c r="T364" s="135"/>
      <c r="U364" s="135"/>
      <c r="V364" s="189"/>
      <c r="W364" s="135"/>
      <c r="X364" s="135"/>
    </row>
    <row r="365" customFormat="false" ht="15.75" hidden="false" customHeight="true" outlineLevel="0" collapsed="false">
      <c r="A365" s="135"/>
      <c r="B365" s="189"/>
      <c r="C365" s="135"/>
      <c r="D365" s="189"/>
      <c r="E365" s="135"/>
      <c r="F365" s="135"/>
      <c r="G365" s="135"/>
      <c r="H365" s="135"/>
      <c r="I365" s="135"/>
      <c r="J365" s="135"/>
      <c r="K365" s="189"/>
      <c r="L365" s="135"/>
      <c r="M365" s="135"/>
      <c r="N365" s="135"/>
      <c r="O365" s="135"/>
      <c r="P365" s="135"/>
      <c r="Q365" s="189"/>
      <c r="R365" s="135"/>
      <c r="S365" s="135"/>
      <c r="T365" s="135"/>
      <c r="U365" s="135"/>
      <c r="V365" s="189"/>
      <c r="W365" s="135"/>
      <c r="X365" s="135"/>
    </row>
    <row r="366" customFormat="false" ht="15.75" hidden="false" customHeight="true" outlineLevel="0" collapsed="false">
      <c r="A366" s="135"/>
      <c r="B366" s="189"/>
      <c r="C366" s="135"/>
      <c r="D366" s="189"/>
      <c r="E366" s="135"/>
      <c r="F366" s="135"/>
      <c r="G366" s="135"/>
      <c r="H366" s="135"/>
      <c r="I366" s="135"/>
      <c r="J366" s="135"/>
      <c r="K366" s="189"/>
      <c r="L366" s="135"/>
      <c r="M366" s="135"/>
      <c r="N366" s="135"/>
      <c r="O366" s="135"/>
      <c r="P366" s="135"/>
      <c r="Q366" s="189"/>
      <c r="R366" s="135"/>
      <c r="S366" s="135"/>
      <c r="T366" s="135"/>
      <c r="U366" s="135"/>
      <c r="V366" s="189"/>
      <c r="W366" s="135"/>
      <c r="X366" s="135"/>
    </row>
    <row r="367" customFormat="false" ht="15.75" hidden="false" customHeight="true" outlineLevel="0" collapsed="false">
      <c r="A367" s="135"/>
      <c r="B367" s="189"/>
      <c r="C367" s="135"/>
      <c r="D367" s="189"/>
      <c r="E367" s="135"/>
      <c r="F367" s="135"/>
      <c r="G367" s="135"/>
      <c r="H367" s="135"/>
      <c r="I367" s="135"/>
      <c r="J367" s="135"/>
      <c r="K367" s="189"/>
      <c r="L367" s="135"/>
      <c r="M367" s="135"/>
      <c r="N367" s="135"/>
      <c r="O367" s="135"/>
      <c r="P367" s="135"/>
      <c r="Q367" s="189"/>
      <c r="R367" s="135"/>
      <c r="S367" s="135"/>
      <c r="T367" s="135"/>
      <c r="U367" s="135"/>
      <c r="V367" s="189"/>
      <c r="W367" s="135"/>
      <c r="X367" s="135"/>
    </row>
    <row r="368" customFormat="false" ht="15.75" hidden="false" customHeight="true" outlineLevel="0" collapsed="false">
      <c r="A368" s="135"/>
      <c r="B368" s="189"/>
      <c r="C368" s="135"/>
      <c r="D368" s="189"/>
      <c r="E368" s="135"/>
      <c r="F368" s="135"/>
      <c r="G368" s="135"/>
      <c r="H368" s="135"/>
      <c r="I368" s="135"/>
      <c r="J368" s="135"/>
      <c r="K368" s="189"/>
      <c r="L368" s="135"/>
      <c r="M368" s="135"/>
      <c r="N368" s="135"/>
      <c r="O368" s="135"/>
      <c r="P368" s="135"/>
      <c r="Q368" s="189"/>
      <c r="R368" s="135"/>
      <c r="S368" s="135"/>
      <c r="T368" s="135"/>
      <c r="U368" s="135"/>
      <c r="V368" s="189"/>
      <c r="W368" s="135"/>
      <c r="X368" s="135"/>
    </row>
    <row r="369" customFormat="false" ht="15.75" hidden="false" customHeight="true" outlineLevel="0" collapsed="false">
      <c r="A369" s="135"/>
      <c r="B369" s="189"/>
      <c r="C369" s="135"/>
      <c r="D369" s="189"/>
      <c r="E369" s="135"/>
      <c r="F369" s="135"/>
      <c r="G369" s="135"/>
      <c r="H369" s="135"/>
      <c r="I369" s="135"/>
      <c r="J369" s="135"/>
      <c r="K369" s="189"/>
      <c r="L369" s="135"/>
      <c r="M369" s="135"/>
      <c r="N369" s="135"/>
      <c r="O369" s="135"/>
      <c r="P369" s="135"/>
      <c r="Q369" s="189"/>
      <c r="R369" s="135"/>
      <c r="S369" s="135"/>
      <c r="T369" s="135"/>
      <c r="U369" s="135"/>
      <c r="V369" s="189"/>
      <c r="W369" s="135"/>
      <c r="X369" s="135"/>
    </row>
    <row r="370" customFormat="false" ht="15.75" hidden="false" customHeight="true" outlineLevel="0" collapsed="false">
      <c r="A370" s="135"/>
      <c r="B370" s="189"/>
      <c r="C370" s="135"/>
      <c r="D370" s="189"/>
      <c r="E370" s="135"/>
      <c r="F370" s="135"/>
      <c r="G370" s="135"/>
      <c r="H370" s="135"/>
      <c r="I370" s="135"/>
      <c r="J370" s="135"/>
      <c r="K370" s="189"/>
      <c r="L370" s="135"/>
      <c r="M370" s="135"/>
      <c r="N370" s="135"/>
      <c r="O370" s="135"/>
      <c r="P370" s="135"/>
      <c r="Q370" s="189"/>
      <c r="R370" s="135"/>
      <c r="S370" s="135"/>
      <c r="T370" s="135"/>
      <c r="U370" s="135"/>
      <c r="V370" s="189"/>
      <c r="W370" s="135"/>
      <c r="X370" s="135"/>
    </row>
    <row r="371" customFormat="false" ht="15.75" hidden="false" customHeight="true" outlineLevel="0" collapsed="false">
      <c r="A371" s="135"/>
      <c r="B371" s="189"/>
      <c r="C371" s="135"/>
      <c r="D371" s="189"/>
      <c r="E371" s="135"/>
      <c r="F371" s="135"/>
      <c r="G371" s="135"/>
      <c r="H371" s="135"/>
      <c r="I371" s="135"/>
      <c r="J371" s="135"/>
      <c r="K371" s="189"/>
      <c r="L371" s="135"/>
      <c r="M371" s="135"/>
      <c r="N371" s="135"/>
      <c r="O371" s="135"/>
      <c r="P371" s="135"/>
      <c r="Q371" s="189"/>
      <c r="R371" s="135"/>
      <c r="S371" s="135"/>
      <c r="T371" s="135"/>
      <c r="U371" s="135"/>
      <c r="V371" s="189"/>
      <c r="W371" s="135"/>
      <c r="X371" s="135"/>
    </row>
    <row r="372" customFormat="false" ht="15.75" hidden="false" customHeight="true" outlineLevel="0" collapsed="false">
      <c r="A372" s="135"/>
      <c r="B372" s="189"/>
      <c r="C372" s="135"/>
      <c r="D372" s="189"/>
      <c r="E372" s="135"/>
      <c r="F372" s="135"/>
      <c r="G372" s="135"/>
      <c r="H372" s="135"/>
      <c r="I372" s="135"/>
      <c r="J372" s="135"/>
      <c r="K372" s="189"/>
      <c r="L372" s="135"/>
      <c r="M372" s="135"/>
      <c r="N372" s="135"/>
      <c r="O372" s="135"/>
      <c r="P372" s="135"/>
      <c r="Q372" s="189"/>
      <c r="R372" s="135"/>
      <c r="S372" s="135"/>
      <c r="T372" s="135"/>
      <c r="U372" s="135"/>
      <c r="V372" s="189"/>
      <c r="W372" s="135"/>
      <c r="X372" s="135"/>
    </row>
    <row r="373" customFormat="false" ht="15.75" hidden="false" customHeight="true" outlineLevel="0" collapsed="false">
      <c r="A373" s="135"/>
      <c r="B373" s="189"/>
      <c r="C373" s="135"/>
      <c r="D373" s="189"/>
      <c r="E373" s="135"/>
      <c r="F373" s="135"/>
      <c r="G373" s="135"/>
      <c r="H373" s="135"/>
      <c r="I373" s="135"/>
      <c r="J373" s="135"/>
      <c r="K373" s="189"/>
      <c r="L373" s="135"/>
      <c r="M373" s="135"/>
      <c r="N373" s="135"/>
      <c r="O373" s="135"/>
      <c r="P373" s="135"/>
      <c r="Q373" s="189"/>
      <c r="R373" s="135"/>
      <c r="S373" s="135"/>
      <c r="T373" s="135"/>
      <c r="U373" s="135"/>
      <c r="V373" s="189"/>
      <c r="W373" s="135"/>
      <c r="X373" s="135"/>
    </row>
    <row r="374" customFormat="false" ht="15.75" hidden="false" customHeight="true" outlineLevel="0" collapsed="false">
      <c r="A374" s="135"/>
      <c r="B374" s="189"/>
      <c r="C374" s="135"/>
      <c r="D374" s="189"/>
      <c r="E374" s="135"/>
      <c r="F374" s="135"/>
      <c r="G374" s="135"/>
      <c r="H374" s="135"/>
      <c r="I374" s="135"/>
      <c r="J374" s="135"/>
      <c r="K374" s="189"/>
      <c r="L374" s="135"/>
      <c r="M374" s="135"/>
      <c r="N374" s="135"/>
      <c r="O374" s="135"/>
      <c r="P374" s="135"/>
      <c r="Q374" s="189"/>
      <c r="R374" s="135"/>
      <c r="S374" s="135"/>
      <c r="T374" s="135"/>
      <c r="U374" s="135"/>
      <c r="V374" s="189"/>
      <c r="W374" s="135"/>
      <c r="X374" s="135"/>
    </row>
    <row r="375" customFormat="false" ht="15.75" hidden="false" customHeight="true" outlineLevel="0" collapsed="false">
      <c r="A375" s="135"/>
      <c r="B375" s="189"/>
      <c r="C375" s="135"/>
      <c r="D375" s="189"/>
      <c r="E375" s="135"/>
      <c r="F375" s="135"/>
      <c r="G375" s="135"/>
      <c r="H375" s="135"/>
      <c r="I375" s="135"/>
      <c r="J375" s="135"/>
      <c r="K375" s="189"/>
      <c r="L375" s="135"/>
      <c r="M375" s="135"/>
      <c r="N375" s="135"/>
      <c r="O375" s="135"/>
      <c r="P375" s="135"/>
      <c r="Q375" s="189"/>
      <c r="R375" s="135"/>
      <c r="S375" s="135"/>
      <c r="T375" s="135"/>
      <c r="U375" s="135"/>
      <c r="V375" s="189"/>
      <c r="W375" s="135"/>
      <c r="X375" s="135"/>
    </row>
    <row r="376" customFormat="false" ht="15.75" hidden="false" customHeight="true" outlineLevel="0" collapsed="false">
      <c r="A376" s="135"/>
      <c r="B376" s="189"/>
      <c r="C376" s="135"/>
      <c r="D376" s="189"/>
      <c r="E376" s="135"/>
      <c r="F376" s="135"/>
      <c r="G376" s="135"/>
      <c r="H376" s="135"/>
      <c r="I376" s="135"/>
      <c r="J376" s="135"/>
      <c r="K376" s="189"/>
      <c r="L376" s="135"/>
      <c r="M376" s="135"/>
      <c r="N376" s="135"/>
      <c r="O376" s="135"/>
      <c r="P376" s="135"/>
      <c r="Q376" s="189"/>
      <c r="R376" s="135"/>
      <c r="S376" s="135"/>
      <c r="T376" s="135"/>
      <c r="U376" s="135"/>
      <c r="V376" s="189"/>
      <c r="W376" s="135"/>
      <c r="X376" s="135"/>
    </row>
    <row r="377" customFormat="false" ht="15.75" hidden="false" customHeight="true" outlineLevel="0" collapsed="false">
      <c r="A377" s="135"/>
      <c r="B377" s="189"/>
      <c r="C377" s="135"/>
      <c r="D377" s="189"/>
      <c r="E377" s="135"/>
      <c r="F377" s="135"/>
      <c r="G377" s="135"/>
      <c r="H377" s="135"/>
      <c r="I377" s="135"/>
      <c r="J377" s="135"/>
      <c r="K377" s="189"/>
      <c r="L377" s="135"/>
      <c r="M377" s="135"/>
      <c r="N377" s="135"/>
      <c r="O377" s="135"/>
      <c r="P377" s="135"/>
      <c r="Q377" s="189"/>
      <c r="R377" s="135"/>
      <c r="S377" s="135"/>
      <c r="T377" s="135"/>
      <c r="U377" s="135"/>
      <c r="V377" s="189"/>
      <c r="W377" s="135"/>
      <c r="X377" s="135"/>
    </row>
    <row r="378" customFormat="false" ht="15.75" hidden="false" customHeight="true" outlineLevel="0" collapsed="false">
      <c r="A378" s="135"/>
      <c r="B378" s="189"/>
      <c r="C378" s="135"/>
      <c r="D378" s="189"/>
      <c r="E378" s="135"/>
      <c r="F378" s="135"/>
      <c r="G378" s="135"/>
      <c r="H378" s="135"/>
      <c r="I378" s="135"/>
      <c r="J378" s="135"/>
      <c r="K378" s="189"/>
      <c r="L378" s="135"/>
      <c r="M378" s="135"/>
      <c r="N378" s="135"/>
      <c r="O378" s="135"/>
      <c r="P378" s="135"/>
      <c r="Q378" s="189"/>
      <c r="R378" s="135"/>
      <c r="S378" s="135"/>
      <c r="T378" s="135"/>
      <c r="U378" s="135"/>
      <c r="V378" s="189"/>
      <c r="W378" s="135"/>
      <c r="X378" s="135"/>
    </row>
    <row r="379" customFormat="false" ht="15.75" hidden="false" customHeight="true" outlineLevel="0" collapsed="false">
      <c r="A379" s="135"/>
      <c r="B379" s="189"/>
      <c r="C379" s="135"/>
      <c r="D379" s="189"/>
      <c r="E379" s="135"/>
      <c r="F379" s="135"/>
      <c r="G379" s="135"/>
      <c r="H379" s="135"/>
      <c r="I379" s="135"/>
      <c r="J379" s="135"/>
      <c r="K379" s="189"/>
      <c r="L379" s="135"/>
      <c r="M379" s="135"/>
      <c r="N379" s="135"/>
      <c r="O379" s="135"/>
      <c r="P379" s="135"/>
      <c r="Q379" s="189"/>
      <c r="R379" s="135"/>
      <c r="S379" s="135"/>
      <c r="T379" s="135"/>
      <c r="U379" s="135"/>
      <c r="V379" s="189"/>
      <c r="W379" s="135"/>
      <c r="X379" s="135"/>
    </row>
    <row r="380" customFormat="false" ht="15.75" hidden="false" customHeight="true" outlineLevel="0" collapsed="false">
      <c r="A380" s="135"/>
      <c r="B380" s="189"/>
      <c r="C380" s="135"/>
      <c r="D380" s="189"/>
      <c r="E380" s="135"/>
      <c r="F380" s="135"/>
      <c r="G380" s="135"/>
      <c r="H380" s="135"/>
      <c r="I380" s="135"/>
      <c r="J380" s="135"/>
      <c r="K380" s="189"/>
      <c r="L380" s="135"/>
      <c r="M380" s="135"/>
      <c r="N380" s="135"/>
      <c r="O380" s="135"/>
      <c r="P380" s="135"/>
      <c r="Q380" s="189"/>
      <c r="R380" s="135"/>
      <c r="S380" s="135"/>
      <c r="T380" s="135"/>
      <c r="U380" s="135"/>
      <c r="V380" s="189"/>
      <c r="W380" s="135"/>
      <c r="X380" s="135"/>
    </row>
    <row r="381" customFormat="false" ht="15.75" hidden="false" customHeight="true" outlineLevel="0" collapsed="false">
      <c r="A381" s="135"/>
      <c r="B381" s="189"/>
      <c r="C381" s="135"/>
      <c r="D381" s="189"/>
      <c r="E381" s="135"/>
      <c r="F381" s="135"/>
      <c r="G381" s="135"/>
      <c r="H381" s="135"/>
      <c r="I381" s="135"/>
      <c r="J381" s="135"/>
      <c r="K381" s="189"/>
      <c r="L381" s="135"/>
      <c r="M381" s="135"/>
      <c r="N381" s="135"/>
      <c r="O381" s="135"/>
      <c r="P381" s="135"/>
      <c r="Q381" s="189"/>
      <c r="R381" s="135"/>
      <c r="S381" s="135"/>
      <c r="T381" s="135"/>
      <c r="U381" s="135"/>
      <c r="V381" s="189"/>
      <c r="W381" s="135"/>
      <c r="X381" s="135"/>
    </row>
    <row r="382" customFormat="false" ht="15.75" hidden="false" customHeight="true" outlineLevel="0" collapsed="false">
      <c r="A382" s="135"/>
      <c r="B382" s="189"/>
      <c r="C382" s="135"/>
      <c r="D382" s="189"/>
      <c r="E382" s="135"/>
      <c r="F382" s="135"/>
      <c r="G382" s="135"/>
      <c r="H382" s="135"/>
      <c r="I382" s="135"/>
      <c r="J382" s="135"/>
      <c r="K382" s="189"/>
      <c r="L382" s="135"/>
      <c r="M382" s="135"/>
      <c r="N382" s="135"/>
      <c r="O382" s="135"/>
      <c r="P382" s="135"/>
      <c r="Q382" s="189"/>
      <c r="R382" s="135"/>
      <c r="S382" s="135"/>
      <c r="T382" s="135"/>
      <c r="U382" s="135"/>
      <c r="V382" s="189"/>
      <c r="W382" s="135"/>
      <c r="X382" s="135"/>
    </row>
    <row r="383" customFormat="false" ht="15.75" hidden="false" customHeight="true" outlineLevel="0" collapsed="false">
      <c r="A383" s="135"/>
      <c r="B383" s="189"/>
      <c r="C383" s="135"/>
      <c r="D383" s="189"/>
      <c r="E383" s="135"/>
      <c r="F383" s="135"/>
      <c r="G383" s="135"/>
      <c r="H383" s="135"/>
      <c r="I383" s="135"/>
      <c r="J383" s="135"/>
      <c r="K383" s="189"/>
      <c r="L383" s="135"/>
      <c r="M383" s="135"/>
      <c r="N383" s="135"/>
      <c r="O383" s="135"/>
      <c r="P383" s="135"/>
      <c r="Q383" s="189"/>
      <c r="R383" s="135"/>
      <c r="S383" s="135"/>
      <c r="T383" s="135"/>
      <c r="U383" s="135"/>
      <c r="V383" s="189"/>
      <c r="W383" s="135"/>
      <c r="X383" s="135"/>
    </row>
    <row r="384" customFormat="false" ht="15.75" hidden="false" customHeight="true" outlineLevel="0" collapsed="false">
      <c r="A384" s="135"/>
      <c r="B384" s="189"/>
      <c r="C384" s="135"/>
      <c r="D384" s="189"/>
      <c r="E384" s="135"/>
      <c r="F384" s="135"/>
      <c r="G384" s="135"/>
      <c r="H384" s="135"/>
      <c r="I384" s="135"/>
      <c r="J384" s="135"/>
      <c r="K384" s="189"/>
      <c r="L384" s="135"/>
      <c r="M384" s="135"/>
      <c r="N384" s="135"/>
      <c r="O384" s="135"/>
      <c r="P384" s="135"/>
      <c r="Q384" s="189"/>
      <c r="R384" s="135"/>
      <c r="S384" s="135"/>
      <c r="T384" s="135"/>
      <c r="U384" s="135"/>
      <c r="V384" s="189"/>
      <c r="W384" s="135"/>
      <c r="X384" s="135"/>
    </row>
    <row r="385" customFormat="false" ht="15.75" hidden="false" customHeight="true" outlineLevel="0" collapsed="false">
      <c r="A385" s="135"/>
      <c r="B385" s="189"/>
      <c r="C385" s="135"/>
      <c r="D385" s="189"/>
      <c r="E385" s="135"/>
      <c r="F385" s="135"/>
      <c r="G385" s="135"/>
      <c r="H385" s="135"/>
      <c r="I385" s="135"/>
      <c r="J385" s="135"/>
      <c r="K385" s="189"/>
      <c r="L385" s="135"/>
      <c r="M385" s="135"/>
      <c r="N385" s="135"/>
      <c r="O385" s="135"/>
      <c r="P385" s="135"/>
      <c r="Q385" s="189"/>
      <c r="R385" s="135"/>
      <c r="S385" s="135"/>
      <c r="T385" s="135"/>
      <c r="U385" s="135"/>
      <c r="V385" s="189"/>
      <c r="W385" s="135"/>
      <c r="X385" s="135"/>
    </row>
    <row r="386" customFormat="false" ht="15.75" hidden="false" customHeight="true" outlineLevel="0" collapsed="false">
      <c r="A386" s="135"/>
      <c r="B386" s="189"/>
      <c r="C386" s="135"/>
      <c r="D386" s="189"/>
      <c r="E386" s="135"/>
      <c r="F386" s="135"/>
      <c r="G386" s="135"/>
      <c r="H386" s="135"/>
      <c r="I386" s="135"/>
      <c r="J386" s="135"/>
      <c r="K386" s="189"/>
      <c r="L386" s="135"/>
      <c r="M386" s="135"/>
      <c r="N386" s="135"/>
      <c r="O386" s="135"/>
      <c r="P386" s="135"/>
      <c r="Q386" s="189"/>
      <c r="R386" s="135"/>
      <c r="S386" s="135"/>
      <c r="T386" s="135"/>
      <c r="U386" s="135"/>
      <c r="V386" s="189"/>
      <c r="W386" s="135"/>
      <c r="X386" s="135"/>
    </row>
    <row r="387" customFormat="false" ht="15.75" hidden="false" customHeight="true" outlineLevel="0" collapsed="false">
      <c r="A387" s="135"/>
      <c r="B387" s="189"/>
      <c r="C387" s="135"/>
      <c r="D387" s="189"/>
      <c r="E387" s="135"/>
      <c r="F387" s="135"/>
      <c r="G387" s="135"/>
      <c r="H387" s="135"/>
      <c r="I387" s="135"/>
      <c r="J387" s="135"/>
      <c r="K387" s="189"/>
      <c r="L387" s="135"/>
      <c r="M387" s="135"/>
      <c r="N387" s="135"/>
      <c r="O387" s="135"/>
      <c r="P387" s="135"/>
      <c r="Q387" s="189"/>
      <c r="R387" s="135"/>
      <c r="S387" s="135"/>
      <c r="T387" s="135"/>
      <c r="U387" s="135"/>
      <c r="V387" s="189"/>
      <c r="W387" s="135"/>
      <c r="X387" s="135"/>
    </row>
    <row r="388" customFormat="false" ht="15.75" hidden="false" customHeight="true" outlineLevel="0" collapsed="false">
      <c r="A388" s="135"/>
      <c r="B388" s="189"/>
      <c r="C388" s="135"/>
      <c r="D388" s="189"/>
      <c r="E388" s="135"/>
      <c r="F388" s="135"/>
      <c r="G388" s="135"/>
      <c r="H388" s="135"/>
      <c r="I388" s="135"/>
      <c r="J388" s="135"/>
      <c r="K388" s="189"/>
      <c r="L388" s="135"/>
      <c r="M388" s="135"/>
      <c r="N388" s="135"/>
      <c r="O388" s="135"/>
      <c r="P388" s="135"/>
      <c r="Q388" s="189"/>
      <c r="R388" s="135"/>
      <c r="S388" s="135"/>
      <c r="T388" s="135"/>
      <c r="U388" s="135"/>
      <c r="V388" s="189"/>
      <c r="W388" s="135"/>
      <c r="X388" s="135"/>
    </row>
    <row r="389" customFormat="false" ht="15.75" hidden="false" customHeight="true" outlineLevel="0" collapsed="false">
      <c r="A389" s="135"/>
      <c r="B389" s="189"/>
      <c r="C389" s="135"/>
      <c r="D389" s="189"/>
      <c r="E389" s="135"/>
      <c r="F389" s="135"/>
      <c r="G389" s="135"/>
      <c r="H389" s="135"/>
      <c r="I389" s="135"/>
      <c r="J389" s="135"/>
      <c r="K389" s="189"/>
      <c r="L389" s="135"/>
      <c r="M389" s="135"/>
      <c r="N389" s="135"/>
      <c r="O389" s="135"/>
      <c r="P389" s="135"/>
      <c r="Q389" s="189"/>
      <c r="R389" s="135"/>
      <c r="S389" s="135"/>
      <c r="T389" s="135"/>
      <c r="U389" s="135"/>
      <c r="V389" s="189"/>
      <c r="W389" s="135"/>
      <c r="X389" s="135"/>
    </row>
    <row r="390" customFormat="false" ht="15.75" hidden="false" customHeight="true" outlineLevel="0" collapsed="false">
      <c r="A390" s="135"/>
      <c r="B390" s="189"/>
      <c r="C390" s="135"/>
      <c r="D390" s="189"/>
      <c r="E390" s="135"/>
      <c r="F390" s="135"/>
      <c r="G390" s="135"/>
      <c r="H390" s="135"/>
      <c r="I390" s="135"/>
      <c r="J390" s="135"/>
      <c r="K390" s="189"/>
      <c r="L390" s="135"/>
      <c r="M390" s="135"/>
      <c r="N390" s="135"/>
      <c r="O390" s="135"/>
      <c r="P390" s="135"/>
      <c r="Q390" s="189"/>
      <c r="R390" s="135"/>
      <c r="S390" s="135"/>
      <c r="T390" s="135"/>
      <c r="U390" s="135"/>
      <c r="V390" s="189"/>
      <c r="W390" s="135"/>
      <c r="X390" s="135"/>
    </row>
    <row r="391" customFormat="false" ht="15.75" hidden="false" customHeight="true" outlineLevel="0" collapsed="false">
      <c r="A391" s="135"/>
      <c r="B391" s="189"/>
      <c r="C391" s="135"/>
      <c r="D391" s="189"/>
      <c r="E391" s="135"/>
      <c r="F391" s="135"/>
      <c r="G391" s="135"/>
      <c r="H391" s="135"/>
      <c r="I391" s="135"/>
      <c r="J391" s="135"/>
      <c r="K391" s="189"/>
      <c r="L391" s="135"/>
      <c r="M391" s="135"/>
      <c r="N391" s="135"/>
      <c r="O391" s="135"/>
      <c r="P391" s="135"/>
      <c r="Q391" s="189"/>
      <c r="R391" s="135"/>
      <c r="S391" s="135"/>
      <c r="T391" s="135"/>
      <c r="U391" s="135"/>
      <c r="V391" s="189"/>
      <c r="W391" s="135"/>
      <c r="X391" s="135"/>
    </row>
    <row r="392" customFormat="false" ht="15.75" hidden="false" customHeight="true" outlineLevel="0" collapsed="false">
      <c r="A392" s="135"/>
      <c r="B392" s="189"/>
      <c r="C392" s="135"/>
      <c r="D392" s="189"/>
      <c r="E392" s="135"/>
      <c r="F392" s="135"/>
      <c r="G392" s="135"/>
      <c r="H392" s="135"/>
      <c r="I392" s="135"/>
      <c r="J392" s="135"/>
      <c r="K392" s="189"/>
      <c r="L392" s="135"/>
      <c r="M392" s="135"/>
      <c r="N392" s="135"/>
      <c r="O392" s="135"/>
      <c r="P392" s="135"/>
      <c r="Q392" s="189"/>
      <c r="R392" s="135"/>
      <c r="S392" s="135"/>
      <c r="T392" s="135"/>
      <c r="U392" s="135"/>
      <c r="V392" s="189"/>
      <c r="W392" s="135"/>
      <c r="X392" s="135"/>
    </row>
    <row r="393" customFormat="false" ht="15.75" hidden="false" customHeight="true" outlineLevel="0" collapsed="false">
      <c r="A393" s="135"/>
      <c r="B393" s="189"/>
      <c r="C393" s="135"/>
      <c r="D393" s="189"/>
      <c r="E393" s="135"/>
      <c r="F393" s="135"/>
      <c r="G393" s="135"/>
      <c r="H393" s="135"/>
      <c r="I393" s="135"/>
      <c r="J393" s="135"/>
      <c r="K393" s="189"/>
      <c r="L393" s="135"/>
      <c r="M393" s="135"/>
      <c r="N393" s="135"/>
      <c r="O393" s="135"/>
      <c r="P393" s="135"/>
      <c r="Q393" s="189"/>
      <c r="R393" s="135"/>
      <c r="S393" s="135"/>
      <c r="T393" s="135"/>
      <c r="U393" s="135"/>
      <c r="V393" s="189"/>
      <c r="W393" s="135"/>
      <c r="X393" s="135"/>
    </row>
    <row r="394" customFormat="false" ht="15.75" hidden="false" customHeight="true" outlineLevel="0" collapsed="false">
      <c r="A394" s="135"/>
      <c r="B394" s="189"/>
      <c r="C394" s="135"/>
      <c r="D394" s="189"/>
      <c r="E394" s="135"/>
      <c r="F394" s="135"/>
      <c r="G394" s="135"/>
      <c r="H394" s="135"/>
      <c r="I394" s="135"/>
      <c r="J394" s="135"/>
      <c r="K394" s="189"/>
      <c r="L394" s="135"/>
      <c r="M394" s="135"/>
      <c r="N394" s="135"/>
      <c r="O394" s="135"/>
      <c r="P394" s="135"/>
      <c r="Q394" s="189"/>
      <c r="R394" s="135"/>
      <c r="S394" s="135"/>
      <c r="T394" s="135"/>
      <c r="U394" s="135"/>
      <c r="V394" s="189"/>
      <c r="W394" s="135"/>
      <c r="X394" s="135"/>
    </row>
    <row r="395" customFormat="false" ht="15.75" hidden="false" customHeight="true" outlineLevel="0" collapsed="false">
      <c r="A395" s="135"/>
      <c r="B395" s="189"/>
      <c r="C395" s="135"/>
      <c r="D395" s="189"/>
      <c r="E395" s="135"/>
      <c r="F395" s="135"/>
      <c r="G395" s="135"/>
      <c r="H395" s="135"/>
      <c r="I395" s="135"/>
      <c r="J395" s="135"/>
      <c r="K395" s="189"/>
      <c r="L395" s="135"/>
      <c r="M395" s="135"/>
      <c r="N395" s="135"/>
      <c r="O395" s="135"/>
      <c r="P395" s="135"/>
      <c r="Q395" s="189"/>
      <c r="R395" s="135"/>
      <c r="S395" s="135"/>
      <c r="T395" s="135"/>
      <c r="U395" s="135"/>
      <c r="V395" s="189"/>
      <c r="W395" s="135"/>
      <c r="X395" s="135"/>
    </row>
    <row r="396" customFormat="false" ht="15.75" hidden="false" customHeight="true" outlineLevel="0" collapsed="false">
      <c r="A396" s="135"/>
      <c r="B396" s="189"/>
      <c r="C396" s="135"/>
      <c r="D396" s="189"/>
      <c r="E396" s="135"/>
      <c r="F396" s="135"/>
      <c r="G396" s="135"/>
      <c r="H396" s="135"/>
      <c r="I396" s="135"/>
      <c r="J396" s="135"/>
      <c r="K396" s="189"/>
      <c r="L396" s="135"/>
      <c r="M396" s="135"/>
      <c r="N396" s="135"/>
      <c r="O396" s="135"/>
      <c r="P396" s="135"/>
      <c r="Q396" s="189"/>
      <c r="R396" s="135"/>
      <c r="S396" s="135"/>
      <c r="T396" s="135"/>
      <c r="U396" s="135"/>
      <c r="V396" s="189"/>
      <c r="W396" s="135"/>
      <c r="X396" s="135"/>
    </row>
    <row r="397" customFormat="false" ht="15.75" hidden="false" customHeight="true" outlineLevel="0" collapsed="false">
      <c r="A397" s="135"/>
      <c r="B397" s="189"/>
      <c r="C397" s="135"/>
      <c r="D397" s="189"/>
      <c r="E397" s="135"/>
      <c r="F397" s="135"/>
      <c r="G397" s="135"/>
      <c r="H397" s="135"/>
      <c r="I397" s="135"/>
      <c r="J397" s="135"/>
      <c r="K397" s="189"/>
      <c r="L397" s="135"/>
      <c r="M397" s="135"/>
      <c r="N397" s="135"/>
      <c r="O397" s="135"/>
      <c r="P397" s="135"/>
      <c r="Q397" s="189"/>
      <c r="R397" s="135"/>
      <c r="S397" s="135"/>
      <c r="T397" s="135"/>
      <c r="U397" s="135"/>
      <c r="V397" s="189"/>
      <c r="W397" s="135"/>
      <c r="X397" s="135"/>
    </row>
    <row r="398" customFormat="false" ht="15.75" hidden="false" customHeight="true" outlineLevel="0" collapsed="false">
      <c r="A398" s="135"/>
      <c r="B398" s="189"/>
      <c r="C398" s="135"/>
      <c r="D398" s="189"/>
      <c r="E398" s="135"/>
      <c r="F398" s="135"/>
      <c r="G398" s="135"/>
      <c r="H398" s="135"/>
      <c r="I398" s="135"/>
      <c r="J398" s="135"/>
      <c r="K398" s="189"/>
      <c r="L398" s="135"/>
      <c r="M398" s="135"/>
      <c r="N398" s="135"/>
      <c r="O398" s="135"/>
      <c r="P398" s="135"/>
      <c r="Q398" s="189"/>
      <c r="R398" s="135"/>
      <c r="S398" s="135"/>
      <c r="T398" s="135"/>
      <c r="U398" s="135"/>
      <c r="V398" s="189"/>
      <c r="W398" s="135"/>
      <c r="X398" s="135"/>
    </row>
    <row r="399" customFormat="false" ht="15.75" hidden="false" customHeight="true" outlineLevel="0" collapsed="false">
      <c r="A399" s="135"/>
      <c r="B399" s="189"/>
      <c r="C399" s="135"/>
      <c r="D399" s="189"/>
      <c r="E399" s="135"/>
      <c r="F399" s="135"/>
      <c r="G399" s="135"/>
      <c r="H399" s="135"/>
      <c r="I399" s="135"/>
      <c r="J399" s="135"/>
      <c r="K399" s="189"/>
      <c r="L399" s="135"/>
      <c r="M399" s="135"/>
      <c r="N399" s="135"/>
      <c r="O399" s="135"/>
      <c r="P399" s="135"/>
      <c r="Q399" s="189"/>
      <c r="R399" s="135"/>
      <c r="S399" s="135"/>
      <c r="T399" s="135"/>
      <c r="U399" s="135"/>
      <c r="V399" s="189"/>
      <c r="W399" s="135"/>
      <c r="X399" s="135"/>
    </row>
    <row r="400" customFormat="false" ht="15.75" hidden="false" customHeight="true" outlineLevel="0" collapsed="false">
      <c r="A400" s="135"/>
      <c r="B400" s="189"/>
      <c r="C400" s="135"/>
      <c r="D400" s="189"/>
      <c r="E400" s="135"/>
      <c r="F400" s="135"/>
      <c r="G400" s="135"/>
      <c r="H400" s="135"/>
      <c r="I400" s="135"/>
      <c r="J400" s="135"/>
      <c r="K400" s="189"/>
      <c r="L400" s="135"/>
      <c r="M400" s="135"/>
      <c r="N400" s="135"/>
      <c r="O400" s="135"/>
      <c r="P400" s="135"/>
      <c r="Q400" s="189"/>
      <c r="R400" s="135"/>
      <c r="S400" s="135"/>
      <c r="T400" s="135"/>
      <c r="U400" s="135"/>
      <c r="V400" s="189"/>
      <c r="W400" s="135"/>
      <c r="X400" s="135"/>
    </row>
    <row r="401" customFormat="false" ht="15.75" hidden="false" customHeight="true" outlineLevel="0" collapsed="false">
      <c r="A401" s="135"/>
      <c r="B401" s="189"/>
      <c r="C401" s="135"/>
      <c r="D401" s="189"/>
      <c r="E401" s="135"/>
      <c r="F401" s="135"/>
      <c r="G401" s="135"/>
      <c r="H401" s="135"/>
      <c r="I401" s="135"/>
      <c r="J401" s="135"/>
      <c r="K401" s="189"/>
      <c r="L401" s="135"/>
      <c r="M401" s="135"/>
      <c r="N401" s="135"/>
      <c r="O401" s="135"/>
      <c r="P401" s="135"/>
      <c r="Q401" s="189"/>
      <c r="R401" s="135"/>
      <c r="S401" s="135"/>
      <c r="T401" s="135"/>
      <c r="U401" s="135"/>
      <c r="V401" s="189"/>
      <c r="W401" s="135"/>
      <c r="X401" s="135"/>
    </row>
    <row r="402" customFormat="false" ht="15.75" hidden="false" customHeight="true" outlineLevel="0" collapsed="false">
      <c r="A402" s="135"/>
      <c r="B402" s="189"/>
      <c r="C402" s="135"/>
      <c r="D402" s="189"/>
      <c r="E402" s="135"/>
      <c r="F402" s="135"/>
      <c r="G402" s="135"/>
      <c r="H402" s="135"/>
      <c r="I402" s="135"/>
      <c r="J402" s="135"/>
      <c r="K402" s="189"/>
      <c r="L402" s="135"/>
      <c r="M402" s="135"/>
      <c r="N402" s="135"/>
      <c r="O402" s="135"/>
      <c r="P402" s="135"/>
      <c r="Q402" s="189"/>
      <c r="R402" s="135"/>
      <c r="S402" s="135"/>
      <c r="T402" s="135"/>
      <c r="U402" s="135"/>
      <c r="V402" s="189"/>
      <c r="W402" s="135"/>
      <c r="X402" s="135"/>
    </row>
    <row r="403" customFormat="false" ht="15.75" hidden="false" customHeight="true" outlineLevel="0" collapsed="false">
      <c r="A403" s="135"/>
      <c r="B403" s="189"/>
      <c r="C403" s="135"/>
      <c r="D403" s="189"/>
      <c r="E403" s="135"/>
      <c r="F403" s="135"/>
      <c r="G403" s="135"/>
      <c r="H403" s="135"/>
      <c r="I403" s="135"/>
      <c r="J403" s="135"/>
      <c r="K403" s="189"/>
      <c r="L403" s="135"/>
      <c r="M403" s="135"/>
      <c r="N403" s="135"/>
      <c r="O403" s="135"/>
      <c r="P403" s="135"/>
      <c r="Q403" s="189"/>
      <c r="R403" s="135"/>
      <c r="S403" s="135"/>
      <c r="T403" s="135"/>
      <c r="U403" s="135"/>
      <c r="V403" s="189"/>
      <c r="W403" s="135"/>
      <c r="X403" s="135"/>
    </row>
    <row r="404" customFormat="false" ht="15.75" hidden="false" customHeight="true" outlineLevel="0" collapsed="false">
      <c r="A404" s="135"/>
      <c r="B404" s="189"/>
      <c r="C404" s="135"/>
      <c r="D404" s="189"/>
      <c r="E404" s="135"/>
      <c r="F404" s="135"/>
      <c r="G404" s="135"/>
      <c r="H404" s="135"/>
      <c r="I404" s="135"/>
      <c r="J404" s="135"/>
      <c r="K404" s="189"/>
      <c r="L404" s="135"/>
      <c r="M404" s="135"/>
      <c r="N404" s="135"/>
      <c r="O404" s="135"/>
      <c r="P404" s="135"/>
      <c r="Q404" s="189"/>
      <c r="R404" s="135"/>
      <c r="S404" s="135"/>
      <c r="T404" s="135"/>
      <c r="U404" s="135"/>
      <c r="V404" s="189"/>
      <c r="W404" s="135"/>
      <c r="X404" s="135"/>
    </row>
    <row r="405" customFormat="false" ht="15.75" hidden="false" customHeight="true" outlineLevel="0" collapsed="false">
      <c r="A405" s="135"/>
      <c r="B405" s="189"/>
      <c r="C405" s="135"/>
      <c r="D405" s="189"/>
      <c r="E405" s="135"/>
      <c r="F405" s="135"/>
      <c r="G405" s="135"/>
      <c r="H405" s="135"/>
      <c r="I405" s="135"/>
      <c r="J405" s="135"/>
      <c r="K405" s="189"/>
      <c r="L405" s="135"/>
      <c r="M405" s="135"/>
      <c r="N405" s="135"/>
      <c r="O405" s="135"/>
      <c r="P405" s="135"/>
      <c r="Q405" s="189"/>
      <c r="R405" s="135"/>
      <c r="S405" s="135"/>
      <c r="T405" s="135"/>
      <c r="U405" s="135"/>
      <c r="V405" s="189"/>
      <c r="W405" s="135"/>
      <c r="X405" s="135"/>
    </row>
    <row r="406" customFormat="false" ht="15.75" hidden="false" customHeight="true" outlineLevel="0" collapsed="false">
      <c r="A406" s="135"/>
      <c r="B406" s="189"/>
      <c r="C406" s="135"/>
      <c r="D406" s="189"/>
      <c r="E406" s="135"/>
      <c r="F406" s="135"/>
      <c r="G406" s="135"/>
      <c r="H406" s="135"/>
      <c r="I406" s="135"/>
      <c r="J406" s="135"/>
      <c r="K406" s="189"/>
      <c r="L406" s="135"/>
      <c r="M406" s="135"/>
      <c r="N406" s="135"/>
      <c r="O406" s="135"/>
      <c r="P406" s="135"/>
      <c r="Q406" s="189"/>
      <c r="R406" s="135"/>
      <c r="S406" s="135"/>
      <c r="T406" s="135"/>
      <c r="U406" s="135"/>
      <c r="V406" s="189"/>
      <c r="W406" s="135"/>
      <c r="X406" s="135"/>
    </row>
    <row r="407" customFormat="false" ht="15.75" hidden="false" customHeight="true" outlineLevel="0" collapsed="false">
      <c r="A407" s="135"/>
      <c r="B407" s="189"/>
      <c r="C407" s="135"/>
      <c r="D407" s="189"/>
      <c r="E407" s="135"/>
      <c r="F407" s="135"/>
      <c r="G407" s="135"/>
      <c r="H407" s="135"/>
      <c r="I407" s="135"/>
      <c r="J407" s="135"/>
      <c r="K407" s="189"/>
      <c r="L407" s="135"/>
      <c r="M407" s="135"/>
      <c r="N407" s="135"/>
      <c r="O407" s="135"/>
      <c r="P407" s="135"/>
      <c r="Q407" s="189"/>
      <c r="R407" s="135"/>
      <c r="S407" s="135"/>
      <c r="T407" s="135"/>
      <c r="U407" s="135"/>
      <c r="V407" s="189"/>
      <c r="W407" s="135"/>
      <c r="X407" s="135"/>
    </row>
    <row r="408" customFormat="false" ht="15.75" hidden="false" customHeight="true" outlineLevel="0" collapsed="false">
      <c r="A408" s="135"/>
      <c r="B408" s="189"/>
      <c r="C408" s="135"/>
      <c r="D408" s="189"/>
      <c r="E408" s="135"/>
      <c r="F408" s="135"/>
      <c r="G408" s="135"/>
      <c r="H408" s="135"/>
      <c r="I408" s="135"/>
      <c r="J408" s="135"/>
      <c r="K408" s="189"/>
      <c r="L408" s="135"/>
      <c r="M408" s="135"/>
      <c r="N408" s="135"/>
      <c r="O408" s="135"/>
      <c r="P408" s="135"/>
      <c r="Q408" s="189"/>
      <c r="R408" s="135"/>
      <c r="S408" s="135"/>
      <c r="T408" s="135"/>
      <c r="U408" s="135"/>
      <c r="V408" s="189"/>
      <c r="W408" s="135"/>
      <c r="X408" s="135"/>
    </row>
    <row r="409" customFormat="false" ht="15.75" hidden="false" customHeight="true" outlineLevel="0" collapsed="false">
      <c r="A409" s="135"/>
      <c r="B409" s="189"/>
      <c r="C409" s="135"/>
      <c r="D409" s="189"/>
      <c r="E409" s="135"/>
      <c r="F409" s="135"/>
      <c r="G409" s="135"/>
      <c r="H409" s="135"/>
      <c r="I409" s="135"/>
      <c r="J409" s="135"/>
      <c r="K409" s="189"/>
      <c r="L409" s="135"/>
      <c r="M409" s="135"/>
      <c r="N409" s="135"/>
      <c r="O409" s="135"/>
      <c r="P409" s="135"/>
      <c r="Q409" s="189"/>
      <c r="R409" s="135"/>
      <c r="S409" s="135"/>
      <c r="T409" s="135"/>
      <c r="U409" s="135"/>
      <c r="V409" s="189"/>
      <c r="W409" s="135"/>
      <c r="X409" s="135"/>
    </row>
    <row r="410" customFormat="false" ht="15.75" hidden="false" customHeight="true" outlineLevel="0" collapsed="false">
      <c r="A410" s="135"/>
      <c r="B410" s="189"/>
      <c r="C410" s="135"/>
      <c r="D410" s="189"/>
      <c r="E410" s="135"/>
      <c r="F410" s="135"/>
      <c r="G410" s="135"/>
      <c r="H410" s="135"/>
      <c r="I410" s="135"/>
      <c r="J410" s="135"/>
      <c r="K410" s="189"/>
      <c r="L410" s="135"/>
      <c r="M410" s="135"/>
      <c r="N410" s="135"/>
      <c r="O410" s="135"/>
      <c r="P410" s="135"/>
      <c r="Q410" s="189"/>
      <c r="R410" s="135"/>
      <c r="S410" s="135"/>
      <c r="T410" s="135"/>
      <c r="U410" s="135"/>
      <c r="V410" s="189"/>
      <c r="W410" s="135"/>
      <c r="X410" s="135"/>
    </row>
    <row r="411" customFormat="false" ht="15.75" hidden="false" customHeight="true" outlineLevel="0" collapsed="false">
      <c r="A411" s="135"/>
      <c r="B411" s="189"/>
      <c r="C411" s="135"/>
      <c r="D411" s="189"/>
      <c r="E411" s="135"/>
      <c r="F411" s="135"/>
      <c r="G411" s="135"/>
      <c r="H411" s="135"/>
      <c r="I411" s="135"/>
      <c r="J411" s="135"/>
      <c r="K411" s="189"/>
      <c r="L411" s="135"/>
      <c r="M411" s="135"/>
      <c r="N411" s="135"/>
      <c r="O411" s="135"/>
      <c r="P411" s="135"/>
      <c r="Q411" s="189"/>
      <c r="R411" s="135"/>
      <c r="S411" s="135"/>
      <c r="T411" s="135"/>
      <c r="U411" s="135"/>
      <c r="V411" s="189"/>
      <c r="W411" s="135"/>
      <c r="X411" s="135"/>
    </row>
    <row r="412" customFormat="false" ht="15.75" hidden="false" customHeight="true" outlineLevel="0" collapsed="false">
      <c r="A412" s="135"/>
      <c r="B412" s="189"/>
      <c r="C412" s="135"/>
      <c r="D412" s="189"/>
      <c r="E412" s="135"/>
      <c r="F412" s="135"/>
      <c r="G412" s="135"/>
      <c r="H412" s="135"/>
      <c r="I412" s="135"/>
      <c r="J412" s="135"/>
      <c r="K412" s="189"/>
      <c r="L412" s="135"/>
      <c r="M412" s="135"/>
      <c r="N412" s="135"/>
      <c r="O412" s="135"/>
      <c r="P412" s="135"/>
      <c r="Q412" s="189"/>
      <c r="R412" s="135"/>
      <c r="S412" s="135"/>
      <c r="T412" s="135"/>
      <c r="U412" s="135"/>
      <c r="V412" s="189"/>
      <c r="W412" s="135"/>
      <c r="X412" s="135"/>
    </row>
    <row r="413" customFormat="false" ht="15.75" hidden="false" customHeight="true" outlineLevel="0" collapsed="false">
      <c r="A413" s="135"/>
      <c r="B413" s="189"/>
      <c r="C413" s="135"/>
      <c r="D413" s="189"/>
      <c r="E413" s="135"/>
      <c r="F413" s="135"/>
      <c r="G413" s="135"/>
      <c r="H413" s="135"/>
      <c r="I413" s="135"/>
      <c r="J413" s="135"/>
      <c r="K413" s="189"/>
      <c r="L413" s="135"/>
      <c r="M413" s="135"/>
      <c r="N413" s="135"/>
      <c r="O413" s="135"/>
      <c r="P413" s="135"/>
      <c r="Q413" s="189"/>
      <c r="R413" s="135"/>
      <c r="S413" s="135"/>
      <c r="T413" s="135"/>
      <c r="U413" s="135"/>
      <c r="V413" s="189"/>
      <c r="W413" s="135"/>
      <c r="X413" s="135"/>
    </row>
    <row r="414" customFormat="false" ht="15.75" hidden="false" customHeight="true" outlineLevel="0" collapsed="false">
      <c r="A414" s="135"/>
      <c r="B414" s="189"/>
      <c r="C414" s="135"/>
      <c r="D414" s="189"/>
      <c r="E414" s="135"/>
      <c r="F414" s="135"/>
      <c r="G414" s="135"/>
      <c r="H414" s="135"/>
      <c r="I414" s="135"/>
      <c r="J414" s="135"/>
      <c r="K414" s="189"/>
      <c r="L414" s="135"/>
      <c r="M414" s="135"/>
      <c r="N414" s="135"/>
      <c r="O414" s="135"/>
      <c r="P414" s="135"/>
      <c r="Q414" s="189"/>
      <c r="R414" s="135"/>
      <c r="S414" s="135"/>
      <c r="T414" s="135"/>
      <c r="U414" s="135"/>
      <c r="V414" s="189"/>
      <c r="W414" s="135"/>
      <c r="X414" s="135"/>
    </row>
    <row r="415" customFormat="false" ht="15.75" hidden="false" customHeight="true" outlineLevel="0" collapsed="false">
      <c r="A415" s="135"/>
      <c r="B415" s="189"/>
      <c r="C415" s="135"/>
      <c r="D415" s="189"/>
      <c r="E415" s="135"/>
      <c r="F415" s="135"/>
      <c r="G415" s="135"/>
      <c r="H415" s="135"/>
      <c r="I415" s="135"/>
      <c r="J415" s="135"/>
      <c r="K415" s="189"/>
      <c r="L415" s="135"/>
      <c r="M415" s="135"/>
      <c r="N415" s="135"/>
      <c r="O415" s="135"/>
      <c r="P415" s="135"/>
      <c r="Q415" s="189"/>
      <c r="R415" s="135"/>
      <c r="S415" s="135"/>
      <c r="T415" s="135"/>
      <c r="U415" s="135"/>
      <c r="V415" s="189"/>
      <c r="W415" s="135"/>
      <c r="X415" s="135"/>
    </row>
    <row r="416" customFormat="false" ht="15.75" hidden="false" customHeight="true" outlineLevel="0" collapsed="false">
      <c r="A416" s="135"/>
      <c r="B416" s="189"/>
      <c r="C416" s="135"/>
      <c r="D416" s="189"/>
      <c r="E416" s="135"/>
      <c r="F416" s="135"/>
      <c r="G416" s="135"/>
      <c r="H416" s="135"/>
      <c r="I416" s="135"/>
      <c r="J416" s="135"/>
      <c r="K416" s="189"/>
      <c r="L416" s="135"/>
      <c r="M416" s="135"/>
      <c r="N416" s="135"/>
      <c r="O416" s="135"/>
      <c r="P416" s="135"/>
      <c r="Q416" s="189"/>
      <c r="R416" s="135"/>
      <c r="S416" s="135"/>
      <c r="T416" s="135"/>
      <c r="U416" s="135"/>
      <c r="V416" s="189"/>
      <c r="W416" s="135"/>
      <c r="X416" s="135"/>
    </row>
    <row r="417" customFormat="false" ht="15.75" hidden="false" customHeight="true" outlineLevel="0" collapsed="false">
      <c r="A417" s="135"/>
      <c r="B417" s="189"/>
      <c r="C417" s="135"/>
      <c r="D417" s="189"/>
      <c r="E417" s="135"/>
      <c r="F417" s="135"/>
      <c r="G417" s="135"/>
      <c r="H417" s="135"/>
      <c r="I417" s="135"/>
      <c r="J417" s="135"/>
      <c r="K417" s="189"/>
      <c r="L417" s="135"/>
      <c r="M417" s="135"/>
      <c r="N417" s="135"/>
      <c r="O417" s="135"/>
      <c r="P417" s="135"/>
      <c r="Q417" s="189"/>
      <c r="R417" s="135"/>
      <c r="S417" s="135"/>
      <c r="T417" s="135"/>
      <c r="U417" s="135"/>
      <c r="V417" s="189"/>
      <c r="W417" s="135"/>
      <c r="X417" s="135"/>
    </row>
    <row r="418" customFormat="false" ht="15.75" hidden="false" customHeight="true" outlineLevel="0" collapsed="false">
      <c r="A418" s="135"/>
      <c r="B418" s="189"/>
      <c r="C418" s="135"/>
      <c r="D418" s="189"/>
      <c r="E418" s="135"/>
      <c r="F418" s="135"/>
      <c r="G418" s="135"/>
      <c r="H418" s="135"/>
      <c r="I418" s="135"/>
      <c r="J418" s="135"/>
      <c r="K418" s="189"/>
      <c r="L418" s="135"/>
      <c r="M418" s="135"/>
      <c r="N418" s="135"/>
      <c r="O418" s="135"/>
      <c r="P418" s="135"/>
      <c r="Q418" s="189"/>
      <c r="R418" s="135"/>
      <c r="S418" s="135"/>
      <c r="T418" s="135"/>
      <c r="U418" s="135"/>
      <c r="V418" s="189"/>
      <c r="W418" s="135"/>
      <c r="X418" s="135"/>
    </row>
    <row r="419" customFormat="false" ht="15.75" hidden="false" customHeight="true" outlineLevel="0" collapsed="false">
      <c r="A419" s="135"/>
      <c r="B419" s="189"/>
      <c r="C419" s="135"/>
      <c r="D419" s="189"/>
      <c r="E419" s="135"/>
      <c r="F419" s="135"/>
      <c r="G419" s="135"/>
      <c r="H419" s="135"/>
      <c r="I419" s="135"/>
      <c r="J419" s="135"/>
      <c r="K419" s="189"/>
      <c r="L419" s="135"/>
      <c r="M419" s="135"/>
      <c r="N419" s="135"/>
      <c r="O419" s="135"/>
      <c r="P419" s="135"/>
      <c r="Q419" s="189"/>
      <c r="R419" s="135"/>
      <c r="S419" s="135"/>
      <c r="T419" s="135"/>
      <c r="U419" s="135"/>
      <c r="V419" s="189"/>
      <c r="W419" s="135"/>
      <c r="X419" s="135"/>
    </row>
    <row r="420" customFormat="false" ht="15.75" hidden="false" customHeight="true" outlineLevel="0" collapsed="false">
      <c r="A420" s="135"/>
      <c r="B420" s="189"/>
      <c r="C420" s="135"/>
      <c r="D420" s="189"/>
      <c r="E420" s="135"/>
      <c r="F420" s="135"/>
      <c r="G420" s="135"/>
      <c r="H420" s="135"/>
      <c r="I420" s="135"/>
      <c r="J420" s="135"/>
      <c r="K420" s="189"/>
      <c r="L420" s="135"/>
      <c r="M420" s="135"/>
      <c r="N420" s="135"/>
      <c r="O420" s="135"/>
      <c r="P420" s="135"/>
      <c r="Q420" s="189"/>
      <c r="R420" s="135"/>
      <c r="S420" s="135"/>
      <c r="T420" s="135"/>
      <c r="U420" s="135"/>
      <c r="V420" s="189"/>
      <c r="W420" s="135"/>
      <c r="X420" s="135"/>
    </row>
    <row r="421" customFormat="false" ht="15.75" hidden="false" customHeight="true" outlineLevel="0" collapsed="false">
      <c r="A421" s="135"/>
      <c r="B421" s="189"/>
      <c r="C421" s="135"/>
      <c r="D421" s="189"/>
      <c r="E421" s="135"/>
      <c r="F421" s="135"/>
      <c r="G421" s="135"/>
      <c r="H421" s="135"/>
      <c r="I421" s="135"/>
      <c r="J421" s="135"/>
      <c r="K421" s="189"/>
      <c r="L421" s="135"/>
      <c r="M421" s="135"/>
      <c r="N421" s="135"/>
      <c r="O421" s="135"/>
      <c r="P421" s="135"/>
      <c r="Q421" s="189"/>
      <c r="R421" s="135"/>
      <c r="S421" s="135"/>
      <c r="T421" s="135"/>
      <c r="U421" s="135"/>
      <c r="V421" s="189"/>
      <c r="W421" s="135"/>
      <c r="X421" s="135"/>
    </row>
    <row r="422" customFormat="false" ht="15.75" hidden="false" customHeight="true" outlineLevel="0" collapsed="false">
      <c r="A422" s="135"/>
      <c r="B422" s="189"/>
      <c r="C422" s="135"/>
      <c r="D422" s="189"/>
      <c r="E422" s="135"/>
      <c r="F422" s="135"/>
      <c r="G422" s="135"/>
      <c r="H422" s="135"/>
      <c r="I422" s="135"/>
      <c r="J422" s="135"/>
      <c r="K422" s="189"/>
      <c r="L422" s="135"/>
      <c r="M422" s="135"/>
      <c r="N422" s="135"/>
      <c r="O422" s="135"/>
      <c r="P422" s="135"/>
      <c r="Q422" s="189"/>
      <c r="R422" s="135"/>
      <c r="S422" s="135"/>
      <c r="T422" s="135"/>
      <c r="U422" s="135"/>
      <c r="V422" s="189"/>
      <c r="W422" s="135"/>
      <c r="X422" s="135"/>
    </row>
    <row r="423" customFormat="false" ht="15.75" hidden="false" customHeight="true" outlineLevel="0" collapsed="false">
      <c r="A423" s="135"/>
      <c r="B423" s="189"/>
      <c r="C423" s="135"/>
      <c r="D423" s="189"/>
      <c r="E423" s="135"/>
      <c r="F423" s="135"/>
      <c r="G423" s="135"/>
      <c r="H423" s="135"/>
      <c r="I423" s="135"/>
      <c r="J423" s="135"/>
      <c r="K423" s="189"/>
      <c r="L423" s="135"/>
      <c r="M423" s="135"/>
      <c r="N423" s="135"/>
      <c r="O423" s="135"/>
      <c r="P423" s="135"/>
      <c r="Q423" s="189"/>
      <c r="R423" s="135"/>
      <c r="S423" s="135"/>
      <c r="T423" s="135"/>
      <c r="U423" s="135"/>
      <c r="V423" s="189"/>
      <c r="W423" s="135"/>
      <c r="X423" s="135"/>
    </row>
    <row r="424" customFormat="false" ht="15.75" hidden="false" customHeight="true" outlineLevel="0" collapsed="false">
      <c r="A424" s="135"/>
      <c r="B424" s="189"/>
      <c r="C424" s="135"/>
      <c r="D424" s="189"/>
      <c r="E424" s="135"/>
      <c r="F424" s="135"/>
      <c r="G424" s="135"/>
      <c r="H424" s="135"/>
      <c r="I424" s="135"/>
      <c r="J424" s="135"/>
      <c r="K424" s="189"/>
      <c r="L424" s="135"/>
      <c r="M424" s="135"/>
      <c r="N424" s="135"/>
      <c r="O424" s="135"/>
      <c r="P424" s="135"/>
      <c r="Q424" s="189"/>
      <c r="R424" s="135"/>
      <c r="S424" s="135"/>
      <c r="T424" s="135"/>
      <c r="U424" s="135"/>
      <c r="V424" s="189"/>
      <c r="W424" s="135"/>
      <c r="X424" s="135"/>
    </row>
    <row r="425" customFormat="false" ht="15.75" hidden="false" customHeight="true" outlineLevel="0" collapsed="false">
      <c r="A425" s="135"/>
      <c r="B425" s="189"/>
      <c r="C425" s="135"/>
      <c r="D425" s="189"/>
      <c r="E425" s="135"/>
      <c r="F425" s="135"/>
      <c r="G425" s="135"/>
      <c r="H425" s="135"/>
      <c r="I425" s="135"/>
      <c r="J425" s="135"/>
      <c r="K425" s="189"/>
      <c r="L425" s="135"/>
      <c r="M425" s="135"/>
      <c r="N425" s="135"/>
      <c r="O425" s="135"/>
      <c r="P425" s="135"/>
      <c r="Q425" s="189"/>
      <c r="R425" s="135"/>
      <c r="S425" s="135"/>
      <c r="T425" s="135"/>
      <c r="U425" s="135"/>
      <c r="V425" s="189"/>
      <c r="W425" s="135"/>
      <c r="X425" s="135"/>
    </row>
    <row r="426" customFormat="false" ht="15.75" hidden="false" customHeight="true" outlineLevel="0" collapsed="false">
      <c r="A426" s="135"/>
      <c r="B426" s="189"/>
      <c r="C426" s="135"/>
      <c r="D426" s="189"/>
      <c r="E426" s="135"/>
      <c r="F426" s="135"/>
      <c r="G426" s="135"/>
      <c r="H426" s="135"/>
      <c r="I426" s="135"/>
      <c r="J426" s="135"/>
      <c r="K426" s="189"/>
      <c r="L426" s="135"/>
      <c r="M426" s="135"/>
      <c r="N426" s="135"/>
      <c r="O426" s="135"/>
      <c r="P426" s="135"/>
      <c r="Q426" s="189"/>
      <c r="R426" s="135"/>
      <c r="S426" s="135"/>
      <c r="T426" s="135"/>
      <c r="U426" s="135"/>
      <c r="V426" s="189"/>
      <c r="W426" s="135"/>
      <c r="X426" s="135"/>
    </row>
    <row r="427" customFormat="false" ht="15.75" hidden="false" customHeight="true" outlineLevel="0" collapsed="false">
      <c r="A427" s="135"/>
      <c r="B427" s="189"/>
      <c r="C427" s="135"/>
      <c r="D427" s="189"/>
      <c r="E427" s="135"/>
      <c r="F427" s="135"/>
      <c r="G427" s="135"/>
      <c r="H427" s="135"/>
      <c r="I427" s="135"/>
      <c r="J427" s="135"/>
      <c r="K427" s="189"/>
      <c r="L427" s="135"/>
      <c r="M427" s="135"/>
      <c r="N427" s="135"/>
      <c r="O427" s="135"/>
      <c r="P427" s="135"/>
      <c r="Q427" s="189"/>
      <c r="R427" s="135"/>
      <c r="S427" s="135"/>
      <c r="T427" s="135"/>
      <c r="U427" s="135"/>
      <c r="V427" s="189"/>
      <c r="W427" s="135"/>
      <c r="X427" s="135"/>
    </row>
    <row r="428" customFormat="false" ht="15.75" hidden="false" customHeight="true" outlineLevel="0" collapsed="false">
      <c r="A428" s="135"/>
      <c r="B428" s="189"/>
      <c r="C428" s="135"/>
      <c r="D428" s="189"/>
      <c r="E428" s="135"/>
      <c r="F428" s="135"/>
      <c r="G428" s="135"/>
      <c r="H428" s="135"/>
      <c r="I428" s="135"/>
      <c r="J428" s="135"/>
      <c r="K428" s="189"/>
      <c r="L428" s="135"/>
      <c r="M428" s="135"/>
      <c r="N428" s="135"/>
      <c r="O428" s="135"/>
      <c r="P428" s="135"/>
      <c r="Q428" s="189"/>
      <c r="R428" s="135"/>
      <c r="S428" s="135"/>
      <c r="T428" s="135"/>
      <c r="U428" s="135"/>
      <c r="V428" s="189"/>
      <c r="W428" s="135"/>
      <c r="X428" s="135"/>
    </row>
    <row r="429" customFormat="false" ht="15.75" hidden="false" customHeight="true" outlineLevel="0" collapsed="false">
      <c r="A429" s="135"/>
      <c r="B429" s="189"/>
      <c r="C429" s="135"/>
      <c r="D429" s="189"/>
      <c r="E429" s="135"/>
      <c r="F429" s="135"/>
      <c r="G429" s="135"/>
      <c r="H429" s="135"/>
      <c r="I429" s="135"/>
      <c r="J429" s="135"/>
      <c r="K429" s="189"/>
      <c r="L429" s="135"/>
      <c r="M429" s="135"/>
      <c r="N429" s="135"/>
      <c r="O429" s="135"/>
      <c r="P429" s="135"/>
      <c r="Q429" s="189"/>
      <c r="R429" s="135"/>
      <c r="S429" s="135"/>
      <c r="T429" s="135"/>
      <c r="U429" s="135"/>
      <c r="V429" s="189"/>
      <c r="W429" s="135"/>
      <c r="X429" s="135"/>
    </row>
    <row r="430" customFormat="false" ht="15.75" hidden="false" customHeight="true" outlineLevel="0" collapsed="false">
      <c r="A430" s="135"/>
      <c r="B430" s="189"/>
      <c r="C430" s="135"/>
      <c r="D430" s="189"/>
      <c r="E430" s="135"/>
      <c r="F430" s="135"/>
      <c r="G430" s="135"/>
      <c r="H430" s="135"/>
      <c r="I430" s="135"/>
      <c r="J430" s="135"/>
      <c r="K430" s="189"/>
      <c r="L430" s="135"/>
      <c r="M430" s="135"/>
      <c r="N430" s="135"/>
      <c r="O430" s="135"/>
      <c r="P430" s="135"/>
      <c r="Q430" s="189"/>
      <c r="R430" s="135"/>
      <c r="S430" s="135"/>
      <c r="T430" s="135"/>
      <c r="U430" s="135"/>
      <c r="V430" s="189"/>
      <c r="W430" s="135"/>
      <c r="X430" s="135"/>
    </row>
    <row r="431" customFormat="false" ht="15.75" hidden="false" customHeight="true" outlineLevel="0" collapsed="false">
      <c r="A431" s="135"/>
      <c r="B431" s="189"/>
      <c r="C431" s="135"/>
      <c r="D431" s="189"/>
      <c r="E431" s="135"/>
      <c r="F431" s="135"/>
      <c r="G431" s="135"/>
      <c r="H431" s="135"/>
      <c r="I431" s="135"/>
      <c r="J431" s="135"/>
      <c r="K431" s="189"/>
      <c r="L431" s="135"/>
      <c r="M431" s="135"/>
      <c r="N431" s="135"/>
      <c r="O431" s="135"/>
      <c r="P431" s="135"/>
      <c r="Q431" s="189"/>
      <c r="R431" s="135"/>
      <c r="S431" s="135"/>
      <c r="T431" s="135"/>
      <c r="U431" s="135"/>
      <c r="V431" s="189"/>
      <c r="W431" s="135"/>
      <c r="X431" s="135"/>
    </row>
    <row r="432" customFormat="false" ht="15.75" hidden="false" customHeight="true" outlineLevel="0" collapsed="false">
      <c r="A432" s="135"/>
      <c r="B432" s="189"/>
      <c r="C432" s="135"/>
      <c r="D432" s="189"/>
      <c r="E432" s="135"/>
      <c r="F432" s="135"/>
      <c r="G432" s="135"/>
      <c r="H432" s="135"/>
      <c r="I432" s="135"/>
      <c r="J432" s="135"/>
      <c r="K432" s="189"/>
      <c r="L432" s="135"/>
      <c r="M432" s="135"/>
      <c r="N432" s="135"/>
      <c r="O432" s="135"/>
      <c r="P432" s="135"/>
      <c r="Q432" s="189"/>
      <c r="R432" s="135"/>
      <c r="S432" s="135"/>
      <c r="T432" s="135"/>
      <c r="U432" s="135"/>
      <c r="V432" s="189"/>
      <c r="W432" s="135"/>
      <c r="X432" s="135"/>
    </row>
    <row r="433" customFormat="false" ht="15.75" hidden="false" customHeight="true" outlineLevel="0" collapsed="false">
      <c r="A433" s="135"/>
      <c r="B433" s="189"/>
      <c r="C433" s="135"/>
      <c r="D433" s="189"/>
      <c r="E433" s="135"/>
      <c r="F433" s="135"/>
      <c r="G433" s="135"/>
      <c r="H433" s="135"/>
      <c r="I433" s="135"/>
      <c r="J433" s="135"/>
      <c r="K433" s="189"/>
      <c r="L433" s="135"/>
      <c r="M433" s="135"/>
      <c r="N433" s="135"/>
      <c r="O433" s="135"/>
      <c r="P433" s="135"/>
      <c r="Q433" s="189"/>
      <c r="R433" s="135"/>
      <c r="S433" s="135"/>
      <c r="T433" s="135"/>
      <c r="U433" s="135"/>
      <c r="V433" s="189"/>
      <c r="W433" s="135"/>
      <c r="X433" s="135"/>
    </row>
    <row r="434" customFormat="false" ht="15.75" hidden="false" customHeight="true" outlineLevel="0" collapsed="false">
      <c r="A434" s="135"/>
      <c r="B434" s="189"/>
      <c r="C434" s="135"/>
      <c r="D434" s="189"/>
      <c r="E434" s="135"/>
      <c r="F434" s="135"/>
      <c r="G434" s="135"/>
      <c r="H434" s="135"/>
      <c r="I434" s="135"/>
      <c r="J434" s="135"/>
      <c r="K434" s="189"/>
      <c r="L434" s="135"/>
      <c r="M434" s="135"/>
      <c r="N434" s="135"/>
      <c r="O434" s="135"/>
      <c r="P434" s="135"/>
      <c r="Q434" s="189"/>
      <c r="R434" s="135"/>
      <c r="S434" s="135"/>
      <c r="T434" s="135"/>
      <c r="U434" s="135"/>
      <c r="V434" s="189"/>
      <c r="W434" s="135"/>
      <c r="X434" s="135"/>
    </row>
    <row r="435" customFormat="false" ht="15.75" hidden="false" customHeight="true" outlineLevel="0" collapsed="false">
      <c r="A435" s="135"/>
      <c r="B435" s="189"/>
      <c r="C435" s="135"/>
      <c r="D435" s="189"/>
      <c r="E435" s="135"/>
      <c r="F435" s="135"/>
      <c r="G435" s="135"/>
      <c r="H435" s="135"/>
      <c r="I435" s="135"/>
      <c r="J435" s="135"/>
      <c r="K435" s="189"/>
      <c r="L435" s="135"/>
      <c r="M435" s="135"/>
      <c r="N435" s="135"/>
      <c r="O435" s="135"/>
      <c r="P435" s="135"/>
      <c r="Q435" s="189"/>
      <c r="R435" s="135"/>
      <c r="S435" s="135"/>
      <c r="T435" s="135"/>
      <c r="U435" s="135"/>
      <c r="V435" s="189"/>
      <c r="W435" s="135"/>
      <c r="X435" s="135"/>
    </row>
    <row r="436" customFormat="false" ht="15.75" hidden="false" customHeight="true" outlineLevel="0" collapsed="false">
      <c r="A436" s="135"/>
      <c r="B436" s="189"/>
      <c r="C436" s="135"/>
      <c r="D436" s="189"/>
      <c r="E436" s="135"/>
      <c r="F436" s="135"/>
      <c r="G436" s="135"/>
      <c r="H436" s="135"/>
      <c r="I436" s="135"/>
      <c r="J436" s="135"/>
      <c r="K436" s="189"/>
      <c r="L436" s="135"/>
      <c r="M436" s="135"/>
      <c r="N436" s="135"/>
      <c r="O436" s="135"/>
      <c r="P436" s="135"/>
      <c r="Q436" s="189"/>
      <c r="R436" s="135"/>
      <c r="S436" s="135"/>
      <c r="T436" s="135"/>
      <c r="U436" s="135"/>
      <c r="V436" s="189"/>
      <c r="W436" s="135"/>
      <c r="X436" s="135"/>
    </row>
    <row r="437" customFormat="false" ht="15.75" hidden="false" customHeight="true" outlineLevel="0" collapsed="false">
      <c r="A437" s="135"/>
      <c r="B437" s="189"/>
      <c r="C437" s="135"/>
      <c r="D437" s="189"/>
      <c r="E437" s="135"/>
      <c r="F437" s="135"/>
      <c r="G437" s="135"/>
      <c r="H437" s="135"/>
      <c r="I437" s="135"/>
      <c r="J437" s="135"/>
      <c r="K437" s="189"/>
      <c r="L437" s="135"/>
      <c r="M437" s="135"/>
      <c r="N437" s="135"/>
      <c r="O437" s="135"/>
      <c r="P437" s="135"/>
      <c r="Q437" s="189"/>
      <c r="R437" s="135"/>
      <c r="S437" s="135"/>
      <c r="T437" s="135"/>
      <c r="U437" s="135"/>
      <c r="V437" s="189"/>
      <c r="W437" s="135"/>
      <c r="X437" s="135"/>
    </row>
    <row r="438" customFormat="false" ht="15.75" hidden="false" customHeight="true" outlineLevel="0" collapsed="false">
      <c r="A438" s="135"/>
      <c r="B438" s="189"/>
      <c r="C438" s="135"/>
      <c r="D438" s="189"/>
      <c r="E438" s="135"/>
      <c r="F438" s="135"/>
      <c r="G438" s="135"/>
      <c r="H438" s="135"/>
      <c r="I438" s="135"/>
      <c r="J438" s="135"/>
      <c r="K438" s="189"/>
      <c r="L438" s="135"/>
      <c r="M438" s="135"/>
      <c r="N438" s="135"/>
      <c r="O438" s="135"/>
      <c r="P438" s="135"/>
      <c r="Q438" s="189"/>
      <c r="R438" s="135"/>
      <c r="S438" s="135"/>
      <c r="T438" s="135"/>
      <c r="U438" s="135"/>
      <c r="V438" s="189"/>
      <c r="W438" s="135"/>
      <c r="X438" s="135"/>
    </row>
    <row r="439" customFormat="false" ht="15.75" hidden="false" customHeight="true" outlineLevel="0" collapsed="false">
      <c r="A439" s="135"/>
      <c r="B439" s="189"/>
      <c r="C439" s="135"/>
      <c r="D439" s="189"/>
      <c r="E439" s="135"/>
      <c r="F439" s="135"/>
      <c r="G439" s="135"/>
      <c r="H439" s="135"/>
      <c r="I439" s="135"/>
      <c r="J439" s="135"/>
      <c r="K439" s="189"/>
      <c r="L439" s="135"/>
      <c r="M439" s="135"/>
      <c r="N439" s="135"/>
      <c r="O439" s="135"/>
      <c r="P439" s="135"/>
      <c r="Q439" s="189"/>
      <c r="R439" s="135"/>
      <c r="S439" s="135"/>
      <c r="T439" s="135"/>
      <c r="U439" s="135"/>
      <c r="V439" s="189"/>
      <c r="W439" s="135"/>
      <c r="X439" s="135"/>
    </row>
    <row r="440" customFormat="false" ht="15.75" hidden="false" customHeight="true" outlineLevel="0" collapsed="false">
      <c r="A440" s="135"/>
      <c r="B440" s="189"/>
      <c r="C440" s="135"/>
      <c r="D440" s="189"/>
      <c r="E440" s="135"/>
      <c r="F440" s="135"/>
      <c r="G440" s="135"/>
      <c r="H440" s="135"/>
      <c r="I440" s="135"/>
      <c r="J440" s="135"/>
      <c r="K440" s="189"/>
      <c r="L440" s="135"/>
      <c r="M440" s="135"/>
      <c r="N440" s="135"/>
      <c r="O440" s="135"/>
      <c r="P440" s="135"/>
      <c r="Q440" s="189"/>
      <c r="R440" s="135"/>
      <c r="S440" s="135"/>
      <c r="T440" s="135"/>
      <c r="U440" s="135"/>
      <c r="V440" s="189"/>
      <c r="W440" s="135"/>
      <c r="X440" s="135"/>
    </row>
    <row r="441" customFormat="false" ht="15.75" hidden="false" customHeight="true" outlineLevel="0" collapsed="false">
      <c r="A441" s="135"/>
      <c r="B441" s="189"/>
      <c r="C441" s="135"/>
      <c r="D441" s="189"/>
      <c r="E441" s="135"/>
      <c r="F441" s="135"/>
      <c r="G441" s="135"/>
      <c r="H441" s="135"/>
      <c r="I441" s="135"/>
      <c r="J441" s="135"/>
      <c r="K441" s="189"/>
      <c r="L441" s="135"/>
      <c r="M441" s="135"/>
      <c r="N441" s="135"/>
      <c r="O441" s="135"/>
      <c r="P441" s="135"/>
      <c r="Q441" s="189"/>
      <c r="R441" s="135"/>
      <c r="S441" s="135"/>
      <c r="T441" s="135"/>
      <c r="U441" s="135"/>
      <c r="V441" s="189"/>
      <c r="W441" s="135"/>
      <c r="X441" s="135"/>
    </row>
    <row r="442" customFormat="false" ht="15.75" hidden="false" customHeight="true" outlineLevel="0" collapsed="false">
      <c r="A442" s="135"/>
      <c r="B442" s="189"/>
      <c r="C442" s="135"/>
      <c r="D442" s="189"/>
      <c r="E442" s="135"/>
      <c r="F442" s="135"/>
      <c r="G442" s="135"/>
      <c r="H442" s="135"/>
      <c r="I442" s="135"/>
      <c r="J442" s="135"/>
      <c r="K442" s="189"/>
      <c r="L442" s="135"/>
      <c r="M442" s="135"/>
      <c r="N442" s="135"/>
      <c r="O442" s="135"/>
      <c r="P442" s="135"/>
      <c r="Q442" s="189"/>
      <c r="R442" s="135"/>
      <c r="S442" s="135"/>
      <c r="T442" s="135"/>
      <c r="U442" s="135"/>
      <c r="V442" s="189"/>
      <c r="W442" s="135"/>
      <c r="X442" s="135"/>
    </row>
    <row r="443" customFormat="false" ht="15.75" hidden="false" customHeight="true" outlineLevel="0" collapsed="false">
      <c r="A443" s="135"/>
      <c r="B443" s="189"/>
      <c r="C443" s="135"/>
      <c r="D443" s="189"/>
      <c r="E443" s="135"/>
      <c r="F443" s="135"/>
      <c r="G443" s="135"/>
      <c r="H443" s="135"/>
      <c r="I443" s="135"/>
      <c r="J443" s="135"/>
      <c r="K443" s="189"/>
      <c r="L443" s="135"/>
      <c r="M443" s="135"/>
      <c r="N443" s="135"/>
      <c r="O443" s="135"/>
      <c r="P443" s="135"/>
      <c r="Q443" s="189"/>
      <c r="R443" s="135"/>
      <c r="S443" s="135"/>
      <c r="T443" s="135"/>
      <c r="U443" s="135"/>
      <c r="V443" s="189"/>
      <c r="W443" s="135"/>
      <c r="X443" s="135"/>
    </row>
    <row r="444" customFormat="false" ht="15.75" hidden="false" customHeight="true" outlineLevel="0" collapsed="false">
      <c r="A444" s="135"/>
      <c r="B444" s="189"/>
      <c r="C444" s="135"/>
      <c r="D444" s="189"/>
      <c r="E444" s="135"/>
      <c r="F444" s="135"/>
      <c r="G444" s="135"/>
      <c r="H444" s="135"/>
      <c r="I444" s="135"/>
      <c r="J444" s="135"/>
      <c r="K444" s="189"/>
      <c r="L444" s="135"/>
      <c r="M444" s="135"/>
      <c r="N444" s="135"/>
      <c r="O444" s="135"/>
      <c r="P444" s="135"/>
      <c r="Q444" s="189"/>
      <c r="R444" s="135"/>
      <c r="S444" s="135"/>
      <c r="T444" s="135"/>
      <c r="U444" s="135"/>
      <c r="V444" s="189"/>
      <c r="W444" s="135"/>
      <c r="X444" s="135"/>
    </row>
    <row r="445" customFormat="false" ht="15.75" hidden="false" customHeight="true" outlineLevel="0" collapsed="false">
      <c r="A445" s="135"/>
      <c r="B445" s="189"/>
      <c r="C445" s="135"/>
      <c r="D445" s="189"/>
      <c r="E445" s="135"/>
      <c r="F445" s="135"/>
      <c r="G445" s="135"/>
      <c r="H445" s="135"/>
      <c r="I445" s="135"/>
      <c r="J445" s="135"/>
      <c r="K445" s="189"/>
      <c r="L445" s="135"/>
      <c r="M445" s="135"/>
      <c r="N445" s="135"/>
      <c r="O445" s="135"/>
      <c r="P445" s="135"/>
      <c r="Q445" s="189"/>
      <c r="R445" s="135"/>
      <c r="S445" s="135"/>
      <c r="T445" s="135"/>
      <c r="U445" s="135"/>
      <c r="V445" s="189"/>
      <c r="W445" s="135"/>
      <c r="X445" s="135"/>
    </row>
    <row r="446" customFormat="false" ht="15.75" hidden="false" customHeight="true" outlineLevel="0" collapsed="false">
      <c r="A446" s="135"/>
      <c r="B446" s="189"/>
      <c r="C446" s="135"/>
      <c r="D446" s="189"/>
      <c r="E446" s="135"/>
      <c r="F446" s="135"/>
      <c r="G446" s="135"/>
      <c r="H446" s="135"/>
      <c r="I446" s="135"/>
      <c r="J446" s="135"/>
      <c r="K446" s="189"/>
      <c r="L446" s="135"/>
      <c r="M446" s="135"/>
      <c r="N446" s="135"/>
      <c r="O446" s="135"/>
      <c r="P446" s="135"/>
      <c r="Q446" s="189"/>
      <c r="R446" s="135"/>
      <c r="S446" s="135"/>
      <c r="T446" s="135"/>
      <c r="U446" s="135"/>
      <c r="V446" s="189"/>
      <c r="W446" s="135"/>
      <c r="X446" s="135"/>
    </row>
    <row r="447" customFormat="false" ht="15.75" hidden="false" customHeight="true" outlineLevel="0" collapsed="false">
      <c r="A447" s="135"/>
      <c r="B447" s="189"/>
      <c r="C447" s="135"/>
      <c r="D447" s="189"/>
      <c r="E447" s="135"/>
      <c r="F447" s="135"/>
      <c r="G447" s="135"/>
      <c r="H447" s="135"/>
      <c r="I447" s="135"/>
      <c r="J447" s="135"/>
      <c r="K447" s="189"/>
      <c r="L447" s="135"/>
      <c r="M447" s="135"/>
      <c r="N447" s="135"/>
      <c r="O447" s="135"/>
      <c r="P447" s="135"/>
      <c r="Q447" s="189"/>
      <c r="R447" s="135"/>
      <c r="S447" s="135"/>
      <c r="T447" s="135"/>
      <c r="U447" s="135"/>
      <c r="V447" s="189"/>
      <c r="W447" s="135"/>
      <c r="X447" s="135"/>
    </row>
    <row r="448" customFormat="false" ht="15.75" hidden="false" customHeight="true" outlineLevel="0" collapsed="false">
      <c r="A448" s="135"/>
      <c r="B448" s="189"/>
      <c r="C448" s="135"/>
      <c r="D448" s="189"/>
      <c r="E448" s="135"/>
      <c r="F448" s="135"/>
      <c r="G448" s="135"/>
      <c r="H448" s="135"/>
      <c r="I448" s="135"/>
      <c r="J448" s="135"/>
      <c r="K448" s="189"/>
      <c r="L448" s="135"/>
      <c r="M448" s="135"/>
      <c r="N448" s="135"/>
      <c r="O448" s="135"/>
      <c r="P448" s="135"/>
      <c r="Q448" s="189"/>
      <c r="R448" s="135"/>
      <c r="S448" s="135"/>
      <c r="T448" s="135"/>
      <c r="U448" s="135"/>
      <c r="V448" s="189"/>
      <c r="W448" s="135"/>
      <c r="X448" s="135"/>
    </row>
    <row r="449" customFormat="false" ht="15.75" hidden="false" customHeight="true" outlineLevel="0" collapsed="false">
      <c r="A449" s="135"/>
      <c r="B449" s="189"/>
      <c r="C449" s="135"/>
      <c r="D449" s="189"/>
      <c r="E449" s="135"/>
      <c r="F449" s="135"/>
      <c r="G449" s="135"/>
      <c r="H449" s="135"/>
      <c r="I449" s="135"/>
      <c r="J449" s="135"/>
      <c r="K449" s="189"/>
      <c r="L449" s="135"/>
      <c r="M449" s="135"/>
      <c r="N449" s="135"/>
      <c r="O449" s="135"/>
      <c r="P449" s="135"/>
      <c r="Q449" s="189"/>
      <c r="R449" s="135"/>
      <c r="S449" s="135"/>
      <c r="T449" s="135"/>
      <c r="U449" s="135"/>
      <c r="V449" s="189"/>
      <c r="W449" s="135"/>
      <c r="X449" s="135"/>
    </row>
    <row r="450" customFormat="false" ht="15.75" hidden="false" customHeight="true" outlineLevel="0" collapsed="false">
      <c r="A450" s="135"/>
      <c r="B450" s="189"/>
      <c r="C450" s="135"/>
      <c r="D450" s="189"/>
      <c r="E450" s="135"/>
      <c r="F450" s="135"/>
      <c r="G450" s="135"/>
      <c r="H450" s="135"/>
      <c r="I450" s="135"/>
      <c r="J450" s="135"/>
      <c r="K450" s="189"/>
      <c r="L450" s="135"/>
      <c r="M450" s="135"/>
      <c r="N450" s="135"/>
      <c r="O450" s="135"/>
      <c r="P450" s="135"/>
      <c r="Q450" s="189"/>
      <c r="R450" s="135"/>
      <c r="S450" s="135"/>
      <c r="T450" s="135"/>
      <c r="U450" s="135"/>
      <c r="V450" s="189"/>
      <c r="W450" s="135"/>
      <c r="X450" s="135"/>
    </row>
    <row r="451" customFormat="false" ht="15.75" hidden="false" customHeight="true" outlineLevel="0" collapsed="false">
      <c r="A451" s="135"/>
      <c r="B451" s="189"/>
      <c r="C451" s="135"/>
      <c r="D451" s="189"/>
      <c r="E451" s="135"/>
      <c r="F451" s="135"/>
      <c r="G451" s="135"/>
      <c r="H451" s="135"/>
      <c r="I451" s="135"/>
      <c r="J451" s="135"/>
      <c r="K451" s="189"/>
      <c r="L451" s="135"/>
      <c r="M451" s="135"/>
      <c r="N451" s="135"/>
      <c r="O451" s="135"/>
      <c r="P451" s="135"/>
      <c r="Q451" s="189"/>
      <c r="R451" s="135"/>
      <c r="S451" s="135"/>
      <c r="T451" s="135"/>
      <c r="U451" s="135"/>
      <c r="V451" s="189"/>
      <c r="W451" s="135"/>
      <c r="X451" s="135"/>
    </row>
    <row r="452" customFormat="false" ht="15.75" hidden="false" customHeight="true" outlineLevel="0" collapsed="false">
      <c r="A452" s="135"/>
      <c r="B452" s="189"/>
      <c r="C452" s="135"/>
      <c r="D452" s="189"/>
      <c r="E452" s="135"/>
      <c r="F452" s="135"/>
      <c r="G452" s="135"/>
      <c r="H452" s="135"/>
      <c r="I452" s="135"/>
      <c r="J452" s="135"/>
      <c r="K452" s="189"/>
      <c r="L452" s="135"/>
      <c r="M452" s="135"/>
      <c r="N452" s="135"/>
      <c r="O452" s="135"/>
      <c r="P452" s="135"/>
      <c r="Q452" s="189"/>
      <c r="R452" s="135"/>
      <c r="S452" s="135"/>
      <c r="T452" s="135"/>
      <c r="U452" s="135"/>
      <c r="V452" s="189"/>
      <c r="W452" s="135"/>
      <c r="X452" s="135"/>
    </row>
    <row r="453" customFormat="false" ht="15.75" hidden="false" customHeight="true" outlineLevel="0" collapsed="false">
      <c r="A453" s="135"/>
      <c r="B453" s="189"/>
      <c r="C453" s="135"/>
      <c r="D453" s="189"/>
      <c r="E453" s="135"/>
      <c r="F453" s="135"/>
      <c r="G453" s="135"/>
      <c r="H453" s="135"/>
      <c r="I453" s="135"/>
      <c r="J453" s="135"/>
      <c r="K453" s="189"/>
      <c r="L453" s="135"/>
      <c r="M453" s="135"/>
      <c r="N453" s="135"/>
      <c r="O453" s="135"/>
      <c r="P453" s="135"/>
      <c r="Q453" s="189"/>
      <c r="R453" s="135"/>
      <c r="S453" s="135"/>
      <c r="T453" s="135"/>
      <c r="U453" s="135"/>
      <c r="V453" s="189"/>
      <c r="W453" s="135"/>
      <c r="X453" s="135"/>
    </row>
    <row r="454" customFormat="false" ht="15.75" hidden="false" customHeight="true" outlineLevel="0" collapsed="false">
      <c r="A454" s="135"/>
      <c r="B454" s="189"/>
      <c r="C454" s="135"/>
      <c r="D454" s="189"/>
      <c r="E454" s="135"/>
      <c r="F454" s="135"/>
      <c r="G454" s="135"/>
      <c r="H454" s="135"/>
      <c r="I454" s="135"/>
      <c r="J454" s="135"/>
      <c r="K454" s="189"/>
      <c r="L454" s="135"/>
      <c r="M454" s="135"/>
      <c r="N454" s="135"/>
      <c r="O454" s="135"/>
      <c r="P454" s="135"/>
      <c r="Q454" s="189"/>
      <c r="R454" s="135"/>
      <c r="S454" s="135"/>
      <c r="T454" s="135"/>
      <c r="U454" s="135"/>
      <c r="V454" s="189"/>
      <c r="W454" s="135"/>
      <c r="X454" s="135"/>
    </row>
    <row r="455" customFormat="false" ht="15.75" hidden="false" customHeight="true" outlineLevel="0" collapsed="false">
      <c r="A455" s="135"/>
      <c r="B455" s="189"/>
      <c r="C455" s="135"/>
      <c r="D455" s="189"/>
      <c r="E455" s="135"/>
      <c r="F455" s="135"/>
      <c r="G455" s="135"/>
      <c r="H455" s="135"/>
      <c r="I455" s="135"/>
      <c r="J455" s="135"/>
      <c r="K455" s="189"/>
      <c r="L455" s="135"/>
      <c r="M455" s="135"/>
      <c r="N455" s="135"/>
      <c r="O455" s="135"/>
      <c r="P455" s="135"/>
      <c r="Q455" s="189"/>
      <c r="R455" s="135"/>
      <c r="S455" s="135"/>
      <c r="T455" s="135"/>
      <c r="U455" s="135"/>
      <c r="V455" s="189"/>
      <c r="W455" s="135"/>
      <c r="X455" s="135"/>
    </row>
    <row r="456" customFormat="false" ht="15.75" hidden="false" customHeight="true" outlineLevel="0" collapsed="false">
      <c r="A456" s="135"/>
      <c r="B456" s="189"/>
      <c r="C456" s="135"/>
      <c r="D456" s="189"/>
      <c r="E456" s="135"/>
      <c r="F456" s="135"/>
      <c r="G456" s="135"/>
      <c r="H456" s="135"/>
      <c r="I456" s="135"/>
      <c r="J456" s="135"/>
      <c r="K456" s="189"/>
      <c r="L456" s="135"/>
      <c r="M456" s="135"/>
      <c r="N456" s="135"/>
      <c r="O456" s="135"/>
      <c r="P456" s="135"/>
      <c r="Q456" s="189"/>
      <c r="R456" s="135"/>
      <c r="S456" s="135"/>
      <c r="T456" s="135"/>
      <c r="U456" s="135"/>
      <c r="V456" s="189"/>
      <c r="W456" s="135"/>
      <c r="X456" s="135"/>
    </row>
    <row r="457" customFormat="false" ht="15.75" hidden="false" customHeight="true" outlineLevel="0" collapsed="false">
      <c r="A457" s="135"/>
      <c r="B457" s="189"/>
      <c r="C457" s="135"/>
      <c r="D457" s="189"/>
      <c r="E457" s="135"/>
      <c r="F457" s="135"/>
      <c r="G457" s="135"/>
      <c r="H457" s="135"/>
      <c r="I457" s="135"/>
      <c r="J457" s="135"/>
      <c r="K457" s="189"/>
      <c r="L457" s="135"/>
      <c r="M457" s="135"/>
      <c r="N457" s="135"/>
      <c r="O457" s="135"/>
      <c r="P457" s="135"/>
      <c r="Q457" s="189"/>
      <c r="R457" s="135"/>
      <c r="S457" s="135"/>
      <c r="T457" s="135"/>
      <c r="U457" s="135"/>
      <c r="V457" s="189"/>
      <c r="W457" s="135"/>
      <c r="X457" s="135"/>
    </row>
    <row r="458" customFormat="false" ht="15.75" hidden="false" customHeight="true" outlineLevel="0" collapsed="false">
      <c r="A458" s="135"/>
      <c r="B458" s="189"/>
      <c r="C458" s="135"/>
      <c r="D458" s="189"/>
      <c r="E458" s="135"/>
      <c r="F458" s="135"/>
      <c r="G458" s="135"/>
      <c r="H458" s="135"/>
      <c r="I458" s="135"/>
      <c r="J458" s="135"/>
      <c r="K458" s="189"/>
      <c r="L458" s="135"/>
      <c r="M458" s="135"/>
      <c r="N458" s="135"/>
      <c r="O458" s="135"/>
      <c r="P458" s="135"/>
      <c r="Q458" s="189"/>
      <c r="R458" s="135"/>
      <c r="S458" s="135"/>
      <c r="T458" s="135"/>
      <c r="U458" s="135"/>
      <c r="V458" s="189"/>
      <c r="W458" s="135"/>
      <c r="X458" s="135"/>
    </row>
    <row r="459" customFormat="false" ht="15.75" hidden="false" customHeight="true" outlineLevel="0" collapsed="false">
      <c r="A459" s="135"/>
      <c r="B459" s="189"/>
      <c r="C459" s="135"/>
      <c r="D459" s="189"/>
      <c r="E459" s="135"/>
      <c r="F459" s="135"/>
      <c r="G459" s="135"/>
      <c r="H459" s="135"/>
      <c r="I459" s="135"/>
      <c r="J459" s="135"/>
      <c r="K459" s="189"/>
      <c r="L459" s="135"/>
      <c r="M459" s="135"/>
      <c r="N459" s="135"/>
      <c r="O459" s="135"/>
      <c r="P459" s="135"/>
      <c r="Q459" s="189"/>
      <c r="R459" s="135"/>
      <c r="S459" s="135"/>
      <c r="T459" s="135"/>
      <c r="U459" s="135"/>
      <c r="V459" s="189"/>
      <c r="W459" s="135"/>
      <c r="X459" s="135"/>
    </row>
    <row r="460" customFormat="false" ht="15.75" hidden="false" customHeight="true" outlineLevel="0" collapsed="false">
      <c r="A460" s="135"/>
      <c r="B460" s="189"/>
      <c r="C460" s="135"/>
      <c r="D460" s="189"/>
      <c r="E460" s="135"/>
      <c r="F460" s="135"/>
      <c r="G460" s="135"/>
      <c r="H460" s="135"/>
      <c r="I460" s="135"/>
      <c r="J460" s="135"/>
      <c r="K460" s="189"/>
      <c r="L460" s="135"/>
      <c r="M460" s="135"/>
      <c r="N460" s="135"/>
      <c r="O460" s="135"/>
      <c r="P460" s="135"/>
      <c r="Q460" s="189"/>
      <c r="R460" s="135"/>
      <c r="S460" s="135"/>
      <c r="T460" s="135"/>
      <c r="U460" s="135"/>
      <c r="V460" s="189"/>
      <c r="W460" s="135"/>
      <c r="X460" s="135"/>
    </row>
    <row r="461" customFormat="false" ht="15.75" hidden="false" customHeight="true" outlineLevel="0" collapsed="false">
      <c r="A461" s="135"/>
      <c r="B461" s="189"/>
      <c r="C461" s="135"/>
      <c r="D461" s="189"/>
      <c r="E461" s="135"/>
      <c r="F461" s="135"/>
      <c r="G461" s="135"/>
      <c r="H461" s="135"/>
      <c r="I461" s="135"/>
      <c r="J461" s="135"/>
      <c r="K461" s="189"/>
      <c r="L461" s="135"/>
      <c r="M461" s="135"/>
      <c r="N461" s="135"/>
      <c r="O461" s="135"/>
      <c r="P461" s="135"/>
      <c r="Q461" s="189"/>
      <c r="R461" s="135"/>
      <c r="S461" s="135"/>
      <c r="T461" s="135"/>
      <c r="U461" s="135"/>
      <c r="V461" s="189"/>
      <c r="W461" s="135"/>
      <c r="X461" s="135"/>
    </row>
    <row r="462" customFormat="false" ht="15.75" hidden="false" customHeight="true" outlineLevel="0" collapsed="false">
      <c r="A462" s="135"/>
      <c r="B462" s="189"/>
      <c r="C462" s="135"/>
      <c r="D462" s="189"/>
      <c r="E462" s="135"/>
      <c r="F462" s="135"/>
      <c r="G462" s="135"/>
      <c r="H462" s="135"/>
      <c r="I462" s="135"/>
      <c r="J462" s="135"/>
      <c r="K462" s="189"/>
      <c r="L462" s="135"/>
      <c r="M462" s="135"/>
      <c r="N462" s="135"/>
      <c r="O462" s="135"/>
      <c r="P462" s="135"/>
      <c r="Q462" s="189"/>
      <c r="R462" s="135"/>
      <c r="S462" s="135"/>
      <c r="T462" s="135"/>
      <c r="U462" s="135"/>
      <c r="V462" s="189"/>
      <c r="W462" s="135"/>
      <c r="X462" s="135"/>
    </row>
    <row r="463" customFormat="false" ht="15.75" hidden="false" customHeight="true" outlineLevel="0" collapsed="false">
      <c r="A463" s="135"/>
      <c r="B463" s="189"/>
      <c r="C463" s="135"/>
      <c r="D463" s="189"/>
      <c r="E463" s="135"/>
      <c r="F463" s="135"/>
      <c r="G463" s="135"/>
      <c r="H463" s="135"/>
      <c r="I463" s="135"/>
      <c r="J463" s="135"/>
      <c r="K463" s="189"/>
      <c r="L463" s="135"/>
      <c r="M463" s="135"/>
      <c r="N463" s="135"/>
      <c r="O463" s="135"/>
      <c r="P463" s="135"/>
      <c r="Q463" s="189"/>
      <c r="R463" s="135"/>
      <c r="S463" s="135"/>
      <c r="T463" s="135"/>
      <c r="U463" s="135"/>
      <c r="V463" s="189"/>
      <c r="W463" s="135"/>
      <c r="X463" s="135"/>
    </row>
    <row r="464" customFormat="false" ht="15.75" hidden="false" customHeight="true" outlineLevel="0" collapsed="false">
      <c r="A464" s="135"/>
      <c r="B464" s="189"/>
      <c r="C464" s="135"/>
      <c r="D464" s="189"/>
      <c r="E464" s="135"/>
      <c r="F464" s="135"/>
      <c r="G464" s="135"/>
      <c r="H464" s="135"/>
      <c r="I464" s="135"/>
      <c r="J464" s="135"/>
      <c r="K464" s="189"/>
      <c r="L464" s="135"/>
      <c r="M464" s="135"/>
      <c r="N464" s="135"/>
      <c r="O464" s="135"/>
      <c r="P464" s="135"/>
      <c r="Q464" s="189"/>
      <c r="R464" s="135"/>
      <c r="S464" s="135"/>
      <c r="T464" s="135"/>
      <c r="U464" s="135"/>
      <c r="V464" s="189"/>
      <c r="W464" s="135"/>
      <c r="X464" s="135"/>
    </row>
    <row r="465" customFormat="false" ht="15.75" hidden="false" customHeight="true" outlineLevel="0" collapsed="false">
      <c r="A465" s="135"/>
      <c r="B465" s="189"/>
      <c r="C465" s="135"/>
      <c r="D465" s="189"/>
      <c r="E465" s="135"/>
      <c r="F465" s="135"/>
      <c r="G465" s="135"/>
      <c r="H465" s="135"/>
      <c r="I465" s="135"/>
      <c r="J465" s="135"/>
      <c r="K465" s="189"/>
      <c r="L465" s="135"/>
      <c r="M465" s="135"/>
      <c r="N465" s="135"/>
      <c r="O465" s="135"/>
      <c r="P465" s="135"/>
      <c r="Q465" s="189"/>
      <c r="R465" s="135"/>
      <c r="S465" s="135"/>
      <c r="T465" s="135"/>
      <c r="U465" s="135"/>
      <c r="V465" s="189"/>
      <c r="W465" s="135"/>
      <c r="X465" s="135"/>
    </row>
    <row r="466" customFormat="false" ht="15.75" hidden="false" customHeight="true" outlineLevel="0" collapsed="false">
      <c r="A466" s="135"/>
      <c r="B466" s="189"/>
      <c r="C466" s="135"/>
      <c r="D466" s="189"/>
      <c r="E466" s="135"/>
      <c r="F466" s="135"/>
      <c r="G466" s="135"/>
      <c r="H466" s="135"/>
      <c r="I466" s="135"/>
      <c r="J466" s="135"/>
      <c r="K466" s="189"/>
      <c r="L466" s="135"/>
      <c r="M466" s="135"/>
      <c r="N466" s="135"/>
      <c r="O466" s="135"/>
      <c r="P466" s="135"/>
      <c r="Q466" s="189"/>
      <c r="R466" s="135"/>
      <c r="S466" s="135"/>
      <c r="T466" s="135"/>
      <c r="U466" s="135"/>
      <c r="V466" s="189"/>
      <c r="W466" s="135"/>
      <c r="X466" s="135"/>
    </row>
    <row r="467" customFormat="false" ht="15.75" hidden="false" customHeight="true" outlineLevel="0" collapsed="false">
      <c r="A467" s="135"/>
      <c r="B467" s="189"/>
      <c r="C467" s="135"/>
      <c r="D467" s="189"/>
      <c r="E467" s="135"/>
      <c r="F467" s="135"/>
      <c r="G467" s="135"/>
      <c r="H467" s="135"/>
      <c r="I467" s="135"/>
      <c r="J467" s="135"/>
      <c r="K467" s="189"/>
      <c r="L467" s="135"/>
      <c r="M467" s="135"/>
      <c r="N467" s="135"/>
      <c r="O467" s="135"/>
      <c r="P467" s="135"/>
      <c r="Q467" s="189"/>
      <c r="R467" s="135"/>
      <c r="S467" s="135"/>
      <c r="T467" s="135"/>
      <c r="U467" s="135"/>
      <c r="V467" s="189"/>
      <c r="W467" s="135"/>
      <c r="X467" s="135"/>
    </row>
    <row r="468" customFormat="false" ht="15.75" hidden="false" customHeight="true" outlineLevel="0" collapsed="false">
      <c r="A468" s="135"/>
      <c r="B468" s="189"/>
      <c r="C468" s="135"/>
      <c r="D468" s="189"/>
      <c r="E468" s="135"/>
      <c r="F468" s="135"/>
      <c r="G468" s="135"/>
      <c r="H468" s="135"/>
      <c r="I468" s="135"/>
      <c r="J468" s="135"/>
      <c r="K468" s="189"/>
      <c r="L468" s="135"/>
      <c r="M468" s="135"/>
      <c r="N468" s="135"/>
      <c r="O468" s="135"/>
      <c r="P468" s="135"/>
      <c r="Q468" s="189"/>
      <c r="R468" s="135"/>
      <c r="S468" s="135"/>
      <c r="T468" s="135"/>
      <c r="U468" s="135"/>
      <c r="V468" s="189"/>
      <c r="W468" s="135"/>
      <c r="X468" s="135"/>
    </row>
    <row r="469" customFormat="false" ht="15.75" hidden="false" customHeight="true" outlineLevel="0" collapsed="false">
      <c r="A469" s="135"/>
      <c r="B469" s="189"/>
      <c r="C469" s="135"/>
      <c r="D469" s="189"/>
      <c r="E469" s="135"/>
      <c r="F469" s="135"/>
      <c r="G469" s="135"/>
      <c r="H469" s="135"/>
      <c r="I469" s="135"/>
      <c r="J469" s="135"/>
      <c r="K469" s="189"/>
      <c r="L469" s="135"/>
      <c r="M469" s="135"/>
      <c r="N469" s="135"/>
      <c r="O469" s="135"/>
      <c r="P469" s="135"/>
      <c r="Q469" s="189"/>
      <c r="R469" s="135"/>
      <c r="S469" s="135"/>
      <c r="T469" s="135"/>
      <c r="U469" s="135"/>
      <c r="V469" s="189"/>
      <c r="W469" s="135"/>
      <c r="X469" s="135"/>
    </row>
    <row r="470" customFormat="false" ht="15.75" hidden="false" customHeight="true" outlineLevel="0" collapsed="false">
      <c r="A470" s="135"/>
      <c r="B470" s="189"/>
      <c r="C470" s="135"/>
      <c r="D470" s="189"/>
      <c r="E470" s="135"/>
      <c r="F470" s="135"/>
      <c r="G470" s="135"/>
      <c r="H470" s="135"/>
      <c r="I470" s="135"/>
      <c r="J470" s="135"/>
      <c r="K470" s="189"/>
      <c r="L470" s="135"/>
      <c r="M470" s="135"/>
      <c r="N470" s="135"/>
      <c r="O470" s="135"/>
      <c r="P470" s="135"/>
      <c r="Q470" s="189"/>
      <c r="R470" s="135"/>
      <c r="S470" s="135"/>
      <c r="T470" s="135"/>
      <c r="U470" s="135"/>
      <c r="V470" s="189"/>
      <c r="W470" s="135"/>
      <c r="X470" s="135"/>
    </row>
    <row r="471" customFormat="false" ht="15.75" hidden="false" customHeight="true" outlineLevel="0" collapsed="false">
      <c r="A471" s="135"/>
      <c r="B471" s="189"/>
      <c r="C471" s="135"/>
      <c r="D471" s="189"/>
      <c r="E471" s="135"/>
      <c r="F471" s="135"/>
      <c r="G471" s="135"/>
      <c r="H471" s="135"/>
      <c r="I471" s="135"/>
      <c r="J471" s="135"/>
      <c r="K471" s="189"/>
      <c r="L471" s="135"/>
      <c r="M471" s="135"/>
      <c r="N471" s="135"/>
      <c r="O471" s="135"/>
      <c r="P471" s="135"/>
      <c r="Q471" s="189"/>
      <c r="R471" s="135"/>
      <c r="S471" s="135"/>
      <c r="T471" s="135"/>
      <c r="U471" s="135"/>
      <c r="V471" s="189"/>
      <c r="W471" s="135"/>
      <c r="X471" s="135"/>
    </row>
    <row r="472" customFormat="false" ht="15.75" hidden="false" customHeight="true" outlineLevel="0" collapsed="false">
      <c r="A472" s="135"/>
      <c r="B472" s="189"/>
      <c r="C472" s="135"/>
      <c r="D472" s="189"/>
      <c r="E472" s="135"/>
      <c r="F472" s="135"/>
      <c r="G472" s="135"/>
      <c r="H472" s="135"/>
      <c r="I472" s="135"/>
      <c r="J472" s="135"/>
      <c r="K472" s="189"/>
      <c r="L472" s="135"/>
      <c r="M472" s="135"/>
      <c r="N472" s="135"/>
      <c r="O472" s="135"/>
      <c r="P472" s="135"/>
      <c r="Q472" s="189"/>
      <c r="R472" s="135"/>
      <c r="S472" s="135"/>
      <c r="T472" s="135"/>
      <c r="U472" s="135"/>
      <c r="V472" s="189"/>
      <c r="W472" s="135"/>
      <c r="X472" s="135"/>
    </row>
    <row r="473" customFormat="false" ht="15.75" hidden="false" customHeight="true" outlineLevel="0" collapsed="false">
      <c r="A473" s="135"/>
      <c r="B473" s="189"/>
      <c r="C473" s="135"/>
      <c r="D473" s="189"/>
      <c r="E473" s="135"/>
      <c r="F473" s="135"/>
      <c r="G473" s="135"/>
      <c r="H473" s="135"/>
      <c r="I473" s="135"/>
      <c r="J473" s="135"/>
      <c r="K473" s="189"/>
      <c r="L473" s="135"/>
      <c r="M473" s="135"/>
      <c r="N473" s="135"/>
      <c r="O473" s="135"/>
      <c r="P473" s="135"/>
      <c r="Q473" s="189"/>
      <c r="R473" s="135"/>
      <c r="S473" s="135"/>
      <c r="T473" s="135"/>
      <c r="U473" s="135"/>
      <c r="V473" s="189"/>
      <c r="W473" s="135"/>
      <c r="X473" s="135"/>
    </row>
    <row r="474" customFormat="false" ht="15.75" hidden="false" customHeight="true" outlineLevel="0" collapsed="false">
      <c r="A474" s="135"/>
      <c r="B474" s="189"/>
      <c r="C474" s="135"/>
      <c r="D474" s="189"/>
      <c r="E474" s="135"/>
      <c r="F474" s="135"/>
      <c r="G474" s="135"/>
      <c r="H474" s="135"/>
      <c r="I474" s="135"/>
      <c r="J474" s="135"/>
      <c r="K474" s="189"/>
      <c r="L474" s="135"/>
      <c r="M474" s="135"/>
      <c r="N474" s="135"/>
      <c r="O474" s="135"/>
      <c r="P474" s="135"/>
      <c r="Q474" s="189"/>
      <c r="R474" s="135"/>
      <c r="S474" s="135"/>
      <c r="T474" s="135"/>
      <c r="U474" s="135"/>
      <c r="V474" s="189"/>
      <c r="W474" s="135"/>
      <c r="X474" s="135"/>
    </row>
    <row r="475" customFormat="false" ht="15.75" hidden="false" customHeight="true" outlineLevel="0" collapsed="false">
      <c r="A475" s="135"/>
      <c r="B475" s="189"/>
      <c r="C475" s="135"/>
      <c r="D475" s="189"/>
      <c r="E475" s="135"/>
      <c r="F475" s="135"/>
      <c r="G475" s="135"/>
      <c r="H475" s="135"/>
      <c r="I475" s="135"/>
      <c r="J475" s="135"/>
      <c r="K475" s="189"/>
      <c r="L475" s="135"/>
      <c r="M475" s="135"/>
      <c r="N475" s="135"/>
      <c r="O475" s="135"/>
      <c r="P475" s="135"/>
      <c r="Q475" s="189"/>
      <c r="R475" s="135"/>
      <c r="S475" s="135"/>
      <c r="T475" s="135"/>
      <c r="U475" s="135"/>
      <c r="V475" s="189"/>
      <c r="W475" s="135"/>
      <c r="X475" s="135"/>
    </row>
    <row r="476" customFormat="false" ht="15.75" hidden="false" customHeight="true" outlineLevel="0" collapsed="false">
      <c r="A476" s="135"/>
      <c r="B476" s="189"/>
      <c r="C476" s="135"/>
      <c r="D476" s="189"/>
      <c r="E476" s="135"/>
      <c r="F476" s="135"/>
      <c r="G476" s="135"/>
      <c r="H476" s="135"/>
      <c r="I476" s="135"/>
      <c r="J476" s="135"/>
      <c r="K476" s="189"/>
      <c r="L476" s="135"/>
      <c r="M476" s="135"/>
      <c r="N476" s="135"/>
      <c r="O476" s="135"/>
      <c r="P476" s="135"/>
      <c r="Q476" s="189"/>
      <c r="R476" s="135"/>
      <c r="S476" s="135"/>
      <c r="T476" s="135"/>
      <c r="U476" s="135"/>
      <c r="V476" s="189"/>
      <c r="W476" s="135"/>
      <c r="X476" s="135"/>
    </row>
    <row r="477" customFormat="false" ht="15.75" hidden="false" customHeight="true" outlineLevel="0" collapsed="false">
      <c r="A477" s="135"/>
      <c r="B477" s="189"/>
      <c r="C477" s="135"/>
      <c r="D477" s="189"/>
      <c r="E477" s="135"/>
      <c r="F477" s="135"/>
      <c r="G477" s="135"/>
      <c r="H477" s="135"/>
      <c r="I477" s="135"/>
      <c r="J477" s="135"/>
      <c r="K477" s="189"/>
      <c r="L477" s="135"/>
      <c r="M477" s="135"/>
      <c r="N477" s="135"/>
      <c r="O477" s="135"/>
      <c r="P477" s="135"/>
      <c r="Q477" s="189"/>
      <c r="R477" s="135"/>
      <c r="S477" s="135"/>
      <c r="T477" s="135"/>
      <c r="U477" s="135"/>
      <c r="V477" s="189"/>
      <c r="W477" s="135"/>
      <c r="X477" s="135"/>
    </row>
    <row r="478" customFormat="false" ht="15.75" hidden="false" customHeight="true" outlineLevel="0" collapsed="false">
      <c r="A478" s="135"/>
      <c r="B478" s="189"/>
      <c r="C478" s="135"/>
      <c r="D478" s="189"/>
      <c r="E478" s="135"/>
      <c r="F478" s="135"/>
      <c r="G478" s="135"/>
      <c r="H478" s="135"/>
      <c r="I478" s="135"/>
      <c r="J478" s="135"/>
      <c r="K478" s="189"/>
      <c r="L478" s="135"/>
      <c r="M478" s="135"/>
      <c r="N478" s="135"/>
      <c r="O478" s="135"/>
      <c r="P478" s="135"/>
      <c r="Q478" s="189"/>
      <c r="R478" s="135"/>
      <c r="S478" s="135"/>
      <c r="T478" s="135"/>
      <c r="U478" s="135"/>
      <c r="V478" s="189"/>
      <c r="W478" s="135"/>
      <c r="X478" s="135"/>
    </row>
    <row r="479" customFormat="false" ht="15.75" hidden="false" customHeight="true" outlineLevel="0" collapsed="false">
      <c r="A479" s="135"/>
      <c r="B479" s="189"/>
      <c r="C479" s="135"/>
      <c r="D479" s="189"/>
      <c r="E479" s="135"/>
      <c r="F479" s="135"/>
      <c r="G479" s="135"/>
      <c r="H479" s="135"/>
      <c r="I479" s="135"/>
      <c r="J479" s="135"/>
      <c r="K479" s="189"/>
      <c r="L479" s="135"/>
      <c r="M479" s="135"/>
      <c r="N479" s="135"/>
      <c r="O479" s="135"/>
      <c r="P479" s="135"/>
      <c r="Q479" s="189"/>
      <c r="R479" s="135"/>
      <c r="S479" s="135"/>
      <c r="T479" s="135"/>
      <c r="U479" s="135"/>
      <c r="V479" s="189"/>
      <c r="W479" s="135"/>
      <c r="X479" s="135"/>
    </row>
    <row r="480" customFormat="false" ht="15.75" hidden="false" customHeight="true" outlineLevel="0" collapsed="false">
      <c r="A480" s="135"/>
      <c r="B480" s="189"/>
      <c r="C480" s="135"/>
      <c r="D480" s="189"/>
      <c r="E480" s="135"/>
      <c r="F480" s="135"/>
      <c r="G480" s="135"/>
      <c r="H480" s="135"/>
      <c r="I480" s="135"/>
      <c r="J480" s="135"/>
      <c r="K480" s="189"/>
      <c r="L480" s="135"/>
      <c r="M480" s="135"/>
      <c r="N480" s="135"/>
      <c r="O480" s="135"/>
      <c r="P480" s="135"/>
      <c r="Q480" s="189"/>
      <c r="R480" s="135"/>
      <c r="S480" s="135"/>
      <c r="T480" s="135"/>
      <c r="U480" s="135"/>
      <c r="V480" s="189"/>
      <c r="W480" s="135"/>
      <c r="X480" s="135"/>
    </row>
    <row r="481" customFormat="false" ht="15.75" hidden="false" customHeight="true" outlineLevel="0" collapsed="false">
      <c r="A481" s="135"/>
      <c r="B481" s="189"/>
      <c r="C481" s="135"/>
      <c r="D481" s="189"/>
      <c r="E481" s="135"/>
      <c r="F481" s="135"/>
      <c r="G481" s="135"/>
      <c r="H481" s="135"/>
      <c r="I481" s="135"/>
      <c r="J481" s="135"/>
      <c r="K481" s="189"/>
      <c r="L481" s="135"/>
      <c r="M481" s="135"/>
      <c r="N481" s="135"/>
      <c r="O481" s="135"/>
      <c r="P481" s="135"/>
      <c r="Q481" s="189"/>
      <c r="R481" s="135"/>
      <c r="S481" s="135"/>
      <c r="T481" s="135"/>
      <c r="U481" s="135"/>
      <c r="V481" s="189"/>
      <c r="W481" s="135"/>
      <c r="X481" s="135"/>
    </row>
    <row r="482" customFormat="false" ht="15.75" hidden="false" customHeight="true" outlineLevel="0" collapsed="false">
      <c r="A482" s="135"/>
      <c r="B482" s="189"/>
      <c r="C482" s="135"/>
      <c r="D482" s="189"/>
      <c r="E482" s="135"/>
      <c r="F482" s="135"/>
      <c r="G482" s="135"/>
      <c r="H482" s="135"/>
      <c r="I482" s="135"/>
      <c r="J482" s="135"/>
      <c r="K482" s="189"/>
      <c r="L482" s="135"/>
      <c r="M482" s="135"/>
      <c r="N482" s="135"/>
      <c r="O482" s="135"/>
      <c r="P482" s="135"/>
      <c r="Q482" s="189"/>
      <c r="R482" s="135"/>
      <c r="S482" s="135"/>
      <c r="T482" s="135"/>
      <c r="U482" s="135"/>
      <c r="V482" s="189"/>
      <c r="W482" s="135"/>
      <c r="X482" s="135"/>
    </row>
    <row r="483" customFormat="false" ht="15.75" hidden="false" customHeight="true" outlineLevel="0" collapsed="false">
      <c r="A483" s="135"/>
      <c r="B483" s="189"/>
      <c r="C483" s="135"/>
      <c r="D483" s="189"/>
      <c r="E483" s="135"/>
      <c r="F483" s="135"/>
      <c r="G483" s="135"/>
      <c r="H483" s="135"/>
      <c r="I483" s="135"/>
      <c r="J483" s="135"/>
      <c r="K483" s="189"/>
      <c r="L483" s="135"/>
      <c r="M483" s="135"/>
      <c r="N483" s="135"/>
      <c r="O483" s="135"/>
      <c r="P483" s="135"/>
      <c r="Q483" s="189"/>
      <c r="R483" s="135"/>
      <c r="S483" s="135"/>
      <c r="T483" s="135"/>
      <c r="U483" s="135"/>
      <c r="V483" s="189"/>
      <c r="W483" s="135"/>
      <c r="X483" s="135"/>
    </row>
    <row r="484" customFormat="false" ht="15.75" hidden="false" customHeight="true" outlineLevel="0" collapsed="false">
      <c r="A484" s="135"/>
      <c r="B484" s="189"/>
      <c r="C484" s="135"/>
      <c r="D484" s="189"/>
      <c r="E484" s="135"/>
      <c r="F484" s="135"/>
      <c r="G484" s="135"/>
      <c r="H484" s="135"/>
      <c r="I484" s="135"/>
      <c r="J484" s="135"/>
      <c r="K484" s="189"/>
      <c r="L484" s="135"/>
      <c r="M484" s="135"/>
      <c r="N484" s="135"/>
      <c r="O484" s="135"/>
      <c r="P484" s="135"/>
      <c r="Q484" s="189"/>
      <c r="R484" s="135"/>
      <c r="S484" s="135"/>
      <c r="T484" s="135"/>
      <c r="U484" s="135"/>
      <c r="V484" s="189"/>
      <c r="W484" s="135"/>
      <c r="X484" s="135"/>
    </row>
    <row r="485" customFormat="false" ht="15.75" hidden="false" customHeight="true" outlineLevel="0" collapsed="false">
      <c r="A485" s="135"/>
      <c r="B485" s="189"/>
      <c r="C485" s="135"/>
      <c r="D485" s="189"/>
      <c r="E485" s="135"/>
      <c r="F485" s="135"/>
      <c r="G485" s="135"/>
      <c r="H485" s="135"/>
      <c r="I485" s="135"/>
      <c r="J485" s="135"/>
      <c r="K485" s="189"/>
      <c r="L485" s="135"/>
      <c r="M485" s="135"/>
      <c r="N485" s="135"/>
      <c r="O485" s="135"/>
      <c r="P485" s="135"/>
      <c r="Q485" s="189"/>
      <c r="R485" s="135"/>
      <c r="S485" s="135"/>
      <c r="T485" s="135"/>
      <c r="U485" s="135"/>
      <c r="V485" s="189"/>
      <c r="W485" s="135"/>
      <c r="X485" s="135"/>
    </row>
    <row r="486" customFormat="false" ht="15.75" hidden="false" customHeight="true" outlineLevel="0" collapsed="false">
      <c r="A486" s="135"/>
      <c r="B486" s="189"/>
      <c r="C486" s="135"/>
      <c r="D486" s="189"/>
      <c r="E486" s="135"/>
      <c r="F486" s="135"/>
      <c r="G486" s="135"/>
      <c r="H486" s="135"/>
      <c r="I486" s="135"/>
      <c r="J486" s="135"/>
      <c r="K486" s="189"/>
      <c r="L486" s="135"/>
      <c r="M486" s="135"/>
      <c r="N486" s="135"/>
      <c r="O486" s="135"/>
      <c r="P486" s="135"/>
      <c r="Q486" s="189"/>
      <c r="R486" s="135"/>
      <c r="S486" s="135"/>
      <c r="T486" s="135"/>
      <c r="U486" s="135"/>
      <c r="V486" s="189"/>
      <c r="W486" s="135"/>
      <c r="X486" s="135"/>
    </row>
    <row r="487" customFormat="false" ht="15.75" hidden="false" customHeight="true" outlineLevel="0" collapsed="false">
      <c r="A487" s="135"/>
      <c r="B487" s="189"/>
      <c r="C487" s="135"/>
      <c r="D487" s="189"/>
      <c r="E487" s="135"/>
      <c r="F487" s="135"/>
      <c r="G487" s="135"/>
      <c r="H487" s="135"/>
      <c r="I487" s="135"/>
      <c r="J487" s="135"/>
      <c r="K487" s="189"/>
      <c r="L487" s="135"/>
      <c r="M487" s="135"/>
      <c r="N487" s="135"/>
      <c r="O487" s="135"/>
      <c r="P487" s="135"/>
      <c r="Q487" s="189"/>
      <c r="R487" s="135"/>
      <c r="S487" s="135"/>
      <c r="T487" s="135"/>
      <c r="U487" s="135"/>
      <c r="V487" s="189"/>
      <c r="W487" s="135"/>
      <c r="X487" s="135"/>
    </row>
    <row r="488" customFormat="false" ht="15.75" hidden="false" customHeight="true" outlineLevel="0" collapsed="false">
      <c r="A488" s="135"/>
      <c r="B488" s="189"/>
      <c r="C488" s="135"/>
      <c r="D488" s="189"/>
      <c r="E488" s="135"/>
      <c r="F488" s="135"/>
      <c r="G488" s="135"/>
      <c r="H488" s="135"/>
      <c r="I488" s="135"/>
      <c r="J488" s="135"/>
      <c r="K488" s="189"/>
      <c r="L488" s="135"/>
      <c r="M488" s="135"/>
      <c r="N488" s="135"/>
      <c r="O488" s="135"/>
      <c r="P488" s="135"/>
      <c r="Q488" s="189"/>
      <c r="R488" s="135"/>
      <c r="S488" s="135"/>
      <c r="T488" s="135"/>
      <c r="U488" s="135"/>
      <c r="V488" s="189"/>
      <c r="W488" s="135"/>
      <c r="X488" s="135"/>
    </row>
    <row r="489" customFormat="false" ht="15.75" hidden="false" customHeight="true" outlineLevel="0" collapsed="false">
      <c r="A489" s="135"/>
      <c r="B489" s="189"/>
      <c r="C489" s="135"/>
      <c r="D489" s="189"/>
      <c r="E489" s="135"/>
      <c r="F489" s="135"/>
      <c r="G489" s="135"/>
      <c r="H489" s="135"/>
      <c r="I489" s="135"/>
      <c r="J489" s="135"/>
      <c r="K489" s="189"/>
      <c r="L489" s="135"/>
      <c r="M489" s="135"/>
      <c r="N489" s="135"/>
      <c r="O489" s="135"/>
      <c r="P489" s="135"/>
      <c r="Q489" s="189"/>
      <c r="R489" s="135"/>
      <c r="S489" s="135"/>
      <c r="T489" s="135"/>
      <c r="U489" s="135"/>
      <c r="V489" s="189"/>
      <c r="W489" s="135"/>
      <c r="X489" s="135"/>
    </row>
    <row r="490" customFormat="false" ht="15.75" hidden="false" customHeight="true" outlineLevel="0" collapsed="false">
      <c r="A490" s="135"/>
      <c r="B490" s="189"/>
      <c r="C490" s="135"/>
      <c r="D490" s="189"/>
      <c r="E490" s="135"/>
      <c r="F490" s="135"/>
      <c r="G490" s="135"/>
      <c r="H490" s="135"/>
      <c r="I490" s="135"/>
      <c r="J490" s="135"/>
      <c r="K490" s="189"/>
      <c r="L490" s="135"/>
      <c r="M490" s="135"/>
      <c r="N490" s="135"/>
      <c r="O490" s="135"/>
      <c r="P490" s="135"/>
      <c r="Q490" s="189"/>
      <c r="R490" s="135"/>
      <c r="S490" s="135"/>
      <c r="T490" s="135"/>
      <c r="U490" s="135"/>
      <c r="V490" s="189"/>
      <c r="W490" s="135"/>
      <c r="X490" s="135"/>
    </row>
    <row r="491" customFormat="false" ht="15.75" hidden="false" customHeight="true" outlineLevel="0" collapsed="false">
      <c r="A491" s="135"/>
      <c r="B491" s="189"/>
      <c r="C491" s="135"/>
      <c r="D491" s="189"/>
      <c r="E491" s="135"/>
      <c r="F491" s="135"/>
      <c r="G491" s="135"/>
      <c r="H491" s="135"/>
      <c r="I491" s="135"/>
      <c r="J491" s="135"/>
      <c r="K491" s="189"/>
      <c r="L491" s="135"/>
      <c r="M491" s="135"/>
      <c r="N491" s="135"/>
      <c r="O491" s="135"/>
      <c r="P491" s="135"/>
      <c r="Q491" s="189"/>
      <c r="R491" s="135"/>
      <c r="S491" s="135"/>
      <c r="T491" s="135"/>
      <c r="U491" s="135"/>
      <c r="V491" s="189"/>
      <c r="W491" s="135"/>
      <c r="X491" s="135"/>
    </row>
    <row r="492" customFormat="false" ht="15.75" hidden="false" customHeight="true" outlineLevel="0" collapsed="false">
      <c r="A492" s="135"/>
      <c r="B492" s="189"/>
      <c r="C492" s="135"/>
      <c r="D492" s="189"/>
      <c r="E492" s="135"/>
      <c r="F492" s="135"/>
      <c r="G492" s="135"/>
      <c r="H492" s="135"/>
      <c r="I492" s="135"/>
      <c r="J492" s="135"/>
      <c r="K492" s="189"/>
      <c r="L492" s="135"/>
      <c r="M492" s="135"/>
      <c r="N492" s="135"/>
      <c r="O492" s="135"/>
      <c r="P492" s="135"/>
      <c r="Q492" s="189"/>
      <c r="R492" s="135"/>
      <c r="S492" s="135"/>
      <c r="T492" s="135"/>
      <c r="U492" s="135"/>
      <c r="V492" s="189"/>
      <c r="W492" s="135"/>
      <c r="X492" s="135"/>
    </row>
    <row r="493" customFormat="false" ht="15.75" hidden="false" customHeight="true" outlineLevel="0" collapsed="false">
      <c r="A493" s="135"/>
      <c r="B493" s="189"/>
      <c r="C493" s="135"/>
      <c r="D493" s="189"/>
      <c r="E493" s="135"/>
      <c r="F493" s="135"/>
      <c r="G493" s="135"/>
      <c r="H493" s="135"/>
      <c r="I493" s="135"/>
      <c r="J493" s="135"/>
      <c r="K493" s="189"/>
      <c r="L493" s="135"/>
      <c r="M493" s="135"/>
      <c r="N493" s="135"/>
      <c r="O493" s="135"/>
      <c r="P493" s="135"/>
      <c r="Q493" s="189"/>
      <c r="R493" s="135"/>
      <c r="S493" s="135"/>
      <c r="T493" s="135"/>
      <c r="U493" s="135"/>
      <c r="V493" s="189"/>
      <c r="W493" s="135"/>
      <c r="X493" s="135"/>
    </row>
    <row r="494" customFormat="false" ht="15.75" hidden="false" customHeight="true" outlineLevel="0" collapsed="false">
      <c r="A494" s="135"/>
      <c r="B494" s="189"/>
      <c r="C494" s="135"/>
      <c r="D494" s="189"/>
      <c r="E494" s="135"/>
      <c r="F494" s="135"/>
      <c r="G494" s="135"/>
      <c r="H494" s="135"/>
      <c r="I494" s="135"/>
      <c r="J494" s="135"/>
      <c r="K494" s="189"/>
      <c r="L494" s="135"/>
      <c r="M494" s="135"/>
      <c r="N494" s="135"/>
      <c r="O494" s="135"/>
      <c r="P494" s="135"/>
      <c r="Q494" s="189"/>
      <c r="R494" s="135"/>
      <c r="S494" s="135"/>
      <c r="T494" s="135"/>
      <c r="U494" s="135"/>
      <c r="V494" s="189"/>
      <c r="W494" s="135"/>
      <c r="X494" s="135"/>
    </row>
    <row r="495" customFormat="false" ht="15.75" hidden="false" customHeight="true" outlineLevel="0" collapsed="false">
      <c r="A495" s="135"/>
      <c r="B495" s="189"/>
      <c r="C495" s="135"/>
      <c r="D495" s="189"/>
      <c r="E495" s="135"/>
      <c r="F495" s="135"/>
      <c r="G495" s="135"/>
      <c r="H495" s="135"/>
      <c r="I495" s="135"/>
      <c r="J495" s="135"/>
      <c r="K495" s="189"/>
      <c r="L495" s="135"/>
      <c r="M495" s="135"/>
      <c r="N495" s="135"/>
      <c r="O495" s="135"/>
      <c r="P495" s="135"/>
      <c r="Q495" s="189"/>
      <c r="R495" s="135"/>
      <c r="S495" s="135"/>
      <c r="T495" s="135"/>
      <c r="U495" s="135"/>
      <c r="V495" s="189"/>
      <c r="W495" s="135"/>
      <c r="X495" s="135"/>
    </row>
    <row r="496" customFormat="false" ht="15.75" hidden="false" customHeight="true" outlineLevel="0" collapsed="false">
      <c r="A496" s="135"/>
      <c r="B496" s="189"/>
      <c r="C496" s="135"/>
      <c r="D496" s="189"/>
      <c r="E496" s="135"/>
      <c r="F496" s="135"/>
      <c r="G496" s="135"/>
      <c r="H496" s="135"/>
      <c r="I496" s="135"/>
      <c r="J496" s="135"/>
      <c r="K496" s="189"/>
      <c r="L496" s="135"/>
      <c r="M496" s="135"/>
      <c r="N496" s="135"/>
      <c r="O496" s="135"/>
      <c r="P496" s="135"/>
      <c r="Q496" s="189"/>
      <c r="R496" s="135"/>
      <c r="S496" s="135"/>
      <c r="T496" s="135"/>
      <c r="U496" s="135"/>
      <c r="V496" s="189"/>
      <c r="W496" s="135"/>
      <c r="X496" s="135"/>
    </row>
    <row r="497" customFormat="false" ht="15.75" hidden="false" customHeight="true" outlineLevel="0" collapsed="false">
      <c r="A497" s="135"/>
      <c r="B497" s="189"/>
      <c r="C497" s="135"/>
      <c r="D497" s="189"/>
      <c r="E497" s="135"/>
      <c r="F497" s="135"/>
      <c r="G497" s="135"/>
      <c r="H497" s="135"/>
      <c r="I497" s="135"/>
      <c r="J497" s="135"/>
      <c r="K497" s="189"/>
      <c r="L497" s="135"/>
      <c r="M497" s="135"/>
      <c r="N497" s="135"/>
      <c r="O497" s="135"/>
      <c r="P497" s="135"/>
      <c r="Q497" s="189"/>
      <c r="R497" s="135"/>
      <c r="S497" s="135"/>
      <c r="T497" s="135"/>
      <c r="U497" s="135"/>
      <c r="V497" s="189"/>
      <c r="W497" s="135"/>
      <c r="X497" s="135"/>
    </row>
    <row r="498" customFormat="false" ht="15.75" hidden="false" customHeight="true" outlineLevel="0" collapsed="false">
      <c r="A498" s="135"/>
      <c r="B498" s="189"/>
      <c r="C498" s="135"/>
      <c r="D498" s="189"/>
      <c r="E498" s="135"/>
      <c r="F498" s="135"/>
      <c r="G498" s="135"/>
      <c r="H498" s="135"/>
      <c r="I498" s="135"/>
      <c r="J498" s="135"/>
      <c r="K498" s="189"/>
      <c r="L498" s="135"/>
      <c r="M498" s="135"/>
      <c r="N498" s="135"/>
      <c r="O498" s="135"/>
      <c r="P498" s="135"/>
      <c r="Q498" s="189"/>
      <c r="R498" s="135"/>
      <c r="S498" s="135"/>
      <c r="T498" s="135"/>
      <c r="U498" s="135"/>
      <c r="V498" s="189"/>
      <c r="W498" s="135"/>
      <c r="X498" s="135"/>
    </row>
    <row r="499" customFormat="false" ht="15.75" hidden="false" customHeight="true" outlineLevel="0" collapsed="false">
      <c r="A499" s="135"/>
      <c r="B499" s="189"/>
      <c r="C499" s="135"/>
      <c r="D499" s="189"/>
      <c r="E499" s="135"/>
      <c r="F499" s="135"/>
      <c r="G499" s="135"/>
      <c r="H499" s="135"/>
      <c r="I499" s="135"/>
      <c r="J499" s="135"/>
      <c r="K499" s="189"/>
      <c r="L499" s="135"/>
      <c r="M499" s="135"/>
      <c r="N499" s="135"/>
      <c r="O499" s="135"/>
      <c r="P499" s="135"/>
      <c r="Q499" s="189"/>
      <c r="R499" s="135"/>
      <c r="S499" s="135"/>
      <c r="T499" s="135"/>
      <c r="U499" s="135"/>
      <c r="V499" s="189"/>
      <c r="W499" s="135"/>
      <c r="X499" s="135"/>
    </row>
    <row r="500" customFormat="false" ht="15.75" hidden="false" customHeight="true" outlineLevel="0" collapsed="false">
      <c r="A500" s="135"/>
      <c r="B500" s="189"/>
      <c r="C500" s="135"/>
      <c r="D500" s="189"/>
      <c r="E500" s="135"/>
      <c r="F500" s="135"/>
      <c r="G500" s="135"/>
      <c r="H500" s="135"/>
      <c r="I500" s="135"/>
      <c r="J500" s="135"/>
      <c r="K500" s="189"/>
      <c r="L500" s="135"/>
      <c r="M500" s="135"/>
      <c r="N500" s="135"/>
      <c r="O500" s="135"/>
      <c r="P500" s="135"/>
      <c r="Q500" s="189"/>
      <c r="R500" s="135"/>
      <c r="S500" s="135"/>
      <c r="T500" s="135"/>
      <c r="U500" s="135"/>
      <c r="V500" s="189"/>
      <c r="W500" s="135"/>
      <c r="X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S16"/>
  <conditionalFormatting sqref="P4:P1000">
    <cfRule type="expression" priority="2" aboveAverage="0" equalAverage="0" bottom="0" percent="0" rank="0" text="" dxfId="14">
      <formula>ISNUMBER(SEARCH("rejected",P4))</formula>
    </cfRule>
    <cfRule type="expression" priority="3" aboveAverage="0" equalAverage="0" bottom="0" percent="0" rank="0" text="" dxfId="15">
      <formula>ISNUMBER(SEARCH("new",P4))</formula>
    </cfRule>
    <cfRule type="expression" priority="4" aboveAverage="0" equalAverage="0" bottom="0" percent="0" rank="0" text="" dxfId="16">
      <formula>ISNUMBER(SEARCH("considering",P4))</formula>
    </cfRule>
    <cfRule type="expression" priority="5" aboveAverage="0" equalAverage="0" bottom="0" percent="0" rank="0" text="" dxfId="17">
      <formula>ISNUMBER(SEARCH("contacted",P4))</formula>
    </cfRule>
    <cfRule type="expression" priority="6" aboveAverage="0" equalAverage="0" bottom="0" percent="0" rank="0" text="" dxfId="14">
      <formula>ISNUMBER(SEARCH("no_response",P4))</formula>
    </cfRule>
  </conditionalFormatting>
  <conditionalFormatting sqref="T4:T1000">
    <cfRule type="expression" priority="7" aboveAverage="0" equalAverage="0" bottom="0" percent="0" rank="0" text="" dxfId="14">
      <formula>ISNUMBER(SEARCH("⚠",T4))</formula>
    </cfRule>
    <cfRule type="expression" priority="8" aboveAverage="0" equalAverage="0" bottom="0" percent="0" rank="0" text="" dxfId="18">
      <formula>ISNUMBER(SEARCH("✓",T4))</formula>
    </cfRule>
    <cfRule type="expression" priority="9" aboveAverage="0" equalAverage="0" bottom="0" percent="0" rank="0" text="" dxfId="14">
      <formula>OR(ISNUMBER(SEARCH("Quá SLA",T4)),ISNUMBER(SEARCH("NGAY",T4)),ISNUMBER(SEARCH("GẤP",T4)),ISNUMBER(SEARCH("NGUY HIỂM",T4)),ISNUMBER(SEARCH("XỬ LÝ",T4)),ISNUMBER(SEARCH("THAM GIA",T4)),ISNUMBER(SEARCH("LH GẤP",T4)))</formula>
    </cfRule>
    <cfRule type="expression" priority="10" aboveAverage="0" equalAverage="0" bottom="0" percent="0" rank="0" text="" dxfId="15">
      <formula>OR(ISNUMBER(SEARCH("đến hạn",T4)),ISNUMBER(SEARCH("còn ",T4)),ISNUMBER(SEARCH("trong SLA",T4)),ISNUMBER(SEARCH("chốt",T4)),ISNUMBER(SEARCH("LH chốt",T4)),ISNUMBER(SEARCH("Follow-up",T4)),ISNUMBER(SEARCH("Phân tích",T4)),ISNUMBER(SEARCH("đến hạn",T4)),ISNUMBER(SEARCH("Set ",T4)))</formula>
    </cfRule>
    <cfRule type="expression" priority="11" aboveAverage="0" equalAverage="0" bottom="0" percent="0" rank="0" text="" dxfId="19">
      <formula>OR(ISNUMBER(SEARCH(" ngay",T4)),ISNUMBER(SEARCH(" gấp",T4)),ISNUMBER(SEARCH("GỌI",T4)),ISNUMBER(SEARCH("NGUY",T4)))</formula>
    </cfRule>
    <cfRule type="expression" priority="12" aboveAverage="0" equalAverage="0" bottom="0" percent="0" rank="0" text="" dxfId="20">
      <formula>ISNUMBER(SEARCH("Không cần làm gì",T4))</formula>
    </cfRule>
    <cfRule type="expression" priority="13" aboveAverage="0" equalAverage="0" bottom="0" percent="0" rank="0" text="" dxfId="21">
      <formula>LEN(T4)&gt;0</formula>
    </cfRule>
  </conditionalFormatting>
  <dataValidations count="9">
    <dataValidation allowBlank="true" errorStyle="stop" operator="between" showDropDown="false" showErrorMessage="false" showInputMessage="false" sqref="H4:H500" type="list">
      <formula1>'CH1. Danh mục lựa chọn'!$B$50:$B$52</formula1>
      <formula2>0</formula2>
    </dataValidation>
    <dataValidation allowBlank="true" errorStyle="stop" operator="between" showDropDown="false" showErrorMessage="false" showInputMessage="false" sqref="I4:I500" type="list">
      <formula1>'CH1. Danh mục lựa chọn'!$B$56:$B$60</formula1>
      <formula2>0</formula2>
    </dataValidation>
    <dataValidation allowBlank="true" errorStyle="stop" operator="between" showDropDown="false" showErrorMessage="false" showInputMessage="false" sqref="P4:P500" type="list">
      <formula1>'CH1. Danh mục lựa chọn'!$B$26:$B$32</formula1>
      <formula2>0</formula2>
    </dataValidation>
    <dataValidation allowBlank="true" errorStyle="stop" operator="between" showDropDown="false" showErrorMessage="false" showInputMessage="false" sqref="O4:O500" type="list">
      <formula1>'CH1. Danh mục lựa chọn'!$B$20:$B$22</formula1>
      <formula2>0</formula2>
    </dataValidation>
    <dataValidation allowBlank="true" errorStyle="stop" operator="between" prompt="Điểm IELTS không hợp lệ - Điểm phải từ 0.0 đến 9.0" showDropDown="false" showErrorMessage="true" showInputMessage="true" sqref="J4:J500" type="decimal">
      <formula1>0</formula1>
      <formula2>9</formula2>
    </dataValidation>
    <dataValidation allowBlank="true" errorStyle="stop" operator="between" showDropDown="false" showErrorMessage="false" showInputMessage="false" sqref="N4:N500" type="list">
      <formula1>'CH1. Danh mục lựa chọn'!$B$6:$B$16</formula1>
      <formula2>0</formula2>
    </dataValidation>
    <dataValidation allowBlank="true" errorStyle="stop" operator="between" prompt="SĐT không hợp lệ - Số điện thoại phải đúng 10 chữ số (VD: 0901234567)" showDropDown="false" showErrorMessage="true" showInputMessage="true" sqref="F4:F500" type="custom">
      <formula1>AND(LEN(F4)=10,ISNUMBER(VALUE(F4)))</formula1>
      <formula2>0</formula2>
    </dataValidation>
    <dataValidation allowBlank="true" errorStyle="stop" operator="between" showDropDown="false" showErrorMessage="false" showInputMessage="false" sqref="M4:M500" type="list">
      <formula1>'CH1. Danh mục lựa chọn'!$B$64:$B$66</formula1>
      <formula2>0</formula2>
    </dataValidation>
    <dataValidation allowBlank="true" errorStyle="stop" operator="between" showDropDown="false" showErrorMessage="false" showInputMessage="false" sqref="R4:R500" type="list">
      <formula1>'CH1. Danh mục lựa chọn'!$B$423:$B$428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5.14"/>
    <col collapsed="false" customWidth="true" hidden="false" outlineLevel="0" max="2" min="2" style="1" width="18.43"/>
    <col collapsed="false" customWidth="true" hidden="false" outlineLevel="0" max="3" min="3" style="1" width="24.43"/>
    <col collapsed="false" customWidth="true" hidden="false" outlineLevel="0" max="4" min="4" style="1" width="18"/>
    <col collapsed="false" customWidth="true" hidden="false" outlineLevel="0" max="5" min="5" style="1" width="20.14"/>
    <col collapsed="false" customWidth="true" hidden="false" outlineLevel="0" max="6" min="6" style="1" width="27"/>
    <col collapsed="false" customWidth="true" hidden="false" outlineLevel="0" max="7" min="7" style="1" width="28.71"/>
    <col collapsed="false" customWidth="true" hidden="false" outlineLevel="0" max="8" min="8" style="1" width="20"/>
    <col collapsed="false" customWidth="true" hidden="false" outlineLevel="0" max="9" min="9" style="1" width="28"/>
    <col collapsed="false" customWidth="true" hidden="false" outlineLevel="0" max="10" min="10" style="1" width="24.43"/>
    <col collapsed="false" customWidth="true" hidden="false" outlineLevel="0" max="26" min="11" style="1" width="8.71"/>
  </cols>
  <sheetData>
    <row r="1" customFormat="false" ht="25.5" hidden="false" customHeight="true" outlineLevel="0" collapsed="false">
      <c r="A1" s="190" t="s">
        <v>2601</v>
      </c>
      <c r="B1" s="190" t="s">
        <v>837</v>
      </c>
      <c r="C1" s="190" t="s">
        <v>839</v>
      </c>
      <c r="D1" s="190" t="s">
        <v>2602</v>
      </c>
      <c r="E1" s="190" t="s">
        <v>2603</v>
      </c>
      <c r="F1" s="190" t="s">
        <v>2604</v>
      </c>
      <c r="G1" s="190" t="s">
        <v>2605</v>
      </c>
      <c r="H1" s="190" t="s">
        <v>841</v>
      </c>
      <c r="I1" s="190" t="s">
        <v>2606</v>
      </c>
      <c r="J1" s="190" t="s">
        <v>842</v>
      </c>
      <c r="K1" s="4"/>
      <c r="L1" s="4"/>
      <c r="M1" s="4"/>
      <c r="N1" s="4"/>
      <c r="O1" s="4"/>
      <c r="P1" s="4"/>
      <c r="Q1" s="4"/>
      <c r="R1" s="4"/>
      <c r="S1" s="4"/>
      <c r="T1" s="4"/>
      <c r="U1" s="4"/>
      <c r="V1" s="4"/>
      <c r="W1" s="4"/>
      <c r="X1" s="4"/>
      <c r="Y1" s="4"/>
      <c r="Z1" s="4"/>
    </row>
    <row r="2" customFormat="false" ht="21.75" hidden="false" customHeight="true" outlineLevel="0" collapsed="false">
      <c r="A2" s="191" t="s">
        <v>2607</v>
      </c>
      <c r="B2" s="191" t="s">
        <v>2608</v>
      </c>
      <c r="C2" s="191" t="s">
        <v>2609</v>
      </c>
      <c r="D2" s="191" t="s">
        <v>2610</v>
      </c>
      <c r="E2" s="191" t="s">
        <v>2611</v>
      </c>
      <c r="F2" s="191" t="s">
        <v>2612</v>
      </c>
      <c r="G2" s="191" t="s">
        <v>2613</v>
      </c>
      <c r="H2" s="191" t="s">
        <v>2614</v>
      </c>
      <c r="I2" s="191" t="s">
        <v>2615</v>
      </c>
      <c r="J2" s="191" t="s">
        <v>2616</v>
      </c>
      <c r="K2" s="4"/>
      <c r="L2" s="4"/>
      <c r="M2" s="4"/>
      <c r="N2" s="4"/>
      <c r="O2" s="4"/>
      <c r="P2" s="4"/>
      <c r="Q2" s="4"/>
      <c r="R2" s="4"/>
      <c r="S2" s="4"/>
      <c r="T2" s="4"/>
      <c r="U2" s="4"/>
      <c r="V2" s="4"/>
      <c r="W2" s="4"/>
      <c r="X2" s="4"/>
      <c r="Y2" s="4"/>
      <c r="Z2" s="4"/>
    </row>
    <row r="3" customFormat="false" ht="20.25" hidden="false" customHeight="true" outlineLevel="0" collapsed="false">
      <c r="A3" s="192" t="s">
        <v>2617</v>
      </c>
      <c r="B3" s="192" t="s">
        <v>2618</v>
      </c>
      <c r="C3" s="192" t="s">
        <v>2619</v>
      </c>
      <c r="D3" s="192" t="s">
        <v>2620</v>
      </c>
      <c r="E3" s="192" t="s">
        <v>2621</v>
      </c>
      <c r="F3" s="192" t="s">
        <v>2622</v>
      </c>
      <c r="G3" s="192" t="s">
        <v>2623</v>
      </c>
      <c r="H3" s="192" t="s">
        <v>2624</v>
      </c>
      <c r="I3" s="192" t="s">
        <v>2625</v>
      </c>
      <c r="J3" s="192" t="s">
        <v>2294</v>
      </c>
      <c r="K3" s="4"/>
      <c r="L3" s="4"/>
      <c r="M3" s="4"/>
      <c r="N3" s="4"/>
      <c r="O3" s="4"/>
      <c r="P3" s="4"/>
      <c r="Q3" s="4"/>
      <c r="R3" s="4"/>
      <c r="S3" s="4"/>
      <c r="T3" s="4"/>
      <c r="U3" s="4"/>
      <c r="V3" s="4"/>
      <c r="W3" s="4"/>
      <c r="X3" s="4"/>
      <c r="Y3" s="4"/>
      <c r="Z3" s="4"/>
    </row>
    <row r="4" customFormat="false" ht="21.75" hidden="false" customHeight="true" outlineLevel="0" collapsed="false">
      <c r="A4" s="44" t="s">
        <v>2626</v>
      </c>
      <c r="B4" s="193" t="str">
        <f aca="false">IFERROR(HYPERLINK("#'DL02. Khách tiềm năng'!A"&amp;MATCH("L-2026-00003",'DL02. Khách tiềm năng'!A:A,0),"L-2026-00003"),"L-2026-00003")</f>
        <v>L-2026-00003</v>
      </c>
      <c r="C4" s="44" t="str">
        <f aca="false">IFERROR(VLOOKUP(B4,'DL02. Khách tiềm năng'!$A:$E,5,FALSE()),"")</f>
        <v>Lý Mỹ Linh</v>
      </c>
      <c r="D4" s="188" t="n">
        <v>46206.4166666667</v>
      </c>
      <c r="E4" s="44" t="s">
        <v>997</v>
      </c>
      <c r="F4" s="44" t="s">
        <v>1005</v>
      </c>
      <c r="G4" s="166" t="s">
        <v>2627</v>
      </c>
      <c r="H4" s="193" t="str">
        <f aca="false">IFERROR(HYPERLINK("#'DL02. Khách tiềm năng'!A"&amp;MATCH("NV023",'DL01. Nhân viên'!A:A,0),"NV023"),"NV023")</f>
        <v>NV023</v>
      </c>
      <c r="I4" s="166" t="s">
        <v>2628</v>
      </c>
      <c r="J4" s="181" t="str">
        <f aca="false">IFERROR(VLOOKUP(H4,'DL01. Nhân viên'!$A:$B,2,FALSE()),"")</f>
        <v>Nguyễn Thị Phương Duyên</v>
      </c>
      <c r="K4" s="4"/>
      <c r="L4" s="4"/>
      <c r="M4" s="4"/>
      <c r="N4" s="4"/>
      <c r="O4" s="4"/>
      <c r="P4" s="4"/>
      <c r="Q4" s="4"/>
      <c r="R4" s="4"/>
      <c r="S4" s="4"/>
      <c r="T4" s="4"/>
      <c r="U4" s="4"/>
      <c r="V4" s="4"/>
      <c r="W4" s="4"/>
      <c r="X4" s="4"/>
      <c r="Y4" s="4"/>
      <c r="Z4" s="4"/>
    </row>
    <row r="5" customFormat="false" ht="21.75" hidden="false" customHeight="true" outlineLevel="0" collapsed="false">
      <c r="A5" s="44" t="s">
        <v>2629</v>
      </c>
      <c r="B5" s="193" t="str">
        <f aca="false">IFERROR(HYPERLINK("#'DL02. Khách tiềm năng'!A"&amp;MATCH("L-2026-00004",'DL02. Khách tiềm năng'!A:A,0),"L-2026-00004"),"L-2026-00004")</f>
        <v>L-2026-00004</v>
      </c>
      <c r="C5" s="44" t="str">
        <f aca="false">IFERROR(VLOOKUP(B5,'DL02. Khách tiềm năng'!$A:$E,5,FALSE()),"")</f>
        <v>Trịnh Văn Nam</v>
      </c>
      <c r="D5" s="188" t="n">
        <v>46204.375</v>
      </c>
      <c r="E5" s="44" t="s">
        <v>997</v>
      </c>
      <c r="F5" s="44" t="s">
        <v>1005</v>
      </c>
      <c r="G5" s="166" t="s">
        <v>2630</v>
      </c>
      <c r="H5" s="193" t="str">
        <f aca="false">IFERROR(HYPERLINK("#'DL02. Khách tiềm năng'!A"&amp;MATCH("NV024",'DL01. Nhân viên'!A:A,0),"NV024"),"NV024")</f>
        <v>NV024</v>
      </c>
      <c r="I5" s="166" t="s">
        <v>2631</v>
      </c>
      <c r="J5" s="181" t="str">
        <f aca="false">IFERROR(VLOOKUP(H5,'DL01. Nhân viên'!$A:$B,2,FALSE()),"")</f>
        <v>Huỳnh Quốc Khánh</v>
      </c>
      <c r="K5" s="4"/>
      <c r="L5" s="4"/>
      <c r="M5" s="4"/>
      <c r="N5" s="4"/>
      <c r="O5" s="4"/>
      <c r="P5" s="4"/>
      <c r="Q5" s="4"/>
      <c r="R5" s="4"/>
      <c r="S5" s="4"/>
      <c r="T5" s="4"/>
      <c r="U5" s="4"/>
      <c r="V5" s="4"/>
      <c r="W5" s="4"/>
      <c r="X5" s="4"/>
      <c r="Y5" s="4"/>
      <c r="Z5" s="4"/>
    </row>
    <row r="6" customFormat="false" ht="21.75" hidden="false" customHeight="true" outlineLevel="0" collapsed="false">
      <c r="A6" s="44" t="s">
        <v>2632</v>
      </c>
      <c r="B6" s="193" t="str">
        <f aca="false">IFERROR(HYPERLINK("#'DL02. Khách tiềm năng'!A"&amp;MATCH("L-2026-00005",'DL02. Khách tiềm năng'!A:A,0),"L-2026-00005"),"L-2026-00005")</f>
        <v>L-2026-00005</v>
      </c>
      <c r="C6" s="44" t="str">
        <f aca="false">IFERROR(VLOOKUP(B6,'DL02. Khách tiềm năng'!$A:$E,5,FALSE()),"")</f>
        <v>Cao Thị Oanh</v>
      </c>
      <c r="D6" s="188" t="n">
        <v>46202.5833333333</v>
      </c>
      <c r="E6" s="44" t="s">
        <v>995</v>
      </c>
      <c r="F6" s="44" t="s">
        <v>1005</v>
      </c>
      <c r="G6" s="166" t="s">
        <v>2633</v>
      </c>
      <c r="H6" s="193" t="str">
        <f aca="false">IFERROR(HYPERLINK("#'DL02. Khách tiềm năng'!A"&amp;MATCH("NV025",'DL01. Nhân viên'!A:A,0),"NV025"),"NV025")</f>
        <v>NV025</v>
      </c>
      <c r="I6" s="166" t="s">
        <v>2634</v>
      </c>
      <c r="J6" s="181" t="str">
        <f aca="false">IFERROR(VLOOKUP(H6,'DL01. Nhân viên'!$A:$B,2,FALSE()),"")</f>
        <v>Thái Phạm Tố Trinh</v>
      </c>
      <c r="K6" s="4"/>
      <c r="L6" s="4"/>
      <c r="M6" s="4"/>
      <c r="N6" s="4"/>
      <c r="O6" s="4"/>
      <c r="P6" s="4"/>
      <c r="Q6" s="4"/>
      <c r="R6" s="4"/>
      <c r="S6" s="4"/>
      <c r="T6" s="4"/>
      <c r="U6" s="4"/>
      <c r="V6" s="4"/>
      <c r="W6" s="4"/>
      <c r="X6" s="4"/>
      <c r="Y6" s="4"/>
      <c r="Z6" s="4"/>
    </row>
    <row r="7" customFormat="false" ht="21.75" hidden="false" customHeight="true" outlineLevel="0" collapsed="false">
      <c r="A7" s="44" t="s">
        <v>2635</v>
      </c>
      <c r="B7" s="193" t="str">
        <f aca="false">IFERROR(HYPERLINK("#'DL02. Khách tiềm năng'!A"&amp;MATCH("L-2026-00006",'DL02. Khách tiềm năng'!A:A,0),"L-2026-00006"),"L-2026-00006")</f>
        <v>L-2026-00006</v>
      </c>
      <c r="C7" s="44" t="str">
        <f aca="false">IFERROR(VLOOKUP(B7,'DL02. Khách tiềm năng'!$A:$E,5,FALSE()),"")</f>
        <v>Trần Minh Anh</v>
      </c>
      <c r="D7" s="188" t="n">
        <v>46153.4166666667</v>
      </c>
      <c r="E7" s="44" t="s">
        <v>997</v>
      </c>
      <c r="F7" s="44" t="s">
        <v>1005</v>
      </c>
      <c r="G7" s="166" t="s">
        <v>2636</v>
      </c>
      <c r="H7" s="193" t="str">
        <f aca="false">IFERROR(HYPERLINK("#'DL02. Khách tiềm năng'!A"&amp;MATCH("NV001",'DL01. Nhân viên'!A:A,0),"NV001"),"NV001")</f>
        <v>NV001</v>
      </c>
      <c r="I7" s="166" t="s">
        <v>2637</v>
      </c>
      <c r="J7" s="181" t="str">
        <f aca="false">IFERROR(VLOOKUP(H7,'DL01. Nhân viên'!$A:$B,2,FALSE()),"")</f>
        <v>Nguyễn Hoàng Anh Kiệt</v>
      </c>
      <c r="K7" s="4"/>
      <c r="L7" s="4"/>
      <c r="M7" s="4"/>
      <c r="N7" s="4"/>
      <c r="O7" s="4"/>
      <c r="P7" s="4"/>
      <c r="Q7" s="4"/>
      <c r="R7" s="4"/>
      <c r="S7" s="4"/>
      <c r="T7" s="4"/>
      <c r="U7" s="4"/>
      <c r="V7" s="4"/>
      <c r="W7" s="4"/>
      <c r="X7" s="4"/>
      <c r="Y7" s="4"/>
      <c r="Z7" s="4"/>
    </row>
    <row r="8" customFormat="false" ht="21.75" hidden="false" customHeight="true" outlineLevel="0" collapsed="false">
      <c r="A8" s="44" t="s">
        <v>2638</v>
      </c>
      <c r="B8" s="193" t="str">
        <f aca="false">IFERROR(HYPERLINK("#'DL02. Khách tiềm năng'!A"&amp;MATCH("L-2026-00007",'DL02. Khách tiềm năng'!A:A,0),"L-2026-00007"),"L-2026-00007")</f>
        <v>L-2026-00007</v>
      </c>
      <c r="C8" s="44" t="str">
        <f aca="false">IFERROR(VLOOKUP(B8,'DL02. Khách tiềm năng'!$A:$E,5,FALSE()),"")</f>
        <v>Lê Thị Bích Ngọc</v>
      </c>
      <c r="D8" s="188" t="n">
        <v>46138.375</v>
      </c>
      <c r="E8" s="44" t="s">
        <v>997</v>
      </c>
      <c r="F8" s="44" t="s">
        <v>1005</v>
      </c>
      <c r="G8" s="166" t="s">
        <v>2639</v>
      </c>
      <c r="H8" s="193" t="str">
        <f aca="false">IFERROR(HYPERLINK("#'DL02. Khách tiềm năng'!A"&amp;MATCH("NV002",'DL01. Nhân viên'!A:A,0),"NV002"),"NV002")</f>
        <v>NV002</v>
      </c>
      <c r="I8" s="166" t="s">
        <v>2637</v>
      </c>
      <c r="J8" s="181" t="str">
        <f aca="false">IFERROR(VLOOKUP(H8,'DL01. Nhân viên'!$A:$B,2,FALSE()),"")</f>
        <v>Nguyễn Văn Thanh Thuyên</v>
      </c>
      <c r="K8" s="4"/>
      <c r="L8" s="4"/>
      <c r="M8" s="4"/>
      <c r="N8" s="4"/>
      <c r="O8" s="4"/>
      <c r="P8" s="4"/>
      <c r="Q8" s="4"/>
      <c r="R8" s="4"/>
      <c r="S8" s="4"/>
      <c r="T8" s="4"/>
      <c r="U8" s="4"/>
      <c r="V8" s="4"/>
      <c r="W8" s="4"/>
      <c r="X8" s="4"/>
      <c r="Y8" s="4"/>
      <c r="Z8" s="4"/>
    </row>
    <row r="9" customFormat="false" ht="21.75" hidden="false" customHeight="true" outlineLevel="0" collapsed="false">
      <c r="A9" s="44" t="s">
        <v>2640</v>
      </c>
      <c r="B9" s="193" t="str">
        <f aca="false">IFERROR(HYPERLINK("#'DL02. Khách tiềm năng'!A"&amp;MATCH("L-2026-00008",'DL02. Khách tiềm năng'!A:A,0),"L-2026-00008"),"L-2026-00008")</f>
        <v>L-2026-00008</v>
      </c>
      <c r="C9" s="44" t="str">
        <f aca="false">IFERROR(VLOOKUP(B9,'DL02. Khách tiềm năng'!$A:$E,5,FALSE()),"")</f>
        <v>Phạm Quốc Cường</v>
      </c>
      <c r="D9" s="188" t="n">
        <v>46158.4166666667</v>
      </c>
      <c r="E9" s="44" t="s">
        <v>997</v>
      </c>
      <c r="F9" s="44" t="s">
        <v>1005</v>
      </c>
      <c r="G9" s="166" t="s">
        <v>2641</v>
      </c>
      <c r="H9" s="193" t="str">
        <f aca="false">IFERROR(HYPERLINK("#'DL02. Khách tiềm năng'!A"&amp;MATCH("NV023",'DL01. Nhân viên'!A:A,0),"NV023"),"NV023")</f>
        <v>NV023</v>
      </c>
      <c r="I9" s="166" t="s">
        <v>2637</v>
      </c>
      <c r="J9" s="181" t="str">
        <f aca="false">IFERROR(VLOOKUP(H9,'DL01. Nhân viên'!$A:$B,2,FALSE()),"")</f>
        <v>Nguyễn Thị Phương Duyên</v>
      </c>
      <c r="K9" s="4"/>
      <c r="L9" s="4"/>
      <c r="M9" s="4"/>
      <c r="N9" s="4"/>
      <c r="O9" s="4"/>
      <c r="P9" s="4"/>
      <c r="Q9" s="4"/>
      <c r="R9" s="4"/>
      <c r="S9" s="4"/>
      <c r="T9" s="4"/>
      <c r="U9" s="4"/>
      <c r="V9" s="4"/>
      <c r="W9" s="4"/>
      <c r="X9" s="4"/>
      <c r="Y9" s="4"/>
      <c r="Z9" s="4"/>
    </row>
    <row r="10" customFormat="false" ht="21.75" hidden="false" customHeight="true" outlineLevel="0" collapsed="false">
      <c r="A10" s="44" t="s">
        <v>2642</v>
      </c>
      <c r="B10" s="193" t="str">
        <f aca="false">IFERROR(HYPERLINK("#'DL02. Khách tiềm năng'!A"&amp;MATCH("L-2026-00009",'DL02. Khách tiềm năng'!A:A,0),"L-2026-00009"),"L-2026-00009")</f>
        <v>L-2026-00009</v>
      </c>
      <c r="C10" s="44" t="str">
        <f aca="false">IFERROR(VLOOKUP(B10,'DL02. Khách tiềm năng'!$A:$E,5,FALSE()),"")</f>
        <v>Nguyễn Thị Dung</v>
      </c>
      <c r="D10" s="188" t="n">
        <v>46160.4583333333</v>
      </c>
      <c r="E10" s="44" t="s">
        <v>997</v>
      </c>
      <c r="F10" s="44" t="s">
        <v>1005</v>
      </c>
      <c r="G10" s="166" t="s">
        <v>2639</v>
      </c>
      <c r="H10" s="193" t="str">
        <f aca="false">IFERROR(HYPERLINK("#'DL02. Khách tiềm năng'!A"&amp;MATCH("NV024",'DL01. Nhân viên'!A:A,0),"NV024"),"NV024")</f>
        <v>NV024</v>
      </c>
      <c r="I10" s="166" t="s">
        <v>2637</v>
      </c>
      <c r="J10" s="181" t="str">
        <f aca="false">IFERROR(VLOOKUP(H10,'DL01. Nhân viên'!$A:$B,2,FALSE()),"")</f>
        <v>Huỳnh Quốc Khánh</v>
      </c>
      <c r="K10" s="4"/>
      <c r="L10" s="4"/>
      <c r="M10" s="4"/>
      <c r="N10" s="4"/>
      <c r="O10" s="4"/>
      <c r="P10" s="4"/>
      <c r="Q10" s="4"/>
      <c r="R10" s="4"/>
      <c r="S10" s="4"/>
      <c r="T10" s="4"/>
      <c r="U10" s="4"/>
      <c r="V10" s="4"/>
      <c r="W10" s="4"/>
      <c r="X10" s="4"/>
      <c r="Y10" s="4"/>
      <c r="Z10" s="4"/>
    </row>
    <row r="11" customFormat="false" ht="21.75" hidden="false" customHeight="true" outlineLevel="0" collapsed="false">
      <c r="A11" s="44" t="s">
        <v>2643</v>
      </c>
      <c r="B11" s="193" t="str">
        <f aca="false">IFERROR(HYPERLINK("#'DL02. Khách tiềm năng'!A"&amp;MATCH("L-2026-00010",'DL02. Khách tiềm năng'!A:A,0),"L-2026-00010"),"L-2026-00010")</f>
        <v>L-2026-00010</v>
      </c>
      <c r="C11" s="44" t="str">
        <f aca="false">IFERROR(VLOOKUP(B11,'DL02. Khách tiềm năng'!$A:$E,5,FALSE()),"")</f>
        <v>Võ Hoàng Em</v>
      </c>
      <c r="D11" s="188" t="n">
        <v>46163.625</v>
      </c>
      <c r="E11" s="44" t="s">
        <v>995</v>
      </c>
      <c r="F11" s="44" t="s">
        <v>1005</v>
      </c>
      <c r="G11" s="166" t="s">
        <v>2644</v>
      </c>
      <c r="H11" s="193" t="str">
        <f aca="false">IFERROR(HYPERLINK("#'DL02. Khách tiềm năng'!A"&amp;MATCH("NV025",'DL01. Nhân viên'!A:A,0),"NV025"),"NV025")</f>
        <v>NV025</v>
      </c>
      <c r="I11" s="166" t="s">
        <v>2637</v>
      </c>
      <c r="J11" s="181" t="str">
        <f aca="false">IFERROR(VLOOKUP(H11,'DL01. Nhân viên'!$A:$B,2,FALSE()),"")</f>
        <v>Thái Phạm Tố Trinh</v>
      </c>
      <c r="K11" s="4"/>
      <c r="L11" s="4"/>
      <c r="M11" s="4"/>
      <c r="N11" s="4"/>
      <c r="O11" s="4"/>
      <c r="P11" s="4"/>
      <c r="Q11" s="4"/>
      <c r="R11" s="4"/>
      <c r="S11" s="4"/>
      <c r="T11" s="4"/>
      <c r="U11" s="4"/>
      <c r="V11" s="4"/>
      <c r="W11" s="4"/>
      <c r="X11" s="4"/>
      <c r="Y11" s="4"/>
      <c r="Z11" s="4"/>
    </row>
    <row r="12" customFormat="false" ht="21.75" hidden="false" customHeight="true" outlineLevel="0" collapsed="false">
      <c r="A12" s="44" t="s">
        <v>2645</v>
      </c>
      <c r="B12" s="193" t="str">
        <f aca="false">IFERROR(HYPERLINK("#'DL02. Khách tiềm năng'!A"&amp;MATCH("L-2026-00011",'DL02. Khách tiềm năng'!A:A,0),"L-2026-00011"),"L-2026-00011")</f>
        <v>L-2026-00011</v>
      </c>
      <c r="C12" s="44" t="str">
        <f aca="false">IFERROR(VLOOKUP(B12,'DL02. Khách tiềm năng'!$A:$E,5,FALSE()),"")</f>
        <v>Đặng Thu Hà</v>
      </c>
      <c r="D12" s="188" t="n">
        <v>46200.4166666667</v>
      </c>
      <c r="E12" s="44" t="s">
        <v>997</v>
      </c>
      <c r="F12" s="44" t="s">
        <v>1005</v>
      </c>
      <c r="G12" s="166" t="s">
        <v>2636</v>
      </c>
      <c r="H12" s="193" t="str">
        <f aca="false">IFERROR(HYPERLINK("#'DL02. Khách tiềm năng'!A"&amp;MATCH("NV001",'DL01. Nhân viên'!A:A,0),"NV001"),"NV001")</f>
        <v>NV001</v>
      </c>
      <c r="I12" s="166" t="s">
        <v>2646</v>
      </c>
      <c r="J12" s="181" t="str">
        <f aca="false">IFERROR(VLOOKUP(H12,'DL01. Nhân viên'!$A:$B,2,FALSE()),"")</f>
        <v>Nguyễn Hoàng Anh Kiệt</v>
      </c>
      <c r="K12" s="4"/>
      <c r="L12" s="4"/>
      <c r="M12" s="4"/>
      <c r="N12" s="4"/>
      <c r="O12" s="4"/>
      <c r="P12" s="4"/>
      <c r="Q12" s="4"/>
      <c r="R12" s="4"/>
      <c r="S12" s="4"/>
      <c r="T12" s="4"/>
      <c r="U12" s="4"/>
      <c r="V12" s="4"/>
      <c r="W12" s="4"/>
      <c r="X12" s="4"/>
      <c r="Y12" s="4"/>
      <c r="Z12" s="4"/>
    </row>
    <row r="13" customFormat="false" ht="21.75" hidden="false" customHeight="true" outlineLevel="0" collapsed="false">
      <c r="A13" s="44" t="s">
        <v>2647</v>
      </c>
      <c r="B13" s="193" t="str">
        <f aca="false">IFERROR(HYPERLINK("#'DL02. Khách tiềm năng'!A"&amp;MATCH("L-2026-00006",'DL02. Khách tiềm năng'!A:A,0),"L-2026-00006"),"L-2026-00006")</f>
        <v>L-2026-00006</v>
      </c>
      <c r="C13" s="44" t="str">
        <f aca="false">IFERROR(VLOOKUP(B13,'DL02. Khách tiềm năng'!$A:$E,5,FALSE()),"")</f>
        <v>Trần Minh Anh</v>
      </c>
      <c r="D13" s="188" t="n">
        <v>46205.4166666667</v>
      </c>
      <c r="E13" s="44" t="s">
        <v>997</v>
      </c>
      <c r="F13" s="44" t="s">
        <v>1005</v>
      </c>
      <c r="G13" s="166" t="s">
        <v>2648</v>
      </c>
      <c r="H13" s="193" t="str">
        <f aca="false">IFERROR(HYPERLINK("#'DL02. Khách tiềm năng'!A"&amp;MATCH("NV007",'DL01. Nhân viên'!A:A,0),"NV007"),"NV007")</f>
        <v>NV007</v>
      </c>
      <c r="I13" s="166" t="s">
        <v>2649</v>
      </c>
      <c r="J13" s="181" t="str">
        <f aca="false">IFERROR(VLOOKUP(H13,'DL01. Nhân viên'!$A:$B,2,FALSE()),"")</f>
        <v>Lê Thị Đức</v>
      </c>
      <c r="K13" s="4"/>
      <c r="L13" s="4"/>
      <c r="M13" s="4"/>
      <c r="N13" s="4"/>
      <c r="O13" s="4"/>
      <c r="P13" s="4"/>
      <c r="Q13" s="4"/>
      <c r="R13" s="4"/>
      <c r="S13" s="4"/>
      <c r="T13" s="4"/>
      <c r="U13" s="4"/>
      <c r="V13" s="4"/>
      <c r="W13" s="4"/>
      <c r="X13" s="4"/>
      <c r="Y13" s="4"/>
      <c r="Z13" s="4"/>
    </row>
    <row r="14" customFormat="false" ht="21.75" hidden="false" customHeight="true" outlineLevel="0" collapsed="false">
      <c r="A14" s="44" t="s">
        <v>2650</v>
      </c>
      <c r="B14" s="193" t="str">
        <f aca="false">IFERROR(HYPERLINK("#'DL02. Khách tiềm năng'!A"&amp;MATCH("L-2026-00007",'DL02. Khách tiềm năng'!A:A,0),"L-2026-00007"),"L-2026-00007")</f>
        <v>L-2026-00007</v>
      </c>
      <c r="C14" s="44" t="str">
        <f aca="false">IFERROR(VLOOKUP(B14,'DL02. Khách tiềm năng'!$A:$E,5,FALSE()),"")</f>
        <v>Lê Thị Bích Ngọc</v>
      </c>
      <c r="D14" s="188" t="n">
        <v>46204.4166666667</v>
      </c>
      <c r="E14" s="44" t="s">
        <v>995</v>
      </c>
      <c r="F14" s="44" t="s">
        <v>1005</v>
      </c>
      <c r="G14" s="166" t="s">
        <v>2651</v>
      </c>
      <c r="H14" s="193" t="str">
        <f aca="false">IFERROR(HYPERLINK("#'DL02. Khách tiềm năng'!A"&amp;MATCH("NV007",'DL01. Nhân viên'!A:A,0),"NV007"),"NV007")</f>
        <v>NV007</v>
      </c>
      <c r="I14" s="166" t="s">
        <v>2649</v>
      </c>
      <c r="J14" s="181" t="str">
        <f aca="false">IFERROR(VLOOKUP(H14,'DL01. Nhân viên'!$A:$B,2,FALSE()),"")</f>
        <v>Lê Thị Đức</v>
      </c>
      <c r="K14" s="4"/>
      <c r="L14" s="4"/>
      <c r="M14" s="4"/>
      <c r="N14" s="4"/>
      <c r="O14" s="4"/>
      <c r="P14" s="4"/>
      <c r="Q14" s="4"/>
      <c r="R14" s="4"/>
      <c r="S14" s="4"/>
      <c r="T14" s="4"/>
      <c r="U14" s="4"/>
      <c r="V14" s="4"/>
      <c r="W14" s="4"/>
      <c r="X14" s="4"/>
      <c r="Y14" s="4"/>
      <c r="Z14" s="4"/>
    </row>
    <row r="15" customFormat="false" ht="21.75" hidden="false" customHeight="true" outlineLevel="0" collapsed="false">
      <c r="A15" s="44" t="s">
        <v>2652</v>
      </c>
      <c r="B15" s="193" t="str">
        <f aca="false">IFERROR(HYPERLINK("#'DL02. Khách tiềm năng'!A"&amp;MATCH("L-2026-00008",'DL02. Khách tiềm năng'!A:A,0),"L-2026-00008"),"L-2026-00008")</f>
        <v>L-2026-00008</v>
      </c>
      <c r="C15" s="44" t="str">
        <f aca="false">IFERROR(VLOOKUP(B15,'DL02. Khách tiềm năng'!$A:$E,5,FALSE()),"")</f>
        <v>Phạm Quốc Cường</v>
      </c>
      <c r="D15" s="188" t="n">
        <v>46206.4166666667</v>
      </c>
      <c r="E15" s="44" t="s">
        <v>997</v>
      </c>
      <c r="F15" s="44" t="s">
        <v>1005</v>
      </c>
      <c r="G15" s="166" t="s">
        <v>2651</v>
      </c>
      <c r="H15" s="193" t="str">
        <f aca="false">IFERROR(HYPERLINK("#'DL02. Khách tiềm năng'!A"&amp;MATCH("NV008",'DL01. Nhân viên'!A:A,0),"NV008"),"NV008")</f>
        <v>NV008</v>
      </c>
      <c r="I15" s="166" t="s">
        <v>2649</v>
      </c>
      <c r="J15" s="181" t="str">
        <f aca="false">IFERROR(VLOOKUP(H15,'DL01. Nhân viên'!$A:$B,2,FALSE()),"")</f>
        <v>Nguyễn Thị Hồng Thu</v>
      </c>
      <c r="K15" s="4"/>
      <c r="L15" s="4"/>
      <c r="M15" s="4"/>
      <c r="N15" s="4"/>
      <c r="O15" s="4"/>
      <c r="P15" s="4"/>
      <c r="Q15" s="4"/>
      <c r="R15" s="4"/>
      <c r="S15" s="4"/>
      <c r="T15" s="4"/>
      <c r="U15" s="4"/>
      <c r="V15" s="4"/>
      <c r="W15" s="4"/>
      <c r="X15" s="4"/>
      <c r="Y15" s="4"/>
      <c r="Z15" s="4"/>
    </row>
    <row r="16" customFormat="false" ht="21.75" hidden="false" customHeight="true" outlineLevel="0" collapsed="false">
      <c r="A16" s="44" t="s">
        <v>2653</v>
      </c>
      <c r="B16" s="193" t="str">
        <f aca="false">IFERROR(HYPERLINK("#'DL02. Khách tiềm năng'!A"&amp;MATCH("L-2026-00009",'DL02. Khách tiềm năng'!A:A,0),"L-2026-00009"),"L-2026-00009")</f>
        <v>L-2026-00009</v>
      </c>
      <c r="C16" s="44" t="str">
        <f aca="false">IFERROR(VLOOKUP(B16,'DL02. Khách tiềm năng'!$A:$E,5,FALSE()),"")</f>
        <v>Nguyễn Thị Dung</v>
      </c>
      <c r="D16" s="188" t="n">
        <v>46203.4166666667</v>
      </c>
      <c r="E16" s="44" t="s">
        <v>995</v>
      </c>
      <c r="F16" s="44" t="s">
        <v>1005</v>
      </c>
      <c r="G16" s="166" t="s">
        <v>2651</v>
      </c>
      <c r="H16" s="193" t="str">
        <f aca="false">IFERROR(HYPERLINK("#'DL02. Khách tiềm năng'!A"&amp;MATCH("NV008",'DL01. Nhân viên'!A:A,0),"NV008"),"NV008")</f>
        <v>NV008</v>
      </c>
      <c r="I16" s="166" t="s">
        <v>2649</v>
      </c>
      <c r="J16" s="181" t="str">
        <f aca="false">IFERROR(VLOOKUP(H16,'DL01. Nhân viên'!$A:$B,2,FALSE()),"")</f>
        <v>Nguyễn Thị Hồng Thu</v>
      </c>
      <c r="K16" s="4"/>
      <c r="L16" s="4"/>
      <c r="M16" s="4"/>
      <c r="N16" s="4"/>
      <c r="O16" s="4"/>
      <c r="P16" s="4"/>
      <c r="Q16" s="4"/>
      <c r="R16" s="4"/>
      <c r="S16" s="4"/>
      <c r="T16" s="4"/>
      <c r="U16" s="4"/>
      <c r="V16" s="4"/>
      <c r="W16" s="4"/>
      <c r="X16" s="4"/>
      <c r="Y16" s="4"/>
      <c r="Z16" s="4"/>
    </row>
    <row r="17" customFormat="false" ht="21.75" hidden="false" customHeight="true" outlineLevel="0" collapsed="false">
      <c r="A17" s="44" t="s">
        <v>2654</v>
      </c>
      <c r="B17" s="193" t="str">
        <f aca="false">IFERROR(HYPERLINK("#'DL02. Khách tiềm năng'!A"&amp;MATCH("L-2026-00010",'DL02. Khách tiềm năng'!A:A,0),"L-2026-00010"),"L-2026-00010")</f>
        <v>L-2026-00010</v>
      </c>
      <c r="C17" s="44" t="str">
        <f aca="false">IFERROR(VLOOKUP(B17,'DL02. Khách tiềm năng'!$A:$E,5,FALSE()),"")</f>
        <v>Võ Hoàng Em</v>
      </c>
      <c r="D17" s="188" t="n">
        <v>46206.4166666667</v>
      </c>
      <c r="E17" s="44" t="s">
        <v>997</v>
      </c>
      <c r="F17" s="44" t="s">
        <v>1005</v>
      </c>
      <c r="G17" s="166" t="s">
        <v>2651</v>
      </c>
      <c r="H17" s="193" t="str">
        <f aca="false">IFERROR(HYPERLINK("#'DL02. Khách tiềm năng'!A"&amp;MATCH("NV007",'DL01. Nhân viên'!A:A,0),"NV007"),"NV007")</f>
        <v>NV007</v>
      </c>
      <c r="I17" s="166" t="s">
        <v>2649</v>
      </c>
      <c r="J17" s="181" t="str">
        <f aca="false">IFERROR(VLOOKUP(H17,'DL01. Nhân viên'!$A:$B,2,FALSE()),"")</f>
        <v>Lê Thị Đức</v>
      </c>
      <c r="K17" s="4"/>
      <c r="L17" s="4"/>
      <c r="M17" s="4"/>
      <c r="N17" s="4"/>
      <c r="O17" s="4"/>
      <c r="P17" s="4"/>
      <c r="Q17" s="4"/>
      <c r="R17" s="4"/>
      <c r="S17" s="4"/>
      <c r="T17" s="4"/>
      <c r="U17" s="4"/>
      <c r="V17" s="4"/>
      <c r="W17" s="4"/>
      <c r="X17" s="4"/>
      <c r="Y17" s="4"/>
      <c r="Z17" s="4"/>
    </row>
    <row r="18" customFormat="false" ht="21.75" hidden="false" customHeight="true" outlineLevel="0" collapsed="false">
      <c r="A18" s="44" t="s">
        <v>2655</v>
      </c>
      <c r="B18" s="193" t="str">
        <f aca="false">IFERROR(HYPERLINK("#'DL02. Khách tiềm năng'!A"&amp;MATCH("L-2026-00011",'DL02. Khách tiềm năng'!A:A,0),"L-2026-00011"),"L-2026-00011")</f>
        <v>L-2026-00011</v>
      </c>
      <c r="C18" s="44" t="str">
        <f aca="false">IFERROR(VLOOKUP(B18,'DL02. Khách tiềm năng'!$A:$E,5,FALSE()),"")</f>
        <v>Đặng Thu Hà</v>
      </c>
      <c r="D18" s="188" t="n">
        <v>46207.4166666667</v>
      </c>
      <c r="E18" s="44" t="s">
        <v>995</v>
      </c>
      <c r="F18" s="44" t="s">
        <v>1005</v>
      </c>
      <c r="G18" s="166" t="s">
        <v>2656</v>
      </c>
      <c r="H18" s="193" t="str">
        <f aca="false">IFERROR(HYPERLINK("#'DL02. Khách tiềm năng'!A"&amp;MATCH("NV008",'DL01. Nhân viên'!A:A,0),"NV008"),"NV008")</f>
        <v>NV008</v>
      </c>
      <c r="I18" s="166" t="s">
        <v>2649</v>
      </c>
      <c r="J18" s="181" t="str">
        <f aca="false">IFERROR(VLOOKUP(H18,'DL01. Nhân viên'!$A:$B,2,FALSE()),"")</f>
        <v>Nguyễn Thị Hồng Thu</v>
      </c>
      <c r="K18" s="4"/>
      <c r="L18" s="4"/>
      <c r="M18" s="4"/>
      <c r="N18" s="4"/>
      <c r="O18" s="4"/>
      <c r="P18" s="4"/>
      <c r="Q18" s="4"/>
      <c r="R18" s="4"/>
      <c r="S18" s="4"/>
      <c r="T18" s="4"/>
      <c r="U18" s="4"/>
      <c r="V18" s="4"/>
      <c r="W18" s="4"/>
      <c r="X18" s="4"/>
      <c r="Y18" s="4"/>
      <c r="Z18" s="4"/>
    </row>
    <row r="19" customFormat="false" ht="21.75" hidden="false" customHeight="true" outlineLevel="0" collapsed="false">
      <c r="A19" s="44" t="s">
        <v>2657</v>
      </c>
      <c r="B19" s="193" t="str">
        <f aca="false">IFERROR(HYPERLINK("#'DL02. Khách tiềm năng'!A"&amp;MATCH("L-2026-00012",'DL02. Khách tiềm năng'!A:A,0),"L-2026-00012"),"L-2026-00012")</f>
        <v>L-2026-00012</v>
      </c>
      <c r="C19" s="44" t="str">
        <f aca="false">IFERROR(VLOOKUP(B19,'DL02. Khách tiềm năng'!$A:$E,5,FALSE()),"")</f>
        <v>Lý Gia Khang</v>
      </c>
      <c r="D19" s="188" t="n">
        <v>46177.4166666667</v>
      </c>
      <c r="E19" s="44" t="s">
        <v>997</v>
      </c>
      <c r="F19" s="44" t="s">
        <v>1005</v>
      </c>
      <c r="G19" s="166" t="s">
        <v>154</v>
      </c>
      <c r="H19" s="193" t="str">
        <f aca="false">IFERROR(HYPERLINK("#'DL02. Khách tiềm năng'!A"&amp;MATCH("NV001",'DL01. Nhân viên'!A:A,0),"NV001"),"NV001")</f>
        <v>NV001</v>
      </c>
      <c r="I19" s="166" t="s">
        <v>2637</v>
      </c>
      <c r="J19" s="181" t="str">
        <f aca="false">IFERROR(VLOOKUP(H19,'DL01. Nhân viên'!$A:$B,2,FALSE()),"")</f>
        <v>Nguyễn Hoàng Anh Kiệt</v>
      </c>
      <c r="K19" s="4"/>
      <c r="L19" s="4"/>
      <c r="M19" s="4"/>
      <c r="N19" s="4"/>
      <c r="O19" s="4"/>
      <c r="P19" s="4"/>
      <c r="Q19" s="4"/>
      <c r="R19" s="4"/>
      <c r="S19" s="4"/>
      <c r="T19" s="4"/>
      <c r="U19" s="4"/>
      <c r="V19" s="4"/>
      <c r="W19" s="4"/>
      <c r="X19" s="4"/>
      <c r="Y19" s="4"/>
      <c r="Z19" s="4"/>
    </row>
    <row r="20" customFormat="false" ht="21.75" hidden="false" customHeight="true" outlineLevel="0" collapsed="false">
      <c r="A20" s="44" t="s">
        <v>2658</v>
      </c>
      <c r="B20" s="193" t="str">
        <f aca="false">IFERROR(HYPERLINK("#'DL02. Khách tiềm năng'!A"&amp;MATCH("L-2026-00013",'DL02. Khách tiềm năng'!A:A,0),"L-2026-00013"),"L-2026-00013")</f>
        <v>L-2026-00013</v>
      </c>
      <c r="C20" s="44" t="str">
        <f aca="false">IFERROR(VLOOKUP(B20,'DL02. Khách tiềm năng'!$A:$E,5,FALSE()),"")</f>
        <v>Trương Mỹ Lan</v>
      </c>
      <c r="D20" s="188" t="n">
        <v>46179.4166666667</v>
      </c>
      <c r="E20" s="44" t="s">
        <v>997</v>
      </c>
      <c r="F20" s="44" t="s">
        <v>1005</v>
      </c>
      <c r="G20" s="166" t="s">
        <v>154</v>
      </c>
      <c r="H20" s="193" t="str">
        <f aca="false">IFERROR(HYPERLINK("#'DL02. Khách tiềm năng'!A"&amp;MATCH("NV002",'DL01. Nhân viên'!A:A,0),"NV002"),"NV002")</f>
        <v>NV002</v>
      </c>
      <c r="I20" s="166" t="s">
        <v>2637</v>
      </c>
      <c r="J20" s="181" t="str">
        <f aca="false">IFERROR(VLOOKUP(H20,'DL01. Nhân viên'!$A:$B,2,FALSE()),"")</f>
        <v>Nguyễn Văn Thanh Thuyên</v>
      </c>
      <c r="K20" s="4"/>
      <c r="L20" s="4"/>
      <c r="M20" s="4"/>
      <c r="N20" s="4"/>
      <c r="O20" s="4"/>
      <c r="P20" s="4"/>
      <c r="Q20" s="4"/>
      <c r="R20" s="4"/>
      <c r="S20" s="4"/>
      <c r="T20" s="4"/>
      <c r="U20" s="4"/>
      <c r="V20" s="4"/>
      <c r="W20" s="4"/>
      <c r="X20" s="4"/>
      <c r="Y20" s="4"/>
      <c r="Z20" s="4"/>
    </row>
    <row r="21" customFormat="false" ht="21.75" hidden="false" customHeight="true" outlineLevel="0" collapsed="false">
      <c r="A21" s="44" t="s">
        <v>2659</v>
      </c>
      <c r="B21" s="193" t="str">
        <f aca="false">IFERROR(HYPERLINK("#'DL02. Khách tiềm năng'!A"&amp;MATCH("L-2026-00014",'DL02. Khách tiềm năng'!A:A,0),"L-2026-00014"),"L-2026-00014")</f>
        <v>L-2026-00014</v>
      </c>
      <c r="C21" s="44" t="str">
        <f aca="false">IFERROR(VLOOKUP(B21,'DL02. Khách tiềm năng'!$A:$E,5,FALSE()),"")</f>
        <v>Phan Đức Minh</v>
      </c>
      <c r="D21" s="188" t="n">
        <v>46181.4166666667</v>
      </c>
      <c r="E21" s="44" t="s">
        <v>997</v>
      </c>
      <c r="F21" s="44" t="s">
        <v>1005</v>
      </c>
      <c r="G21" s="166" t="s">
        <v>154</v>
      </c>
      <c r="H21" s="193" t="str">
        <f aca="false">IFERROR(HYPERLINK("#'DL02. Khách tiềm năng'!A"&amp;MATCH("NV023",'DL01. Nhân viên'!A:A,0),"NV023"),"NV023")</f>
        <v>NV023</v>
      </c>
      <c r="I21" s="166" t="s">
        <v>2637</v>
      </c>
      <c r="J21" s="181" t="str">
        <f aca="false">IFERROR(VLOOKUP(H21,'DL01. Nhân viên'!$A:$B,2,FALSE()),"")</f>
        <v>Nguyễn Thị Phương Duyên</v>
      </c>
      <c r="K21" s="4"/>
      <c r="L21" s="4"/>
      <c r="M21" s="4"/>
      <c r="N21" s="4"/>
      <c r="O21" s="4"/>
      <c r="P21" s="4"/>
      <c r="Q21" s="4"/>
      <c r="R21" s="4"/>
      <c r="S21" s="4"/>
      <c r="T21" s="4"/>
      <c r="U21" s="4"/>
      <c r="V21" s="4"/>
      <c r="W21" s="4"/>
      <c r="X21" s="4"/>
      <c r="Y21" s="4"/>
      <c r="Z21" s="4"/>
    </row>
    <row r="22" customFormat="false" ht="21.75" hidden="false" customHeight="true" outlineLevel="0" collapsed="false">
      <c r="A22" s="44" t="s">
        <v>2660</v>
      </c>
      <c r="B22" s="193" t="str">
        <f aca="false">IFERROR(HYPERLINK("#'DL02. Khách tiềm năng'!A"&amp;MATCH("L-2026-00015",'DL02. Khách tiềm năng'!A:A,0),"L-2026-00015"),"L-2026-00015")</f>
        <v>L-2026-00015</v>
      </c>
      <c r="C22" s="44" t="str">
        <f aca="false">IFERROR(VLOOKUP(B22,'DL02. Khách tiềm năng'!$A:$E,5,FALSE()),"")</f>
        <v>Vũ Thảo Nhi</v>
      </c>
      <c r="D22" s="188" t="n">
        <v>46185.4166666667</v>
      </c>
      <c r="E22" s="44" t="s">
        <v>997</v>
      </c>
      <c r="F22" s="44" t="s">
        <v>1005</v>
      </c>
      <c r="G22" s="166" t="s">
        <v>154</v>
      </c>
      <c r="H22" s="193" t="str">
        <f aca="false">IFERROR(HYPERLINK("#'DL02. Khách tiềm năng'!A"&amp;MATCH("NV024",'DL01. Nhân viên'!A:A,0),"NV024"),"NV024")</f>
        <v>NV024</v>
      </c>
      <c r="I22" s="166" t="s">
        <v>2637</v>
      </c>
      <c r="J22" s="181" t="str">
        <f aca="false">IFERROR(VLOOKUP(H22,'DL01. Nhân viên'!$A:$B,2,FALSE()),"")</f>
        <v>Huỳnh Quốc Khánh</v>
      </c>
      <c r="K22" s="4"/>
      <c r="L22" s="4"/>
      <c r="M22" s="4"/>
      <c r="N22" s="4"/>
      <c r="O22" s="4"/>
      <c r="P22" s="4"/>
      <c r="Q22" s="4"/>
      <c r="R22" s="4"/>
      <c r="S22" s="4"/>
      <c r="T22" s="4"/>
      <c r="U22" s="4"/>
      <c r="V22" s="4"/>
      <c r="W22" s="4"/>
      <c r="X22" s="4"/>
      <c r="Y22" s="4"/>
      <c r="Z22" s="4"/>
    </row>
    <row r="23" customFormat="false" ht="21.75" hidden="false" customHeight="true" outlineLevel="0" collapsed="false">
      <c r="A23" s="44" t="s">
        <v>2661</v>
      </c>
      <c r="B23" s="193" t="str">
        <f aca="false">IFERROR(HYPERLINK("#'DL02. Khách tiềm năng'!A"&amp;MATCH("L-2026-00016",'DL02. Khách tiềm năng'!A:A,0),"L-2026-00016"),"L-2026-00016")</f>
        <v>L-2026-00016</v>
      </c>
      <c r="C23" s="44" t="str">
        <f aca="false">IFERROR(VLOOKUP(B23,'DL02. Khách tiềm năng'!$A:$E,5,FALSE()),"")</f>
        <v>Đinh Công Phú</v>
      </c>
      <c r="D23" s="188" t="n">
        <v>46189.4166666667</v>
      </c>
      <c r="E23" s="44" t="s">
        <v>997</v>
      </c>
      <c r="F23" s="44" t="s">
        <v>1005</v>
      </c>
      <c r="G23" s="166" t="s">
        <v>154</v>
      </c>
      <c r="H23" s="193" t="str">
        <f aca="false">IFERROR(HYPERLINK("#'DL02. Khách tiềm năng'!A"&amp;MATCH("NV025",'DL01. Nhân viên'!A:A,0),"NV025"),"NV025")</f>
        <v>NV025</v>
      </c>
      <c r="I23" s="166" t="s">
        <v>2637</v>
      </c>
      <c r="J23" s="181" t="str">
        <f aca="false">IFERROR(VLOOKUP(H23,'DL01. Nhân viên'!$A:$B,2,FALSE()),"")</f>
        <v>Thái Phạm Tố Trinh</v>
      </c>
      <c r="K23" s="4"/>
      <c r="L23" s="4"/>
      <c r="M23" s="4"/>
      <c r="N23" s="4"/>
      <c r="O23" s="4"/>
      <c r="P23" s="4"/>
      <c r="Q23" s="4"/>
      <c r="R23" s="4"/>
      <c r="S23" s="4"/>
      <c r="T23" s="4"/>
      <c r="U23" s="4"/>
      <c r="V23" s="4"/>
      <c r="W23" s="4"/>
      <c r="X23" s="4"/>
      <c r="Y23" s="4"/>
      <c r="Z23" s="4"/>
    </row>
    <row r="24" customFormat="false" ht="21.75" hidden="false" customHeight="true" outlineLevel="0" collapsed="false">
      <c r="A24" s="44" t="s">
        <v>2662</v>
      </c>
      <c r="B24" s="193" t="str">
        <f aca="false">IFERROR(HYPERLINK("#'DL02. Khách tiềm năng'!A"&amp;MATCH("L-2026-00017",'DL02. Khách tiềm năng'!A:A,0),"L-2026-00017"),"L-2026-00017")</f>
        <v>L-2026-00017</v>
      </c>
      <c r="C24" s="44" t="str">
        <f aca="false">IFERROR(VLOOKUP(B24,'DL02. Khách tiềm năng'!$A:$E,5,FALSE()),"")</f>
        <v>Mai Xuân Quỳnh</v>
      </c>
      <c r="D24" s="188" t="n">
        <v>46197.4166666667</v>
      </c>
      <c r="E24" s="44" t="s">
        <v>997</v>
      </c>
      <c r="F24" s="44" t="s">
        <v>1005</v>
      </c>
      <c r="G24" s="166" t="s">
        <v>154</v>
      </c>
      <c r="H24" s="193" t="str">
        <f aca="false">IFERROR(HYPERLINK("#'DL02. Khách tiềm năng'!A"&amp;MATCH("NV001",'DL01. Nhân viên'!A:A,0),"NV001"),"NV001")</f>
        <v>NV001</v>
      </c>
      <c r="I24" s="166" t="s">
        <v>2637</v>
      </c>
      <c r="J24" s="181" t="str">
        <f aca="false">IFERROR(VLOOKUP(H24,'DL01. Nhân viên'!$A:$B,2,FALSE()),"")</f>
        <v>Nguyễn Hoàng Anh Kiệt</v>
      </c>
      <c r="K24" s="4"/>
      <c r="L24" s="4"/>
      <c r="M24" s="4"/>
      <c r="N24" s="4"/>
      <c r="O24" s="4"/>
      <c r="P24" s="4"/>
      <c r="Q24" s="4"/>
      <c r="R24" s="4"/>
      <c r="S24" s="4"/>
      <c r="T24" s="4"/>
      <c r="U24" s="4"/>
      <c r="V24" s="4"/>
      <c r="W24" s="4"/>
      <c r="X24" s="4"/>
      <c r="Y24" s="4"/>
      <c r="Z24" s="4"/>
    </row>
    <row r="25" customFormat="false" ht="21.75" hidden="false" customHeight="true" outlineLevel="0" collapsed="false">
      <c r="A25" s="44" t="s">
        <v>2663</v>
      </c>
      <c r="B25" s="193" t="str">
        <f aca="false">IFERROR(HYPERLINK("#'DL02. Khách tiềm năng'!A"&amp;MATCH("L-2026-00018",'DL02. Khách tiềm năng'!A:A,0),"L-2026-00018"),"L-2026-00018")</f>
        <v>L-2026-00018</v>
      </c>
      <c r="C25" s="44" t="str">
        <f aca="false">IFERROR(VLOOKUP(B25,'DL02. Khách tiềm năng'!$A:$E,5,FALSE()),"")</f>
        <v>Hà Bảo Trâm</v>
      </c>
      <c r="D25" s="188" t="n">
        <v>46199.4583333333</v>
      </c>
      <c r="E25" s="44" t="s">
        <v>997</v>
      </c>
      <c r="F25" s="44" t="s">
        <v>1005</v>
      </c>
      <c r="G25" s="166" t="s">
        <v>2664</v>
      </c>
      <c r="H25" s="193" t="str">
        <f aca="false">IFERROR(HYPERLINK("#'DL02. Khách tiềm năng'!A"&amp;MATCH("NV002",'DL01. Nhân viên'!A:A,0),"NV002"),"NV002")</f>
        <v>NV002</v>
      </c>
      <c r="I25" s="166" t="s">
        <v>2665</v>
      </c>
      <c r="J25" s="181" t="str">
        <f aca="false">IFERROR(VLOOKUP(H25,'DL01. Nhân viên'!$A:$B,2,FALSE()),"")</f>
        <v>Nguyễn Văn Thanh Thuyên</v>
      </c>
      <c r="K25" s="4"/>
      <c r="L25" s="4"/>
      <c r="M25" s="4"/>
      <c r="N25" s="4"/>
      <c r="O25" s="4"/>
      <c r="P25" s="4"/>
      <c r="Q25" s="4"/>
      <c r="R25" s="4"/>
      <c r="S25" s="4"/>
      <c r="T25" s="4"/>
      <c r="U25" s="4"/>
      <c r="V25" s="4"/>
      <c r="W25" s="4"/>
      <c r="X25" s="4"/>
      <c r="Y25" s="4"/>
      <c r="Z25" s="4"/>
    </row>
    <row r="26" customFormat="false" ht="21.75" hidden="false" customHeight="true" outlineLevel="0" collapsed="false">
      <c r="A26" s="44" t="s">
        <v>2666</v>
      </c>
      <c r="B26" s="193" t="str">
        <f aca="false">IFERROR(HYPERLINK("#'DL02. Khách tiềm năng'!A"&amp;MATCH("L-2026-00020",'DL02. Khách tiềm năng'!A:A,0),"L-2026-00020"),"L-2026-00020")</f>
        <v>L-2026-00020</v>
      </c>
      <c r="C26" s="44" t="str">
        <f aca="false">IFERROR(VLOOKUP(B26,'DL02. Khách tiềm năng'!$A:$E,5,FALSE()),"")</f>
        <v>Ngân Hải Yến</v>
      </c>
      <c r="D26" s="188" t="n">
        <v>46207.625</v>
      </c>
      <c r="E26" s="44" t="s">
        <v>995</v>
      </c>
      <c r="F26" s="44" t="s">
        <v>1005</v>
      </c>
      <c r="G26" s="166" t="s">
        <v>2667</v>
      </c>
      <c r="H26" s="193" t="str">
        <f aca="false">IFERROR(HYPERLINK("#'DL02. Khách tiềm năng'!A"&amp;MATCH("NV024",'DL01. Nhân viên'!A:A,0),"NV024"),"NV024")</f>
        <v>NV024</v>
      </c>
      <c r="I26" s="166" t="s">
        <v>2668</v>
      </c>
      <c r="J26" s="181" t="str">
        <f aca="false">IFERROR(VLOOKUP(H26,'DL01. Nhân viên'!$A:$B,2,FALSE()),"")</f>
        <v>Huỳnh Quốc Khánh</v>
      </c>
      <c r="K26" s="4"/>
      <c r="L26" s="4"/>
      <c r="M26" s="4"/>
      <c r="N26" s="4"/>
      <c r="O26" s="4"/>
      <c r="P26" s="4"/>
      <c r="Q26" s="4"/>
      <c r="R26" s="4"/>
      <c r="S26" s="4"/>
      <c r="T26" s="4"/>
      <c r="U26" s="4"/>
      <c r="V26" s="4"/>
      <c r="W26" s="4"/>
      <c r="X26" s="4"/>
      <c r="Y26" s="4"/>
      <c r="Z26" s="4"/>
    </row>
    <row r="27" customFormat="false" ht="15.75" hidden="false" customHeight="true" outlineLevel="0" collapsed="false">
      <c r="A27" s="4"/>
      <c r="B27" s="4"/>
      <c r="C27" s="4"/>
      <c r="D27" s="194"/>
      <c r="E27" s="4"/>
      <c r="F27" s="4"/>
      <c r="G27" s="4"/>
      <c r="H27" s="4"/>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4"/>
      <c r="B28" s="4"/>
      <c r="C28" s="4"/>
      <c r="D28" s="194"/>
      <c r="E28" s="4"/>
      <c r="F28" s="4"/>
      <c r="G28" s="4"/>
      <c r="H28" s="4"/>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4"/>
      <c r="B29" s="4"/>
      <c r="C29" s="4"/>
      <c r="D29" s="194"/>
      <c r="E29" s="4"/>
      <c r="F29" s="4"/>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4"/>
      <c r="B30" s="4"/>
      <c r="C30" s="4"/>
      <c r="D30" s="194"/>
      <c r="E30" s="4"/>
      <c r="F30" s="4"/>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4"/>
      <c r="B31" s="4"/>
      <c r="C31" s="4"/>
      <c r="D31" s="194"/>
      <c r="E31" s="4"/>
      <c r="F31" s="4"/>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4"/>
      <c r="B32" s="4"/>
      <c r="C32" s="4"/>
      <c r="D32" s="194"/>
      <c r="E32" s="4"/>
      <c r="F32" s="4"/>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4"/>
      <c r="B33" s="4"/>
      <c r="C33" s="4"/>
      <c r="D33" s="194"/>
      <c r="E33" s="4"/>
      <c r="F33" s="4"/>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4"/>
      <c r="B34" s="4"/>
      <c r="C34" s="4"/>
      <c r="D34" s="194"/>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c r="B35" s="4"/>
      <c r="C35" s="4"/>
      <c r="D35" s="194"/>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19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19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19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4"/>
      <c r="B39" s="4"/>
      <c r="C39" s="4"/>
      <c r="D39" s="194"/>
      <c r="E39" s="4"/>
      <c r="F39" s="4"/>
      <c r="G39" s="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4"/>
      <c r="B40" s="4"/>
      <c r="C40" s="4"/>
      <c r="D40" s="194"/>
      <c r="E40" s="4"/>
      <c r="F40" s="4"/>
      <c r="G40" s="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4"/>
      <c r="B41" s="4"/>
      <c r="C41" s="4"/>
      <c r="D41" s="19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19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19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19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19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19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19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19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19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19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4"/>
      <c r="B51" s="4"/>
      <c r="C51" s="4"/>
      <c r="D51" s="19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19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19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19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19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19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19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19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19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19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19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true" outlineLevel="0" collapsed="false">
      <c r="A62" s="4"/>
      <c r="B62" s="4"/>
      <c r="C62" s="4"/>
      <c r="D62" s="19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19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19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19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19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19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19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19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19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19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true" outlineLevel="0" collapsed="false">
      <c r="A72" s="4"/>
      <c r="B72" s="4"/>
      <c r="C72" s="4"/>
      <c r="D72" s="19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19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19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19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19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19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19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19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19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19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true" outlineLevel="0" collapsed="false">
      <c r="A82" s="4"/>
      <c r="B82" s="4"/>
      <c r="C82" s="4"/>
      <c r="D82" s="19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19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19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19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19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19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19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19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19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19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true" outlineLevel="0" collapsed="false">
      <c r="A92" s="4"/>
      <c r="B92" s="4"/>
      <c r="C92" s="4"/>
      <c r="D92" s="19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19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19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19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19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19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19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19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19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19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19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19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19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19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19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19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19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19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19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19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19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19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19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19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19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19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19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19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19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19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19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19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19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19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19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19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19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19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19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19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19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19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19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19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19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19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19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19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19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19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19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19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19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19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19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19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19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19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19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19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19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19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19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19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19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19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19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19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19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19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19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19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19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19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19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19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19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19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19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19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19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19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19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19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19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19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19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19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19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19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19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19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19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19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19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19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19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19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19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19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19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19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19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19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19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19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19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19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19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19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19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19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19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19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19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19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19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19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19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19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19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19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19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19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19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19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19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19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19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19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19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19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19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19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19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19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19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19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19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19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19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19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19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19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19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19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19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19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19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19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19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19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19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19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19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19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19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19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19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19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19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19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19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19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19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19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19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19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19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19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19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19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19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19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19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19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19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19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19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19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19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19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19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19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19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19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19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19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19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19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19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19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19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19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19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19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19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19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19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19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19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19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19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19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19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19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19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19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19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19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19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19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19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19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19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19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19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19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19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19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19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19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19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19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19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19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19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19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19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19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19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19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19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19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19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19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19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19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19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19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19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19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19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19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19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19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19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19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19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19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19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19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19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19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19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19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19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19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19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19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19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19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19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19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19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19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19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19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19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19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19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19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19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19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19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19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19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19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19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19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19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19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19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19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19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19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19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19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19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19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19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19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19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19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19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19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19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19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19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19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19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19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19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19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19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19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19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19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19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19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19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19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19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19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19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19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19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19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19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19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19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19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19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19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19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19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19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19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19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19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19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19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19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19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19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19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19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19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19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19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19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19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19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19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19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19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19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19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19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19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19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19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19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19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19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19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19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19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19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19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19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19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19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19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19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19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19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19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19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19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19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19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19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19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19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19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19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19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19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19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19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19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19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19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19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19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19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19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19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19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19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19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19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19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19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19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19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19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19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19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19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19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19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19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19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19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19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19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19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count="2">
    <dataValidation allowBlank="true" errorStyle="stop" operator="between" showDropDown="false" showErrorMessage="false" showInputMessage="false" sqref="F4:F300" type="list">
      <formula1>'CH1. Danh mục lựa chọn'!$B$45:$B$46</formula1>
      <formula2>0</formula2>
    </dataValidation>
    <dataValidation allowBlank="true" errorStyle="stop" operator="between" showDropDown="false" showErrorMessage="false" showInputMessage="false" sqref="E4:E300" type="list">
      <formula1>'CH1. Danh mục lựa chọn'!$B$36:$B$41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V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1.57"/>
    <col collapsed="false" customWidth="true" hidden="false" outlineLevel="0" max="2" min="2" style="1" width="16"/>
    <col collapsed="false" customWidth="true" hidden="false" outlineLevel="0" max="3" min="3" style="1" width="18.14"/>
    <col collapsed="false" customWidth="true" hidden="false" outlineLevel="0" max="4" min="4" style="1" width="24"/>
    <col collapsed="false" customWidth="true" hidden="false" outlineLevel="0" max="5" min="5" style="1" width="23.29"/>
    <col collapsed="false" customWidth="true" hidden="false" outlineLevel="0" max="6" min="6" style="1" width="28"/>
    <col collapsed="false" customWidth="true" hidden="false" outlineLevel="0" max="7" min="7" style="1" width="29.71"/>
    <col collapsed="false" customWidth="true" hidden="false" outlineLevel="0" max="8" min="8" style="1" width="28"/>
    <col collapsed="false" customWidth="true" hidden="false" outlineLevel="0" max="9" min="9" style="1" width="27.43"/>
    <col collapsed="false" customWidth="true" hidden="false" outlineLevel="0" max="10" min="10" style="1" width="29.43"/>
    <col collapsed="false" customWidth="true" hidden="false" outlineLevel="0" max="11" min="11" style="1" width="18.29"/>
    <col collapsed="false" customWidth="true" hidden="false" outlineLevel="0" max="12" min="12" style="1" width="19"/>
    <col collapsed="false" customWidth="true" hidden="false" outlineLevel="0" max="13" min="13" style="1" width="17.86"/>
    <col collapsed="false" customWidth="true" hidden="false" outlineLevel="0" max="14" min="14" style="1" width="17.29"/>
    <col collapsed="false" customWidth="true" hidden="false" outlineLevel="0" max="15" min="15" style="1" width="19.57"/>
    <col collapsed="false" customWidth="true" hidden="false" outlineLevel="0" max="16" min="16" style="1" width="50"/>
    <col collapsed="false" customWidth="true" hidden="false" outlineLevel="0" max="17" min="17" style="1" width="23.86"/>
    <col collapsed="false" customWidth="true" hidden="false" outlineLevel="0" max="18" min="18" style="1" width="29.57"/>
    <col collapsed="false" customWidth="true" hidden="false" outlineLevel="0" max="19" min="19" style="1" width="24.57"/>
    <col collapsed="false" customWidth="true" hidden="false" outlineLevel="0" max="20" min="20" style="1" width="35"/>
    <col collapsed="false" customWidth="true" hidden="false" outlineLevel="0" max="21" min="21" style="1" width="46"/>
    <col collapsed="false" customWidth="true" hidden="false" outlineLevel="0" max="22" min="22" style="1" width="20"/>
    <col collapsed="false" customWidth="true" hidden="false" outlineLevel="0" max="26" min="23" style="1" width="8.71"/>
  </cols>
  <sheetData>
    <row r="1" customFormat="false" ht="21.75" hidden="false" customHeight="true" outlineLevel="0" collapsed="false">
      <c r="A1" s="103" t="s">
        <v>846</v>
      </c>
      <c r="B1" s="103" t="s">
        <v>837</v>
      </c>
      <c r="C1" s="103" t="s">
        <v>2669</v>
      </c>
      <c r="D1" s="103" t="s">
        <v>2670</v>
      </c>
      <c r="E1" s="103" t="s">
        <v>2671</v>
      </c>
      <c r="F1" s="103" t="s">
        <v>2672</v>
      </c>
      <c r="G1" s="103" t="s">
        <v>2673</v>
      </c>
      <c r="H1" s="103" t="s">
        <v>2674</v>
      </c>
      <c r="I1" s="103" t="s">
        <v>2675</v>
      </c>
      <c r="J1" s="103" t="s">
        <v>2676</v>
      </c>
      <c r="K1" s="103" t="s">
        <v>843</v>
      </c>
      <c r="L1" s="103" t="s">
        <v>2677</v>
      </c>
      <c r="M1" s="103" t="s">
        <v>2678</v>
      </c>
      <c r="N1" s="103" t="s">
        <v>2679</v>
      </c>
      <c r="O1" s="103" t="s">
        <v>2680</v>
      </c>
      <c r="P1" s="103" t="s">
        <v>2681</v>
      </c>
      <c r="Q1" s="103" t="s">
        <v>2682</v>
      </c>
      <c r="R1" s="103" t="s">
        <v>2683</v>
      </c>
      <c r="S1" s="103" t="s">
        <v>2684</v>
      </c>
      <c r="T1" s="103" t="s">
        <v>521</v>
      </c>
      <c r="U1" s="183" t="s">
        <v>480</v>
      </c>
      <c r="V1" s="103" t="s">
        <v>845</v>
      </c>
    </row>
    <row r="2" customFormat="false" ht="18" hidden="false" customHeight="true" outlineLevel="0" collapsed="false">
      <c r="A2" s="176" t="s">
        <v>2685</v>
      </c>
      <c r="B2" s="176" t="s">
        <v>2608</v>
      </c>
      <c r="C2" s="176" t="s">
        <v>2686</v>
      </c>
      <c r="D2" s="176" t="s">
        <v>2687</v>
      </c>
      <c r="E2" s="176" t="s">
        <v>2688</v>
      </c>
      <c r="F2" s="176" t="s">
        <v>2689</v>
      </c>
      <c r="G2" s="176" t="s">
        <v>2690</v>
      </c>
      <c r="H2" s="176" t="s">
        <v>2691</v>
      </c>
      <c r="I2" s="176" t="s">
        <v>2692</v>
      </c>
      <c r="J2" s="176" t="s">
        <v>2693</v>
      </c>
      <c r="K2" s="176" t="s">
        <v>2694</v>
      </c>
      <c r="L2" s="176" t="s">
        <v>2695</v>
      </c>
      <c r="M2" s="176" t="s">
        <v>2696</v>
      </c>
      <c r="N2" s="176" t="s">
        <v>2697</v>
      </c>
      <c r="O2" s="176" t="s">
        <v>2698</v>
      </c>
      <c r="P2" s="176" t="s">
        <v>2699</v>
      </c>
      <c r="Q2" s="176" t="s">
        <v>2700</v>
      </c>
      <c r="R2" s="176" t="s">
        <v>2701</v>
      </c>
      <c r="S2" s="176" t="s">
        <v>2702</v>
      </c>
      <c r="T2" s="176" t="s">
        <v>2703</v>
      </c>
      <c r="U2" s="176" t="s">
        <v>2503</v>
      </c>
      <c r="V2" s="176" t="s">
        <v>2609</v>
      </c>
    </row>
    <row r="3" customFormat="false" ht="27.75" hidden="false" customHeight="true" outlineLevel="0" collapsed="false">
      <c r="A3" s="195" t="s">
        <v>2704</v>
      </c>
      <c r="B3" s="195" t="s">
        <v>2705</v>
      </c>
      <c r="C3" s="195" t="s">
        <v>2521</v>
      </c>
      <c r="D3" s="195" t="s">
        <v>2519</v>
      </c>
      <c r="E3" s="195" t="s">
        <v>2514</v>
      </c>
      <c r="F3" s="195" t="s">
        <v>2706</v>
      </c>
      <c r="G3" s="195" t="s">
        <v>2514</v>
      </c>
      <c r="H3" s="195" t="s">
        <v>2707</v>
      </c>
      <c r="I3" s="195" t="s">
        <v>2708</v>
      </c>
      <c r="J3" s="195" t="s">
        <v>2514</v>
      </c>
      <c r="K3" s="195" t="s">
        <v>2709</v>
      </c>
      <c r="L3" s="195" t="s">
        <v>2710</v>
      </c>
      <c r="M3" s="195" t="s">
        <v>2711</v>
      </c>
      <c r="N3" s="195" t="s">
        <v>2712</v>
      </c>
      <c r="O3" s="195" t="s">
        <v>2713</v>
      </c>
      <c r="P3" s="195" t="s">
        <v>2714</v>
      </c>
      <c r="Q3" s="195" t="s">
        <v>2715</v>
      </c>
      <c r="R3" s="195" t="s">
        <v>2519</v>
      </c>
      <c r="S3" s="195" t="s">
        <v>2716</v>
      </c>
      <c r="T3" s="195" t="s">
        <v>2717</v>
      </c>
      <c r="U3" s="195" t="s">
        <v>2523</v>
      </c>
      <c r="V3" s="195" t="s">
        <v>2619</v>
      </c>
    </row>
    <row r="4" customFormat="false" ht="61.5" hidden="false" customHeight="true" outlineLevel="0" collapsed="false">
      <c r="A4" s="196" t="s">
        <v>2718</v>
      </c>
      <c r="B4" s="197" t="str">
        <f aca="false">IFERROR(HYPERLINK("#'DL02. Khách tiềm năng'!A"&amp;MATCH("L-2026-00004",'DL02. Khách tiềm năng'!A:A,0),"L-2026-00004"),"L-2026-00004")</f>
        <v>L-2026-00004</v>
      </c>
      <c r="C4" s="198" t="n">
        <v>46206.375</v>
      </c>
      <c r="D4" s="196" t="s">
        <v>1041</v>
      </c>
      <c r="E4" s="196" t="s">
        <v>1035</v>
      </c>
      <c r="F4" s="196"/>
      <c r="G4" s="196" t="s">
        <v>1044</v>
      </c>
      <c r="H4" s="199" t="n">
        <v>46206.5833333333</v>
      </c>
      <c r="I4" s="196"/>
      <c r="J4" s="196" t="s">
        <v>1050</v>
      </c>
      <c r="K4" s="200" t="str">
        <f aca="false">IF(COUNT(L4,M4,N4,O4)&lt;4,"",ROUND(AVERAGE(L4,M4,N4,O4)*2,0)/2)</f>
        <v/>
      </c>
      <c r="L4" s="200"/>
      <c r="M4" s="200"/>
      <c r="N4" s="200"/>
      <c r="O4" s="200"/>
      <c r="P4" s="196"/>
      <c r="Q4" s="199"/>
      <c r="R4" s="196"/>
      <c r="S4" s="197"/>
      <c r="T4" s="201" t="str">
        <f aca="false" t="array" ref="T4:T4">IF(AND(ISNUMBER(SEARCH("graded",J4)),R4=""),INDEX('CH4. Thông điệp nhắc việc'!$G:$G,MATCH("NA085",'CH4. Thông điệp nhắc việc'!$A:$A,0)),IF(AND(ISNUMBER(SEARCH("graded",J4)),ISNUMBER(SEARCH("awaiting",R4))),INDEX('CH4. Thông điệp nhắc việc'!$G:$G,MATCH("NA086",'CH4. Thông điệp nhắc việc'!$A:$A,0)),""))</f>
        <v/>
      </c>
      <c r="U4" s="201" t="str">
        <f aca="true" t="array" ref="U4:U4">IF(AND(G4&lt;&gt;"",ISNUMBER(SEARCH("on_time",G4)+SEARCH("late",G4)),ISNUMBER(SEARCH("pending",J4)),(NOW()-N(C4))*24&gt;slaGLA_hours),INDEX('CH4. Thông điệp nhắc việc'!$G:$G,MATCH("NA054",'CH4. Thông điệp nhắc việc'!$A:$A,0)),IF(AND(ISNUMBER(SEARCH("on_time",G4)+SEARCH("late",G4)),ISNUMBER(SEARCH("pending",J4))),INDEX('CH4. Thông điệp nhắc việc'!$G:$G,MATCH("NA055",'CH4. Thông điệp nhắc việc'!$A:$A,0)),IF(AND(ISNUMBER(SEARCH("graded",J4)),R4=""),INDEX('CH4. Thông điệp nhắc việc'!$G:$G,MATCH("NA056",'CH4. Thông điệp nhắc việc'!$A:$A,0)),IF(AND(ISNUMBER(SEARCH("awaiting",R4)),(NOW()-N(Q4))*24&gt;slaCVT_hours),INDEX('CH4. Thông điệp nhắc việc'!$G:$G,MATCH("NA001",'CH4. Thông điệp nhắc việc'!$A:$A,0)),IF(ISNUMBER(SEARCH("consulted",R4)),INDEX('CH4. Thông điệp nhắc việc'!$G:$G,MATCH("NA002",'CH4. Thông điệp nhắc việc'!$A:$A,0)),"")))))</f>
        <v/>
      </c>
      <c r="V4" s="202" t="str">
        <f aca="false">IFERROR(VLOOKUP(B4,'DL02. Khách tiềm năng'!$A:$E,5,FALSE()),"")</f>
        <v>Trịnh Văn Nam</v>
      </c>
    </row>
    <row r="5" customFormat="false" ht="61.5" hidden="false" customHeight="true" outlineLevel="0" collapsed="false">
      <c r="A5" s="196" t="s">
        <v>2719</v>
      </c>
      <c r="B5" s="197" t="str">
        <f aca="false">IFERROR(HYPERLINK("#'DL02. Khách tiềm năng'!A"&amp;MATCH("L-2026-00005",'DL02. Khách tiềm năng'!A:A,0),"L-2026-00005"),"L-2026-00005")</f>
        <v>L-2026-00005</v>
      </c>
      <c r="C5" s="198" t="n">
        <v>46202.375</v>
      </c>
      <c r="D5" s="196" t="s">
        <v>1040</v>
      </c>
      <c r="E5" s="196" t="s">
        <v>1035</v>
      </c>
      <c r="F5" s="196"/>
      <c r="G5" s="196" t="s">
        <v>1044</v>
      </c>
      <c r="H5" s="199" t="n">
        <v>46202.5833333333</v>
      </c>
      <c r="I5" s="196"/>
      <c r="J5" s="196" t="s">
        <v>1052</v>
      </c>
      <c r="K5" s="200" t="n">
        <f aca="false">IF(COUNT(L5,M5,N5,O5)&lt;4,"",ROUND(AVERAGE(L5,M5,N5,O5)*2,0)/2)</f>
        <v>5.5</v>
      </c>
      <c r="L5" s="200" t="n">
        <v>5.5</v>
      </c>
      <c r="M5" s="200" t="n">
        <v>6</v>
      </c>
      <c r="N5" s="200" t="n">
        <v>5</v>
      </c>
      <c r="O5" s="200" t="n">
        <v>5.5</v>
      </c>
      <c r="P5" s="196"/>
      <c r="Q5" s="199" t="n">
        <v>46203.375</v>
      </c>
      <c r="R5" s="196" t="s">
        <v>1057</v>
      </c>
      <c r="S5" s="197"/>
      <c r="T5" s="201" t="str">
        <f aca="false" t="array" ref="T5:T5">IF(AND(ISNUMBER(SEARCH("graded",J5)),R5=""),INDEX('CH4. Thông điệp nhắc việc'!$G:$G,MATCH("NA085",'CH4. Thông điệp nhắc việc'!$A:$A,0)),IF(AND(ISNUMBER(SEARCH("graded",J5)),ISNUMBER(SEARCH("awaiting",R5))),INDEX('CH4. Thông điệp nhắc việc'!$G:$G,MATCH("NA086",'CH4. Thông điệp nhắc việc'!$A:$A,0)),""))</f>
        <v/>
      </c>
      <c r="U5" s="201" t="str">
        <f aca="true" t="array" ref="U5:U5">IF(AND(G5&lt;&gt;"",ISNUMBER(SEARCH("on_time",G5)+SEARCH("late",G5)),ISNUMBER(SEARCH("pending",J5)),(NOW()-N(C5))*24&gt;slaGLA_hours),INDEX('CH4. Thông điệp nhắc việc'!$G:$G,MATCH("NA054",'CH4. Thông điệp nhắc việc'!$A:$A,0)),IF(AND(ISNUMBER(SEARCH("on_time",G5)+SEARCH("late",G5)),ISNUMBER(SEARCH("pending",J5))),INDEX('CH4. Thông điệp nhắc việc'!$G:$G,MATCH("NA055",'CH4. Thông điệp nhắc việc'!$A:$A,0)),IF(AND(ISNUMBER(SEARCH("graded",J5)),R5=""),INDEX('CH4. Thông điệp nhắc việc'!$G:$G,MATCH("NA056",'CH4. Thông điệp nhắc việc'!$A:$A,0)),IF(AND(ISNUMBER(SEARCH("awaiting",R5)),(NOW()-N(Q5))*24&gt;slaCVT_hours),INDEX('CH4. Thông điệp nhắc việc'!$G:$G,MATCH("NA001",'CH4. Thông điệp nhắc việc'!$A:$A,0)),IF(ISNUMBER(SEARCH("consulted",R5)),INDEX('CH4. Thông điệp nhắc việc'!$G:$G,MATCH("NA002",'CH4. Thông điệp nhắc việc'!$A:$A,0)),"")))))</f>
        <v>Đã tư vấn xong cho khách. Không cần làm gì thêm ở bước này.</v>
      </c>
      <c r="V5" s="202" t="str">
        <f aca="false">IFERROR(VLOOKUP(B5,'DL02. Khách tiềm năng'!$A:$E,5,FALSE()),"")</f>
        <v>Cao Thị Oanh</v>
      </c>
    </row>
    <row r="6" customFormat="false" ht="61.5" hidden="false" customHeight="true" outlineLevel="0" collapsed="false">
      <c r="A6" s="196" t="s">
        <v>117</v>
      </c>
      <c r="B6" s="197" t="str">
        <f aca="false">IFERROR(HYPERLINK("#'DL02. Khách tiềm năng'!A"&amp;MATCH("L-2026-00006",'DL02. Khách tiềm năng'!A:A,0),"L-2026-00006"),"L-2026-00006")</f>
        <v>L-2026-00006</v>
      </c>
      <c r="C6" s="198" t="n">
        <v>46152.375</v>
      </c>
      <c r="D6" s="196" t="s">
        <v>1041</v>
      </c>
      <c r="E6" s="196" t="s">
        <v>1035</v>
      </c>
      <c r="F6" s="196"/>
      <c r="G6" s="196" t="s">
        <v>1044</v>
      </c>
      <c r="H6" s="199" t="n">
        <v>46152.5833333333</v>
      </c>
      <c r="I6" s="196"/>
      <c r="J6" s="196" t="s">
        <v>1052</v>
      </c>
      <c r="K6" s="200" t="n">
        <f aca="false">IF(COUNT(L6,M6,N6,O6)&lt;4,"",ROUND(AVERAGE(L6,M6,N6,O6)*2,0)/2)</f>
        <v>4</v>
      </c>
      <c r="L6" s="200" t="n">
        <v>4</v>
      </c>
      <c r="M6" s="200" t="n">
        <v>4.5</v>
      </c>
      <c r="N6" s="200" t="n">
        <v>3.5</v>
      </c>
      <c r="O6" s="200" t="n">
        <v>4</v>
      </c>
      <c r="P6" s="196"/>
      <c r="Q6" s="199" t="n">
        <v>46153.375</v>
      </c>
      <c r="R6" s="196" t="s">
        <v>1057</v>
      </c>
      <c r="S6" s="197"/>
      <c r="T6" s="201" t="str">
        <f aca="false" t="array" ref="T6:T6">IF(AND(ISNUMBER(SEARCH("graded",J6)),R6=""),INDEX('CH4. Thông điệp nhắc việc'!$G:$G,MATCH("NA085",'CH4. Thông điệp nhắc việc'!$A:$A,0)),IF(AND(ISNUMBER(SEARCH("graded",J6)),ISNUMBER(SEARCH("awaiting",R6))),INDEX('CH4. Thông điệp nhắc việc'!$G:$G,MATCH("NA086",'CH4. Thông điệp nhắc việc'!$A:$A,0)),""))</f>
        <v/>
      </c>
      <c r="U6" s="201" t="str">
        <f aca="true" t="array" ref="U6:U6">IF(AND(G6&lt;&gt;"",ISNUMBER(SEARCH("on_time",G6)+SEARCH("late",G6)),ISNUMBER(SEARCH("pending",J6)),(NOW()-N(C6))*24&gt;slaGLA_hours),INDEX('CH4. Thông điệp nhắc việc'!$G:$G,MATCH("NA054",'CH4. Thông điệp nhắc việc'!$A:$A,0)),IF(AND(ISNUMBER(SEARCH("on_time",G6)+SEARCH("late",G6)),ISNUMBER(SEARCH("pending",J6))),INDEX('CH4. Thông điệp nhắc việc'!$G:$G,MATCH("NA055",'CH4. Thông điệp nhắc việc'!$A:$A,0)),IF(AND(ISNUMBER(SEARCH("graded",J6)),R6=""),INDEX('CH4. Thông điệp nhắc việc'!$G:$G,MATCH("NA056",'CH4. Thông điệp nhắc việc'!$A:$A,0)),IF(AND(ISNUMBER(SEARCH("awaiting",R6)),(NOW()-N(Q6))*24&gt;slaCVT_hours),INDEX('CH4. Thông điệp nhắc việc'!$G:$G,MATCH("NA001",'CH4. Thông điệp nhắc việc'!$A:$A,0)),IF(ISNUMBER(SEARCH("consulted",R6)),INDEX('CH4. Thông điệp nhắc việc'!$G:$G,MATCH("NA002",'CH4. Thông điệp nhắc việc'!$A:$A,0)),"")))))</f>
        <v>Đã tư vấn xong cho khách. Không cần làm gì thêm ở bước này.</v>
      </c>
      <c r="V6" s="202" t="str">
        <f aca="false">IFERROR(VLOOKUP(B6,'DL02. Khách tiềm năng'!$A:$E,5,FALSE()),"")</f>
        <v>Trần Minh Anh</v>
      </c>
    </row>
    <row r="7" customFormat="false" ht="61.5" hidden="false" customHeight="true" outlineLevel="0" collapsed="false">
      <c r="A7" s="196" t="s">
        <v>2720</v>
      </c>
      <c r="B7" s="197" t="str">
        <f aca="false">IFERROR(HYPERLINK("#'DL02. Khách tiềm năng'!A"&amp;MATCH("L-2026-00008",'DL02. Khách tiềm năng'!A:A,0),"L-2026-00008"),"L-2026-00008")</f>
        <v>L-2026-00008</v>
      </c>
      <c r="C7" s="198" t="n">
        <v>46157.375</v>
      </c>
      <c r="D7" s="196" t="s">
        <v>1040</v>
      </c>
      <c r="E7" s="196" t="s">
        <v>1035</v>
      </c>
      <c r="F7" s="196"/>
      <c r="G7" s="196" t="s">
        <v>1044</v>
      </c>
      <c r="H7" s="199" t="n">
        <v>46157.5833333333</v>
      </c>
      <c r="I7" s="196"/>
      <c r="J7" s="196" t="s">
        <v>1052</v>
      </c>
      <c r="K7" s="200" t="n">
        <f aca="false">IF(COUNT(L7,M7,N7,O7)&lt;4,"",ROUND(AVERAGE(L7,M7,N7,O7)*2,0)/2)</f>
        <v>5</v>
      </c>
      <c r="L7" s="200" t="n">
        <v>5</v>
      </c>
      <c r="M7" s="200" t="n">
        <v>5.5</v>
      </c>
      <c r="N7" s="200" t="n">
        <v>4.5</v>
      </c>
      <c r="O7" s="200" t="n">
        <v>5</v>
      </c>
      <c r="P7" s="196"/>
      <c r="Q7" s="199" t="n">
        <v>46158.375</v>
      </c>
      <c r="R7" s="196" t="s">
        <v>1057</v>
      </c>
      <c r="S7" s="197"/>
      <c r="T7" s="201" t="str">
        <f aca="false" t="array" ref="T7:T7">IF(AND(ISNUMBER(SEARCH("graded",J7)),R7=""),INDEX('CH4. Thông điệp nhắc việc'!$G:$G,MATCH("NA085",'CH4. Thông điệp nhắc việc'!$A:$A,0)),IF(AND(ISNUMBER(SEARCH("graded",J7)),ISNUMBER(SEARCH("awaiting",R7))),INDEX('CH4. Thông điệp nhắc việc'!$G:$G,MATCH("NA086",'CH4. Thông điệp nhắc việc'!$A:$A,0)),""))</f>
        <v/>
      </c>
      <c r="U7" s="201" t="str">
        <f aca="true" t="array" ref="U7:U7">IF(AND(G7&lt;&gt;"",ISNUMBER(SEARCH("on_time",G7)+SEARCH("late",G7)),ISNUMBER(SEARCH("pending",J7)),(NOW()-N(C7))*24&gt;slaGLA_hours),INDEX('CH4. Thông điệp nhắc việc'!$G:$G,MATCH("NA054",'CH4. Thông điệp nhắc việc'!$A:$A,0)),IF(AND(ISNUMBER(SEARCH("on_time",G7)+SEARCH("late",G7)),ISNUMBER(SEARCH("pending",J7))),INDEX('CH4. Thông điệp nhắc việc'!$G:$G,MATCH("NA055",'CH4. Thông điệp nhắc việc'!$A:$A,0)),IF(AND(ISNUMBER(SEARCH("graded",J7)),R7=""),INDEX('CH4. Thông điệp nhắc việc'!$G:$G,MATCH("NA056",'CH4. Thông điệp nhắc việc'!$A:$A,0)),IF(AND(ISNUMBER(SEARCH("awaiting",R7)),(NOW()-N(Q7))*24&gt;slaCVT_hours),INDEX('CH4. Thông điệp nhắc việc'!$G:$G,MATCH("NA001",'CH4. Thông điệp nhắc việc'!$A:$A,0)),IF(ISNUMBER(SEARCH("consulted",R7)),INDEX('CH4. Thông điệp nhắc việc'!$G:$G,MATCH("NA002",'CH4. Thông điệp nhắc việc'!$A:$A,0)),"")))))</f>
        <v>Đã tư vấn xong cho khách. Không cần làm gì thêm ở bước này.</v>
      </c>
      <c r="V7" s="202" t="str">
        <f aca="false">IFERROR(VLOOKUP(B7,'DL02. Khách tiềm năng'!$A:$E,5,FALSE()),"")</f>
        <v>Phạm Quốc Cường</v>
      </c>
    </row>
    <row r="8" customFormat="false" ht="61.5" hidden="false" customHeight="true" outlineLevel="0" collapsed="false">
      <c r="A8" s="196" t="s">
        <v>2721</v>
      </c>
      <c r="B8" s="197" t="str">
        <f aca="false">IFERROR(HYPERLINK("#'DL02. Khách tiềm năng'!A"&amp;MATCH("L-2026-00010",'DL02. Khách tiềm năng'!A:A,0),"L-2026-00010"),"L-2026-00010")</f>
        <v>L-2026-00010</v>
      </c>
      <c r="C8" s="198" t="n">
        <v>46162.375</v>
      </c>
      <c r="D8" s="196" t="s">
        <v>1040</v>
      </c>
      <c r="E8" s="196" t="s">
        <v>1035</v>
      </c>
      <c r="F8" s="196"/>
      <c r="G8" s="196" t="s">
        <v>1044</v>
      </c>
      <c r="H8" s="199" t="n">
        <v>46162.5833333333</v>
      </c>
      <c r="I8" s="196"/>
      <c r="J8" s="196" t="s">
        <v>1052</v>
      </c>
      <c r="K8" s="200" t="n">
        <f aca="false">IF(COUNT(L8,M8,N8,O8)&lt;4,"",ROUND(AVERAGE(L8,M8,N8,O8)*2,0)/2)</f>
        <v>6</v>
      </c>
      <c r="L8" s="200" t="n">
        <v>6.5</v>
      </c>
      <c r="M8" s="200" t="n">
        <v>6.5</v>
      </c>
      <c r="N8" s="200" t="n">
        <v>5.5</v>
      </c>
      <c r="O8" s="200" t="n">
        <v>5.5</v>
      </c>
      <c r="P8" s="196"/>
      <c r="Q8" s="199" t="n">
        <v>46163.375</v>
      </c>
      <c r="R8" s="196" t="s">
        <v>1057</v>
      </c>
      <c r="S8" s="197"/>
      <c r="T8" s="201" t="str">
        <f aca="false" t="array" ref="T8:T8">IF(AND(ISNUMBER(SEARCH("graded",J8)),R8=""),INDEX('CH4. Thông điệp nhắc việc'!$G:$G,MATCH("NA085",'CH4. Thông điệp nhắc việc'!$A:$A,0)),IF(AND(ISNUMBER(SEARCH("graded",J8)),ISNUMBER(SEARCH("awaiting",R8))),INDEX('CH4. Thông điệp nhắc việc'!$G:$G,MATCH("NA086",'CH4. Thông điệp nhắc việc'!$A:$A,0)),""))</f>
        <v/>
      </c>
      <c r="U8" s="201" t="str">
        <f aca="true" t="array" ref="U8:U8">IF(AND(G8&lt;&gt;"",ISNUMBER(SEARCH("on_time",G8)+SEARCH("late",G8)),ISNUMBER(SEARCH("pending",J8)),(NOW()-N(C8))*24&gt;slaGLA_hours),INDEX('CH4. Thông điệp nhắc việc'!$G:$G,MATCH("NA054",'CH4. Thông điệp nhắc việc'!$A:$A,0)),IF(AND(ISNUMBER(SEARCH("on_time",G8)+SEARCH("late",G8)),ISNUMBER(SEARCH("pending",J8))),INDEX('CH4. Thông điệp nhắc việc'!$G:$G,MATCH("NA055",'CH4. Thông điệp nhắc việc'!$A:$A,0)),IF(AND(ISNUMBER(SEARCH("graded",J8)),R8=""),INDEX('CH4. Thông điệp nhắc việc'!$G:$G,MATCH("NA056",'CH4. Thông điệp nhắc việc'!$A:$A,0)),IF(AND(ISNUMBER(SEARCH("awaiting",R8)),(NOW()-N(Q8))*24&gt;slaCVT_hours),INDEX('CH4. Thông điệp nhắc việc'!$G:$G,MATCH("NA001",'CH4. Thông điệp nhắc việc'!$A:$A,0)),IF(ISNUMBER(SEARCH("consulted",R8)),INDEX('CH4. Thông điệp nhắc việc'!$G:$G,MATCH("NA002",'CH4. Thông điệp nhắc việc'!$A:$A,0)),"")))))</f>
        <v>Đã tư vấn xong cho khách. Không cần làm gì thêm ở bước này.</v>
      </c>
      <c r="V8" s="202" t="str">
        <f aca="false">IFERROR(VLOOKUP(B8,'DL02. Khách tiềm năng'!$A:$E,5,FALSE()),"")</f>
        <v>Võ Hoàng Em</v>
      </c>
    </row>
    <row r="9" customFormat="false" ht="61.5" hidden="false" customHeight="true" outlineLevel="0" collapsed="false">
      <c r="A9" s="196" t="s">
        <v>2722</v>
      </c>
      <c r="B9" s="197" t="str">
        <f aca="false">IFERROR(HYPERLINK("#'DL02. Khách tiềm năng'!A"&amp;MATCH("L-2026-00013",'DL02. Khách tiềm năng'!A:A,0),"L-2026-00013"),"L-2026-00013")</f>
        <v>L-2026-00013</v>
      </c>
      <c r="C9" s="198" t="n">
        <v>46179.375</v>
      </c>
      <c r="D9" s="196" t="s">
        <v>1040</v>
      </c>
      <c r="E9" s="196" t="s">
        <v>1035</v>
      </c>
      <c r="F9" s="196"/>
      <c r="G9" s="196" t="s">
        <v>1044</v>
      </c>
      <c r="H9" s="199" t="n">
        <v>46179.5833333333</v>
      </c>
      <c r="I9" s="196"/>
      <c r="J9" s="196" t="s">
        <v>1052</v>
      </c>
      <c r="K9" s="200" t="n">
        <f aca="false">IF(COUNT(L9,M9,N9,O9)&lt;4,"",ROUND(AVERAGE(L9,M9,N9,O9)*2,0)/2)</f>
        <v>4.5</v>
      </c>
      <c r="L9" s="200" t="n">
        <v>4.5</v>
      </c>
      <c r="M9" s="200" t="n">
        <v>5</v>
      </c>
      <c r="N9" s="200" t="n">
        <v>4</v>
      </c>
      <c r="O9" s="200" t="n">
        <v>4.5</v>
      </c>
      <c r="P9" s="196"/>
      <c r="Q9" s="199" t="n">
        <v>46180.375</v>
      </c>
      <c r="R9" s="196" t="s">
        <v>1057</v>
      </c>
      <c r="S9" s="197"/>
      <c r="T9" s="201" t="str">
        <f aca="false" t="array" ref="T9:T9">IF(AND(ISNUMBER(SEARCH("graded",J9)),R9=""),INDEX('CH4. Thông điệp nhắc việc'!$G:$G,MATCH("NA085",'CH4. Thông điệp nhắc việc'!$A:$A,0)),IF(AND(ISNUMBER(SEARCH("graded",J9)),ISNUMBER(SEARCH("awaiting",R9))),INDEX('CH4. Thông điệp nhắc việc'!$G:$G,MATCH("NA086",'CH4. Thông điệp nhắc việc'!$A:$A,0)),""))</f>
        <v/>
      </c>
      <c r="U9" s="201" t="str">
        <f aca="true" t="array" ref="U9:U9">IF(AND(G9&lt;&gt;"",ISNUMBER(SEARCH("on_time",G9)+SEARCH("late",G9)),ISNUMBER(SEARCH("pending",J9)),(NOW()-N(C9))*24&gt;slaGLA_hours),INDEX('CH4. Thông điệp nhắc việc'!$G:$G,MATCH("NA054",'CH4. Thông điệp nhắc việc'!$A:$A,0)),IF(AND(ISNUMBER(SEARCH("on_time",G9)+SEARCH("late",G9)),ISNUMBER(SEARCH("pending",J9))),INDEX('CH4. Thông điệp nhắc việc'!$G:$G,MATCH("NA055",'CH4. Thông điệp nhắc việc'!$A:$A,0)),IF(AND(ISNUMBER(SEARCH("graded",J9)),R9=""),INDEX('CH4. Thông điệp nhắc việc'!$G:$G,MATCH("NA056",'CH4. Thông điệp nhắc việc'!$A:$A,0)),IF(AND(ISNUMBER(SEARCH("awaiting",R9)),(NOW()-N(Q9))*24&gt;slaCVT_hours),INDEX('CH4. Thông điệp nhắc việc'!$G:$G,MATCH("NA001",'CH4. Thông điệp nhắc việc'!$A:$A,0)),IF(ISNUMBER(SEARCH("consulted",R9)),INDEX('CH4. Thông điệp nhắc việc'!$G:$G,MATCH("NA002",'CH4. Thông điệp nhắc việc'!$A:$A,0)),"")))))</f>
        <v>Đã tư vấn xong cho khách. Không cần làm gì thêm ở bước này.</v>
      </c>
      <c r="V9" s="202" t="str">
        <f aca="false">IFERROR(VLOOKUP(B9,'DL02. Khách tiềm năng'!$A:$E,5,FALSE()),"")</f>
        <v>Trương Mỹ Lan</v>
      </c>
    </row>
    <row r="10" customFormat="false" ht="30" hidden="false" customHeight="true" outlineLevel="0" collapsed="false">
      <c r="A10" s="203"/>
      <c r="B10" s="204"/>
      <c r="C10" s="205"/>
      <c r="D10" s="203"/>
      <c r="E10" s="203"/>
      <c r="F10" s="203"/>
      <c r="G10" s="203"/>
      <c r="H10" s="206"/>
      <c r="I10" s="203"/>
      <c r="J10" s="203"/>
      <c r="K10" s="203"/>
      <c r="L10" s="203"/>
      <c r="M10" s="203"/>
      <c r="N10" s="203"/>
      <c r="O10" s="203"/>
      <c r="P10" s="203"/>
      <c r="Q10" s="206"/>
      <c r="R10" s="203"/>
      <c r="S10" s="203"/>
      <c r="T10" s="203"/>
      <c r="U10" s="207"/>
      <c r="V10" s="208"/>
    </row>
    <row r="11" customFormat="false" ht="15" hidden="false" customHeight="true" outlineLevel="0" collapsed="false">
      <c r="A11" s="135"/>
      <c r="B11" s="135"/>
      <c r="C11" s="182"/>
      <c r="D11" s="135"/>
      <c r="E11" s="135"/>
      <c r="F11" s="135"/>
      <c r="G11" s="135"/>
      <c r="H11" s="189"/>
      <c r="I11" s="135"/>
      <c r="J11" s="135"/>
      <c r="K11" s="135"/>
      <c r="L11" s="135"/>
      <c r="M11" s="135"/>
      <c r="N11" s="135"/>
      <c r="O11" s="135"/>
      <c r="P11" s="135"/>
      <c r="Q11" s="189"/>
      <c r="R11" s="135"/>
      <c r="S11" s="135"/>
      <c r="T11" s="135"/>
      <c r="U11" s="135"/>
      <c r="V11" s="135"/>
    </row>
    <row r="12" customFormat="false" ht="15" hidden="false" customHeight="true" outlineLevel="0" collapsed="false">
      <c r="A12" s="135"/>
      <c r="B12" s="135"/>
      <c r="C12" s="182"/>
      <c r="D12" s="135"/>
      <c r="E12" s="135"/>
      <c r="F12" s="135"/>
      <c r="G12" s="135"/>
      <c r="H12" s="189"/>
      <c r="I12" s="135"/>
      <c r="J12" s="135"/>
      <c r="K12" s="135"/>
      <c r="L12" s="135"/>
      <c r="M12" s="135"/>
      <c r="N12" s="135"/>
      <c r="O12" s="135"/>
      <c r="P12" s="135"/>
      <c r="Q12" s="189"/>
      <c r="R12" s="135"/>
      <c r="S12" s="135"/>
      <c r="T12" s="135"/>
      <c r="U12" s="135"/>
      <c r="V12" s="135"/>
    </row>
    <row r="13" customFormat="false" ht="15" hidden="false" customHeight="true" outlineLevel="0" collapsed="false">
      <c r="A13" s="135"/>
      <c r="B13" s="135"/>
      <c r="C13" s="182"/>
      <c r="D13" s="135"/>
      <c r="E13" s="135"/>
      <c r="F13" s="135"/>
      <c r="G13" s="135"/>
      <c r="H13" s="189"/>
      <c r="I13" s="135"/>
      <c r="J13" s="135"/>
      <c r="K13" s="135"/>
      <c r="L13" s="135"/>
      <c r="M13" s="135"/>
      <c r="N13" s="135"/>
      <c r="O13" s="135"/>
      <c r="P13" s="135"/>
      <c r="Q13" s="189"/>
      <c r="R13" s="135"/>
      <c r="S13" s="135"/>
      <c r="T13" s="135"/>
      <c r="U13" s="135"/>
      <c r="V13" s="135"/>
    </row>
    <row r="14" customFormat="false" ht="15" hidden="false" customHeight="true" outlineLevel="0" collapsed="false">
      <c r="A14" s="135"/>
      <c r="B14" s="135"/>
      <c r="C14" s="182"/>
      <c r="D14" s="135"/>
      <c r="E14" s="135"/>
      <c r="F14" s="135"/>
      <c r="G14" s="135"/>
      <c r="H14" s="189"/>
      <c r="I14" s="135"/>
      <c r="J14" s="135"/>
      <c r="K14" s="135"/>
      <c r="L14" s="135"/>
      <c r="M14" s="135"/>
      <c r="N14" s="135"/>
      <c r="O14" s="135"/>
      <c r="P14" s="135"/>
      <c r="Q14" s="189"/>
      <c r="R14" s="135"/>
      <c r="S14" s="135"/>
      <c r="T14" s="135"/>
      <c r="U14" s="135"/>
      <c r="V14" s="135"/>
    </row>
    <row r="15" customFormat="false" ht="15" hidden="false" customHeight="true" outlineLevel="0" collapsed="false">
      <c r="A15" s="135"/>
      <c r="B15" s="135"/>
      <c r="C15" s="182"/>
      <c r="D15" s="135"/>
      <c r="E15" s="135"/>
      <c r="F15" s="135"/>
      <c r="G15" s="135"/>
      <c r="H15" s="189"/>
      <c r="I15" s="135"/>
      <c r="J15" s="135"/>
      <c r="K15" s="135"/>
      <c r="L15" s="135"/>
      <c r="M15" s="135"/>
      <c r="N15" s="135"/>
      <c r="O15" s="135"/>
      <c r="P15" s="135"/>
      <c r="Q15" s="189"/>
      <c r="R15" s="135"/>
      <c r="S15" s="135"/>
      <c r="T15" s="135"/>
      <c r="U15" s="135"/>
      <c r="V15" s="135"/>
    </row>
    <row r="16" customFormat="false" ht="15" hidden="false" customHeight="true" outlineLevel="0" collapsed="false">
      <c r="A16" s="135"/>
      <c r="B16" s="135"/>
      <c r="C16" s="182"/>
      <c r="D16" s="135"/>
      <c r="E16" s="135"/>
      <c r="F16" s="135"/>
      <c r="G16" s="135"/>
      <c r="H16" s="189"/>
      <c r="I16" s="135"/>
      <c r="J16" s="135"/>
      <c r="K16" s="135"/>
      <c r="L16" s="135"/>
      <c r="M16" s="135"/>
      <c r="N16" s="135"/>
      <c r="O16" s="135"/>
      <c r="P16" s="135"/>
      <c r="Q16" s="189"/>
      <c r="R16" s="135"/>
      <c r="S16" s="135"/>
      <c r="T16" s="135"/>
      <c r="U16" s="135"/>
      <c r="V16" s="135"/>
    </row>
    <row r="17" customFormat="false" ht="15" hidden="false" customHeight="true" outlineLevel="0" collapsed="false">
      <c r="A17" s="135"/>
      <c r="B17" s="135"/>
      <c r="C17" s="182"/>
      <c r="D17" s="135"/>
      <c r="E17" s="135"/>
      <c r="F17" s="135"/>
      <c r="G17" s="135"/>
      <c r="H17" s="189"/>
      <c r="I17" s="135"/>
      <c r="J17" s="135"/>
      <c r="K17" s="135"/>
      <c r="L17" s="135"/>
      <c r="M17" s="135"/>
      <c r="N17" s="135"/>
      <c r="O17" s="135"/>
      <c r="P17" s="135"/>
      <c r="Q17" s="189"/>
      <c r="R17" s="135"/>
      <c r="S17" s="135"/>
      <c r="T17" s="135"/>
      <c r="U17" s="135"/>
      <c r="V17" s="135"/>
    </row>
    <row r="18" customFormat="false" ht="15" hidden="false" customHeight="true" outlineLevel="0" collapsed="false">
      <c r="A18" s="135"/>
      <c r="B18" s="135"/>
      <c r="C18" s="182"/>
      <c r="D18" s="135"/>
      <c r="E18" s="135"/>
      <c r="F18" s="135"/>
      <c r="G18" s="135"/>
      <c r="H18" s="189"/>
      <c r="I18" s="135"/>
      <c r="J18" s="135"/>
      <c r="K18" s="135"/>
      <c r="L18" s="135"/>
      <c r="M18" s="135"/>
      <c r="N18" s="135"/>
      <c r="O18" s="135"/>
      <c r="P18" s="135"/>
      <c r="Q18" s="189"/>
      <c r="R18" s="135"/>
      <c r="S18" s="135"/>
      <c r="T18" s="135"/>
      <c r="U18" s="135"/>
      <c r="V18" s="135"/>
    </row>
    <row r="19" customFormat="false" ht="15" hidden="false" customHeight="true" outlineLevel="0" collapsed="false">
      <c r="A19" s="135"/>
      <c r="B19" s="135"/>
      <c r="C19" s="182"/>
      <c r="D19" s="135"/>
      <c r="E19" s="135"/>
      <c r="F19" s="135"/>
      <c r="G19" s="135"/>
      <c r="H19" s="189"/>
      <c r="I19" s="135"/>
      <c r="J19" s="135"/>
      <c r="K19" s="135"/>
      <c r="L19" s="135"/>
      <c r="M19" s="135"/>
      <c r="N19" s="135"/>
      <c r="O19" s="135"/>
      <c r="P19" s="135"/>
      <c r="Q19" s="189"/>
      <c r="R19" s="135"/>
      <c r="S19" s="135"/>
      <c r="T19" s="135"/>
      <c r="U19" s="135"/>
      <c r="V19" s="135"/>
    </row>
    <row r="20" customFormat="false" ht="15" hidden="false" customHeight="true" outlineLevel="0" collapsed="false">
      <c r="A20" s="135"/>
      <c r="B20" s="135"/>
      <c r="C20" s="182"/>
      <c r="D20" s="135"/>
      <c r="E20" s="135"/>
      <c r="F20" s="135"/>
      <c r="G20" s="135"/>
      <c r="H20" s="189"/>
      <c r="I20" s="135"/>
      <c r="J20" s="135"/>
      <c r="K20" s="135"/>
      <c r="L20" s="135"/>
      <c r="M20" s="135"/>
      <c r="N20" s="135"/>
      <c r="O20" s="135"/>
      <c r="P20" s="135"/>
      <c r="Q20" s="189"/>
      <c r="R20" s="135"/>
      <c r="S20" s="135"/>
      <c r="T20" s="135"/>
      <c r="U20" s="135"/>
      <c r="V20" s="135"/>
    </row>
    <row r="21" customFormat="false" ht="15.75" hidden="false" customHeight="true" outlineLevel="0" collapsed="false">
      <c r="A21" s="135"/>
      <c r="B21" s="135"/>
      <c r="C21" s="182"/>
      <c r="D21" s="135"/>
      <c r="E21" s="135"/>
      <c r="F21" s="135"/>
      <c r="G21" s="135"/>
      <c r="H21" s="189"/>
      <c r="I21" s="135"/>
      <c r="J21" s="135"/>
      <c r="K21" s="135"/>
      <c r="L21" s="135"/>
      <c r="M21" s="135"/>
      <c r="N21" s="135"/>
      <c r="O21" s="135"/>
      <c r="P21" s="135"/>
      <c r="Q21" s="189"/>
      <c r="R21" s="135"/>
      <c r="S21" s="135"/>
      <c r="T21" s="135"/>
      <c r="U21" s="135"/>
      <c r="V21" s="135"/>
    </row>
    <row r="22" customFormat="false" ht="15.75" hidden="false" customHeight="true" outlineLevel="0" collapsed="false">
      <c r="A22" s="135"/>
      <c r="B22" s="135"/>
      <c r="C22" s="182"/>
      <c r="D22" s="135"/>
      <c r="E22" s="135"/>
      <c r="F22" s="135"/>
      <c r="G22" s="135"/>
      <c r="H22" s="189"/>
      <c r="I22" s="135"/>
      <c r="J22" s="135"/>
      <c r="K22" s="135"/>
      <c r="L22" s="135"/>
      <c r="M22" s="135"/>
      <c r="N22" s="135"/>
      <c r="O22" s="135"/>
      <c r="P22" s="135"/>
      <c r="Q22" s="189"/>
      <c r="R22" s="135"/>
      <c r="S22" s="135"/>
      <c r="T22" s="135"/>
      <c r="U22" s="135"/>
      <c r="V22" s="135"/>
    </row>
    <row r="23" customFormat="false" ht="15.75" hidden="false" customHeight="true" outlineLevel="0" collapsed="false">
      <c r="A23" s="135"/>
      <c r="B23" s="135"/>
      <c r="C23" s="182"/>
      <c r="D23" s="135"/>
      <c r="E23" s="135"/>
      <c r="F23" s="135"/>
      <c r="G23" s="135"/>
      <c r="H23" s="189"/>
      <c r="I23" s="135"/>
      <c r="J23" s="135"/>
      <c r="K23" s="135"/>
      <c r="L23" s="135"/>
      <c r="M23" s="135"/>
      <c r="N23" s="135"/>
      <c r="O23" s="135"/>
      <c r="P23" s="135"/>
      <c r="Q23" s="189"/>
      <c r="R23" s="135"/>
      <c r="S23" s="135"/>
      <c r="T23" s="135"/>
      <c r="U23" s="135"/>
      <c r="V23" s="135"/>
    </row>
    <row r="24" customFormat="false" ht="15.75" hidden="false" customHeight="true" outlineLevel="0" collapsed="false">
      <c r="A24" s="135"/>
      <c r="B24" s="135"/>
      <c r="C24" s="182"/>
      <c r="D24" s="135"/>
      <c r="E24" s="135"/>
      <c r="F24" s="135"/>
      <c r="G24" s="135"/>
      <c r="H24" s="189"/>
      <c r="I24" s="135"/>
      <c r="J24" s="135"/>
      <c r="K24" s="135"/>
      <c r="L24" s="135"/>
      <c r="M24" s="135"/>
      <c r="N24" s="135"/>
      <c r="O24" s="135"/>
      <c r="P24" s="135"/>
      <c r="Q24" s="189"/>
      <c r="R24" s="135"/>
      <c r="S24" s="135"/>
      <c r="T24" s="135"/>
      <c r="U24" s="135"/>
      <c r="V24" s="135"/>
    </row>
    <row r="25" customFormat="false" ht="15.75" hidden="false" customHeight="true" outlineLevel="0" collapsed="false">
      <c r="A25" s="135"/>
      <c r="B25" s="135"/>
      <c r="C25" s="182"/>
      <c r="D25" s="135"/>
      <c r="E25" s="135"/>
      <c r="F25" s="135"/>
      <c r="G25" s="135"/>
      <c r="H25" s="189"/>
      <c r="I25" s="135"/>
      <c r="J25" s="135"/>
      <c r="K25" s="135"/>
      <c r="L25" s="135"/>
      <c r="M25" s="135"/>
      <c r="N25" s="135"/>
      <c r="O25" s="135"/>
      <c r="P25" s="135"/>
      <c r="Q25" s="189"/>
      <c r="R25" s="135"/>
      <c r="S25" s="135"/>
      <c r="T25" s="135"/>
      <c r="U25" s="135"/>
      <c r="V25" s="135"/>
    </row>
    <row r="26" customFormat="false" ht="15.75" hidden="false" customHeight="true" outlineLevel="0" collapsed="false">
      <c r="A26" s="135"/>
      <c r="B26" s="135"/>
      <c r="C26" s="182"/>
      <c r="D26" s="135"/>
      <c r="E26" s="135"/>
      <c r="F26" s="135"/>
      <c r="G26" s="135"/>
      <c r="H26" s="189"/>
      <c r="I26" s="135"/>
      <c r="J26" s="135"/>
      <c r="K26" s="135"/>
      <c r="L26" s="135"/>
      <c r="M26" s="135"/>
      <c r="N26" s="135"/>
      <c r="O26" s="135"/>
      <c r="P26" s="135"/>
      <c r="Q26" s="189"/>
      <c r="R26" s="135"/>
      <c r="S26" s="135"/>
      <c r="T26" s="135"/>
      <c r="U26" s="135"/>
      <c r="V26" s="135"/>
    </row>
    <row r="27" customFormat="false" ht="15.75" hidden="false" customHeight="true" outlineLevel="0" collapsed="false">
      <c r="A27" s="135"/>
      <c r="B27" s="135"/>
      <c r="C27" s="182"/>
      <c r="D27" s="135"/>
      <c r="E27" s="135"/>
      <c r="F27" s="135"/>
      <c r="G27" s="135"/>
      <c r="H27" s="189"/>
      <c r="I27" s="135"/>
      <c r="J27" s="135"/>
      <c r="K27" s="135"/>
      <c r="L27" s="135"/>
      <c r="M27" s="135"/>
      <c r="N27" s="135"/>
      <c r="O27" s="135"/>
      <c r="P27" s="135"/>
      <c r="Q27" s="189"/>
      <c r="R27" s="135"/>
      <c r="S27" s="135"/>
      <c r="T27" s="135"/>
      <c r="U27" s="135"/>
      <c r="V27" s="135"/>
    </row>
    <row r="28" customFormat="false" ht="15.75" hidden="false" customHeight="true" outlineLevel="0" collapsed="false">
      <c r="A28" s="135"/>
      <c r="B28" s="135"/>
      <c r="C28" s="182"/>
      <c r="D28" s="135"/>
      <c r="E28" s="135"/>
      <c r="F28" s="135"/>
      <c r="G28" s="135"/>
      <c r="H28" s="189"/>
      <c r="I28" s="135"/>
      <c r="J28" s="135"/>
      <c r="K28" s="135"/>
      <c r="L28" s="135"/>
      <c r="M28" s="135"/>
      <c r="N28" s="135"/>
      <c r="O28" s="135"/>
      <c r="P28" s="135"/>
      <c r="Q28" s="189"/>
      <c r="R28" s="135"/>
      <c r="S28" s="135"/>
      <c r="T28" s="135"/>
      <c r="U28" s="135"/>
      <c r="V28" s="135"/>
    </row>
    <row r="29" customFormat="false" ht="15.75" hidden="false" customHeight="true" outlineLevel="0" collapsed="false">
      <c r="A29" s="135"/>
      <c r="B29" s="135"/>
      <c r="C29" s="182"/>
      <c r="D29" s="135"/>
      <c r="E29" s="135"/>
      <c r="F29" s="135"/>
      <c r="G29" s="135"/>
      <c r="H29" s="189"/>
      <c r="I29" s="135"/>
      <c r="J29" s="135"/>
      <c r="K29" s="135"/>
      <c r="L29" s="135"/>
      <c r="M29" s="135"/>
      <c r="N29" s="135"/>
      <c r="O29" s="135"/>
      <c r="P29" s="135"/>
      <c r="Q29" s="189"/>
      <c r="R29" s="135"/>
      <c r="S29" s="135"/>
      <c r="T29" s="135"/>
      <c r="U29" s="135"/>
      <c r="V29" s="135"/>
    </row>
    <row r="30" customFormat="false" ht="15.75" hidden="false" customHeight="true" outlineLevel="0" collapsed="false">
      <c r="A30" s="135"/>
      <c r="B30" s="135"/>
      <c r="C30" s="182"/>
      <c r="D30" s="135"/>
      <c r="E30" s="135"/>
      <c r="F30" s="135"/>
      <c r="G30" s="135"/>
      <c r="H30" s="189"/>
      <c r="I30" s="135"/>
      <c r="J30" s="135"/>
      <c r="K30" s="135"/>
      <c r="L30" s="135"/>
      <c r="M30" s="135"/>
      <c r="N30" s="135"/>
      <c r="O30" s="135"/>
      <c r="P30" s="135"/>
      <c r="Q30" s="189"/>
      <c r="R30" s="135"/>
      <c r="S30" s="135"/>
      <c r="T30" s="135"/>
      <c r="U30" s="135"/>
      <c r="V30" s="135"/>
    </row>
    <row r="31" customFormat="false" ht="15.75" hidden="false" customHeight="true" outlineLevel="0" collapsed="false">
      <c r="A31" s="135"/>
      <c r="B31" s="135"/>
      <c r="C31" s="182"/>
      <c r="D31" s="135"/>
      <c r="E31" s="135"/>
      <c r="F31" s="135"/>
      <c r="G31" s="135"/>
      <c r="H31" s="189"/>
      <c r="I31" s="135"/>
      <c r="J31" s="135"/>
      <c r="K31" s="135"/>
      <c r="L31" s="135"/>
      <c r="M31" s="135"/>
      <c r="N31" s="135"/>
      <c r="O31" s="135"/>
      <c r="P31" s="135"/>
      <c r="Q31" s="189"/>
      <c r="R31" s="135"/>
      <c r="S31" s="135"/>
      <c r="T31" s="135"/>
      <c r="U31" s="135"/>
      <c r="V31" s="135"/>
    </row>
    <row r="32" customFormat="false" ht="15.75" hidden="false" customHeight="true" outlineLevel="0" collapsed="false">
      <c r="A32" s="135"/>
      <c r="B32" s="135"/>
      <c r="C32" s="182"/>
      <c r="D32" s="135"/>
      <c r="E32" s="135"/>
      <c r="F32" s="135"/>
      <c r="G32" s="135"/>
      <c r="H32" s="189"/>
      <c r="I32" s="135"/>
      <c r="J32" s="135"/>
      <c r="K32" s="135"/>
      <c r="L32" s="135"/>
      <c r="M32" s="135"/>
      <c r="N32" s="135"/>
      <c r="O32" s="135"/>
      <c r="P32" s="135"/>
      <c r="Q32" s="189"/>
      <c r="R32" s="135"/>
      <c r="S32" s="135"/>
      <c r="T32" s="135"/>
      <c r="U32" s="135"/>
      <c r="V32" s="135"/>
    </row>
    <row r="33" customFormat="false" ht="15.75" hidden="false" customHeight="true" outlineLevel="0" collapsed="false">
      <c r="A33" s="135"/>
      <c r="B33" s="135"/>
      <c r="C33" s="182"/>
      <c r="D33" s="135"/>
      <c r="E33" s="135"/>
      <c r="F33" s="135"/>
      <c r="G33" s="135"/>
      <c r="H33" s="189"/>
      <c r="I33" s="135"/>
      <c r="J33" s="135"/>
      <c r="K33" s="135"/>
      <c r="L33" s="135"/>
      <c r="M33" s="135"/>
      <c r="N33" s="135"/>
      <c r="O33" s="135"/>
      <c r="P33" s="135"/>
      <c r="Q33" s="189"/>
      <c r="R33" s="135"/>
      <c r="S33" s="135"/>
      <c r="T33" s="135"/>
      <c r="U33" s="135"/>
      <c r="V33" s="135"/>
    </row>
    <row r="34" customFormat="false" ht="15.75" hidden="false" customHeight="true" outlineLevel="0" collapsed="false">
      <c r="A34" s="135"/>
      <c r="B34" s="135"/>
      <c r="C34" s="182"/>
      <c r="D34" s="135"/>
      <c r="E34" s="135"/>
      <c r="F34" s="135"/>
      <c r="G34" s="135"/>
      <c r="H34" s="189"/>
      <c r="I34" s="135"/>
      <c r="J34" s="135"/>
      <c r="K34" s="135"/>
      <c r="L34" s="135"/>
      <c r="M34" s="135"/>
      <c r="N34" s="135"/>
      <c r="O34" s="135"/>
      <c r="P34" s="135"/>
      <c r="Q34" s="189"/>
      <c r="R34" s="135"/>
      <c r="S34" s="135"/>
      <c r="T34" s="135"/>
      <c r="U34" s="135"/>
      <c r="V34" s="135"/>
    </row>
    <row r="35" customFormat="false" ht="15.75" hidden="false" customHeight="true" outlineLevel="0" collapsed="false">
      <c r="A35" s="135"/>
      <c r="B35" s="135"/>
      <c r="C35" s="182"/>
      <c r="D35" s="135"/>
      <c r="E35" s="135"/>
      <c r="F35" s="135"/>
      <c r="G35" s="135"/>
      <c r="H35" s="189"/>
      <c r="I35" s="135"/>
      <c r="J35" s="135"/>
      <c r="K35" s="135"/>
      <c r="L35" s="135"/>
      <c r="M35" s="135"/>
      <c r="N35" s="135"/>
      <c r="O35" s="135"/>
      <c r="P35" s="135"/>
      <c r="Q35" s="189"/>
      <c r="R35" s="135"/>
      <c r="S35" s="135"/>
      <c r="T35" s="135"/>
      <c r="U35" s="135"/>
      <c r="V35" s="135"/>
    </row>
    <row r="36" customFormat="false" ht="15.75" hidden="false" customHeight="true" outlineLevel="0" collapsed="false">
      <c r="A36" s="135"/>
      <c r="B36" s="135"/>
      <c r="C36" s="182"/>
      <c r="D36" s="135"/>
      <c r="E36" s="135"/>
      <c r="F36" s="135"/>
      <c r="G36" s="135"/>
      <c r="H36" s="189"/>
      <c r="I36" s="135"/>
      <c r="J36" s="135"/>
      <c r="K36" s="135"/>
      <c r="L36" s="135"/>
      <c r="M36" s="135"/>
      <c r="N36" s="135"/>
      <c r="O36" s="135"/>
      <c r="P36" s="135"/>
      <c r="Q36" s="189"/>
      <c r="R36" s="135"/>
      <c r="S36" s="135"/>
      <c r="T36" s="135"/>
      <c r="U36" s="135"/>
      <c r="V36" s="135"/>
    </row>
    <row r="37" customFormat="false" ht="15.75" hidden="false" customHeight="true" outlineLevel="0" collapsed="false">
      <c r="A37" s="135"/>
      <c r="B37" s="135"/>
      <c r="C37" s="182"/>
      <c r="D37" s="135"/>
      <c r="E37" s="135"/>
      <c r="F37" s="135"/>
      <c r="G37" s="135"/>
      <c r="H37" s="189"/>
      <c r="I37" s="135"/>
      <c r="J37" s="135"/>
      <c r="K37" s="135"/>
      <c r="L37" s="135"/>
      <c r="M37" s="135"/>
      <c r="N37" s="135"/>
      <c r="O37" s="135"/>
      <c r="P37" s="135"/>
      <c r="Q37" s="189"/>
      <c r="R37" s="135"/>
      <c r="S37" s="135"/>
      <c r="T37" s="135"/>
      <c r="U37" s="135"/>
      <c r="V37" s="135"/>
    </row>
    <row r="38" customFormat="false" ht="15.75" hidden="false" customHeight="true" outlineLevel="0" collapsed="false">
      <c r="A38" s="135"/>
      <c r="B38" s="135"/>
      <c r="C38" s="182"/>
      <c r="D38" s="135"/>
      <c r="E38" s="135"/>
      <c r="F38" s="135"/>
      <c r="G38" s="135"/>
      <c r="H38" s="189"/>
      <c r="I38" s="135"/>
      <c r="J38" s="135"/>
      <c r="K38" s="135"/>
      <c r="L38" s="135"/>
      <c r="M38" s="135"/>
      <c r="N38" s="135"/>
      <c r="O38" s="135"/>
      <c r="P38" s="135"/>
      <c r="Q38" s="189"/>
      <c r="R38" s="135"/>
      <c r="S38" s="135"/>
      <c r="T38" s="135"/>
      <c r="U38" s="135"/>
      <c r="V38" s="135"/>
    </row>
    <row r="39" customFormat="false" ht="15.75" hidden="false" customHeight="true" outlineLevel="0" collapsed="false">
      <c r="A39" s="135"/>
      <c r="B39" s="135"/>
      <c r="C39" s="182"/>
      <c r="D39" s="135"/>
      <c r="E39" s="135"/>
      <c r="F39" s="135"/>
      <c r="G39" s="135"/>
      <c r="H39" s="189"/>
      <c r="I39" s="135"/>
      <c r="J39" s="135"/>
      <c r="K39" s="135"/>
      <c r="L39" s="135"/>
      <c r="M39" s="135"/>
      <c r="N39" s="135"/>
      <c r="O39" s="135"/>
      <c r="P39" s="135"/>
      <c r="Q39" s="189"/>
      <c r="R39" s="135"/>
      <c r="S39" s="135"/>
      <c r="T39" s="135"/>
      <c r="U39" s="135"/>
      <c r="V39" s="135"/>
    </row>
    <row r="40" customFormat="false" ht="15.75" hidden="false" customHeight="true" outlineLevel="0" collapsed="false">
      <c r="A40" s="135"/>
      <c r="B40" s="135"/>
      <c r="C40" s="182"/>
      <c r="D40" s="135"/>
      <c r="E40" s="135"/>
      <c r="F40" s="135"/>
      <c r="G40" s="135"/>
      <c r="H40" s="189"/>
      <c r="I40" s="135"/>
      <c r="J40" s="135"/>
      <c r="K40" s="135"/>
      <c r="L40" s="135"/>
      <c r="M40" s="135"/>
      <c r="N40" s="135"/>
      <c r="O40" s="135"/>
      <c r="P40" s="135"/>
      <c r="Q40" s="189"/>
      <c r="R40" s="135"/>
      <c r="S40" s="135"/>
      <c r="T40" s="135"/>
      <c r="U40" s="135"/>
      <c r="V40" s="135"/>
    </row>
    <row r="41" customFormat="false" ht="15.75" hidden="false" customHeight="true" outlineLevel="0" collapsed="false">
      <c r="A41" s="135"/>
      <c r="B41" s="135"/>
      <c r="C41" s="182"/>
      <c r="D41" s="135"/>
      <c r="E41" s="135"/>
      <c r="F41" s="135"/>
      <c r="G41" s="135"/>
      <c r="H41" s="189"/>
      <c r="I41" s="135"/>
      <c r="J41" s="135"/>
      <c r="K41" s="135"/>
      <c r="L41" s="135"/>
      <c r="M41" s="135"/>
      <c r="N41" s="135"/>
      <c r="O41" s="135"/>
      <c r="P41" s="135"/>
      <c r="Q41" s="189"/>
      <c r="R41" s="135"/>
      <c r="S41" s="135"/>
      <c r="T41" s="135"/>
      <c r="U41" s="135"/>
      <c r="V41" s="135"/>
    </row>
    <row r="42" customFormat="false" ht="15.75" hidden="false" customHeight="true" outlineLevel="0" collapsed="false">
      <c r="A42" s="135"/>
      <c r="B42" s="135"/>
      <c r="C42" s="182"/>
      <c r="D42" s="135"/>
      <c r="E42" s="135"/>
      <c r="F42" s="135"/>
      <c r="G42" s="135"/>
      <c r="H42" s="189"/>
      <c r="I42" s="135"/>
      <c r="J42" s="135"/>
      <c r="K42" s="135"/>
      <c r="L42" s="135"/>
      <c r="M42" s="135"/>
      <c r="N42" s="135"/>
      <c r="O42" s="135"/>
      <c r="P42" s="135"/>
      <c r="Q42" s="189"/>
      <c r="R42" s="135"/>
      <c r="S42" s="135"/>
      <c r="T42" s="135"/>
      <c r="U42" s="135"/>
      <c r="V42" s="135"/>
    </row>
    <row r="43" customFormat="false" ht="15.75" hidden="false" customHeight="true" outlineLevel="0" collapsed="false">
      <c r="A43" s="135"/>
      <c r="B43" s="135"/>
      <c r="C43" s="182"/>
      <c r="D43" s="135"/>
      <c r="E43" s="135"/>
      <c r="F43" s="135"/>
      <c r="G43" s="135"/>
      <c r="H43" s="189"/>
      <c r="I43" s="135"/>
      <c r="J43" s="135"/>
      <c r="K43" s="135"/>
      <c r="L43" s="135"/>
      <c r="M43" s="135"/>
      <c r="N43" s="135"/>
      <c r="O43" s="135"/>
      <c r="P43" s="135"/>
      <c r="Q43" s="189"/>
      <c r="R43" s="135"/>
      <c r="S43" s="135"/>
      <c r="T43" s="135"/>
      <c r="U43" s="135"/>
      <c r="V43" s="135"/>
    </row>
    <row r="44" customFormat="false" ht="15.75" hidden="false" customHeight="true" outlineLevel="0" collapsed="false">
      <c r="A44" s="135"/>
      <c r="B44" s="135"/>
      <c r="C44" s="182"/>
      <c r="D44" s="135"/>
      <c r="E44" s="135"/>
      <c r="F44" s="135"/>
      <c r="G44" s="135"/>
      <c r="H44" s="189"/>
      <c r="I44" s="135"/>
      <c r="J44" s="135"/>
      <c r="K44" s="135"/>
      <c r="L44" s="135"/>
      <c r="M44" s="135"/>
      <c r="N44" s="135"/>
      <c r="O44" s="135"/>
      <c r="P44" s="135"/>
      <c r="Q44" s="189"/>
      <c r="R44" s="135"/>
      <c r="S44" s="135"/>
      <c r="T44" s="135"/>
      <c r="U44" s="135"/>
      <c r="V44" s="135"/>
    </row>
    <row r="45" customFormat="false" ht="15.75" hidden="false" customHeight="true" outlineLevel="0" collapsed="false">
      <c r="A45" s="135"/>
      <c r="B45" s="135"/>
      <c r="C45" s="182"/>
      <c r="D45" s="135"/>
      <c r="E45" s="135"/>
      <c r="F45" s="135"/>
      <c r="G45" s="135"/>
      <c r="H45" s="189"/>
      <c r="I45" s="135"/>
      <c r="J45" s="135"/>
      <c r="K45" s="135"/>
      <c r="L45" s="135"/>
      <c r="M45" s="135"/>
      <c r="N45" s="135"/>
      <c r="O45" s="135"/>
      <c r="P45" s="135"/>
      <c r="Q45" s="189"/>
      <c r="R45" s="135"/>
      <c r="S45" s="135"/>
      <c r="T45" s="135"/>
      <c r="U45" s="135"/>
      <c r="V45" s="135"/>
    </row>
    <row r="46" customFormat="false" ht="15.75" hidden="false" customHeight="true" outlineLevel="0" collapsed="false">
      <c r="A46" s="135"/>
      <c r="B46" s="135"/>
      <c r="C46" s="182"/>
      <c r="D46" s="135"/>
      <c r="E46" s="135"/>
      <c r="F46" s="135"/>
      <c r="G46" s="135"/>
      <c r="H46" s="189"/>
      <c r="I46" s="135"/>
      <c r="J46" s="135"/>
      <c r="K46" s="135"/>
      <c r="L46" s="135"/>
      <c r="M46" s="135"/>
      <c r="N46" s="135"/>
      <c r="O46" s="135"/>
      <c r="P46" s="135"/>
      <c r="Q46" s="189"/>
      <c r="R46" s="135"/>
      <c r="S46" s="135"/>
      <c r="T46" s="135"/>
      <c r="U46" s="135"/>
      <c r="V46" s="135"/>
    </row>
    <row r="47" customFormat="false" ht="15.75" hidden="false" customHeight="true" outlineLevel="0" collapsed="false">
      <c r="A47" s="135"/>
      <c r="B47" s="135"/>
      <c r="C47" s="182"/>
      <c r="D47" s="135"/>
      <c r="E47" s="135"/>
      <c r="F47" s="135"/>
      <c r="G47" s="135"/>
      <c r="H47" s="189"/>
      <c r="I47" s="135"/>
      <c r="J47" s="135"/>
      <c r="K47" s="135"/>
      <c r="L47" s="135"/>
      <c r="M47" s="135"/>
      <c r="N47" s="135"/>
      <c r="O47" s="135"/>
      <c r="P47" s="135"/>
      <c r="Q47" s="189"/>
      <c r="R47" s="135"/>
      <c r="S47" s="135"/>
      <c r="T47" s="135"/>
      <c r="U47" s="135"/>
      <c r="V47" s="135"/>
    </row>
    <row r="48" customFormat="false" ht="15.75" hidden="false" customHeight="true" outlineLevel="0" collapsed="false">
      <c r="A48" s="135"/>
      <c r="B48" s="135"/>
      <c r="C48" s="182"/>
      <c r="D48" s="135"/>
      <c r="E48" s="135"/>
      <c r="F48" s="135"/>
      <c r="G48" s="135"/>
      <c r="H48" s="189"/>
      <c r="I48" s="135"/>
      <c r="J48" s="135"/>
      <c r="K48" s="135"/>
      <c r="L48" s="135"/>
      <c r="M48" s="135"/>
      <c r="N48" s="135"/>
      <c r="O48" s="135"/>
      <c r="P48" s="135"/>
      <c r="Q48" s="189"/>
      <c r="R48" s="135"/>
      <c r="S48" s="135"/>
      <c r="T48" s="135"/>
      <c r="U48" s="135"/>
      <c r="V48" s="135"/>
    </row>
    <row r="49" customFormat="false" ht="15.75" hidden="false" customHeight="true" outlineLevel="0" collapsed="false">
      <c r="A49" s="135"/>
      <c r="B49" s="135"/>
      <c r="C49" s="182"/>
      <c r="D49" s="135"/>
      <c r="E49" s="135"/>
      <c r="F49" s="135"/>
      <c r="G49" s="135"/>
      <c r="H49" s="189"/>
      <c r="I49" s="135"/>
      <c r="J49" s="135"/>
      <c r="K49" s="135"/>
      <c r="L49" s="135"/>
      <c r="M49" s="135"/>
      <c r="N49" s="135"/>
      <c r="O49" s="135"/>
      <c r="P49" s="135"/>
      <c r="Q49" s="189"/>
      <c r="R49" s="135"/>
      <c r="S49" s="135"/>
      <c r="T49" s="135"/>
      <c r="U49" s="135"/>
      <c r="V49" s="135"/>
    </row>
    <row r="50" customFormat="false" ht="15.75" hidden="false" customHeight="true" outlineLevel="0" collapsed="false">
      <c r="A50" s="135"/>
      <c r="B50" s="135"/>
      <c r="C50" s="182"/>
      <c r="D50" s="135"/>
      <c r="E50" s="135"/>
      <c r="F50" s="135"/>
      <c r="G50" s="135"/>
      <c r="H50" s="189"/>
      <c r="I50" s="135"/>
      <c r="J50" s="135"/>
      <c r="K50" s="135"/>
      <c r="L50" s="135"/>
      <c r="M50" s="135"/>
      <c r="N50" s="135"/>
      <c r="O50" s="135"/>
      <c r="P50" s="135"/>
      <c r="Q50" s="189"/>
      <c r="R50" s="135"/>
      <c r="S50" s="135"/>
      <c r="T50" s="135"/>
      <c r="U50" s="135"/>
      <c r="V50" s="135"/>
    </row>
    <row r="51" customFormat="false" ht="15.75" hidden="false" customHeight="true" outlineLevel="0" collapsed="false">
      <c r="A51" s="135"/>
      <c r="B51" s="135"/>
      <c r="C51" s="182"/>
      <c r="D51" s="135"/>
      <c r="E51" s="135"/>
      <c r="F51" s="135"/>
      <c r="G51" s="135"/>
      <c r="H51" s="189"/>
      <c r="I51" s="135"/>
      <c r="J51" s="135"/>
      <c r="K51" s="135"/>
      <c r="L51" s="135"/>
      <c r="M51" s="135"/>
      <c r="N51" s="135"/>
      <c r="O51" s="135"/>
      <c r="P51" s="135"/>
      <c r="Q51" s="189"/>
      <c r="R51" s="135"/>
      <c r="S51" s="135"/>
      <c r="T51" s="135"/>
      <c r="U51" s="135"/>
      <c r="V51" s="135"/>
    </row>
    <row r="52" customFormat="false" ht="15.75" hidden="false" customHeight="true" outlineLevel="0" collapsed="false">
      <c r="A52" s="135"/>
      <c r="B52" s="135"/>
      <c r="C52" s="182"/>
      <c r="D52" s="135"/>
      <c r="E52" s="135"/>
      <c r="F52" s="135"/>
      <c r="G52" s="135"/>
      <c r="H52" s="189"/>
      <c r="I52" s="135"/>
      <c r="J52" s="135"/>
      <c r="K52" s="135"/>
      <c r="L52" s="135"/>
      <c r="M52" s="135"/>
      <c r="N52" s="135"/>
      <c r="O52" s="135"/>
      <c r="P52" s="135"/>
      <c r="Q52" s="189"/>
      <c r="R52" s="135"/>
      <c r="S52" s="135"/>
      <c r="T52" s="135"/>
      <c r="U52" s="135"/>
      <c r="V52" s="135"/>
    </row>
    <row r="53" customFormat="false" ht="15.75" hidden="false" customHeight="true" outlineLevel="0" collapsed="false">
      <c r="A53" s="135"/>
      <c r="B53" s="135"/>
      <c r="C53" s="182"/>
      <c r="D53" s="135"/>
      <c r="E53" s="135"/>
      <c r="F53" s="135"/>
      <c r="G53" s="135"/>
      <c r="H53" s="189"/>
      <c r="I53" s="135"/>
      <c r="J53" s="135"/>
      <c r="K53" s="135"/>
      <c r="L53" s="135"/>
      <c r="M53" s="135"/>
      <c r="N53" s="135"/>
      <c r="O53" s="135"/>
      <c r="P53" s="135"/>
      <c r="Q53" s="189"/>
      <c r="R53" s="135"/>
      <c r="S53" s="135"/>
      <c r="T53" s="135"/>
      <c r="U53" s="135"/>
      <c r="V53" s="135"/>
    </row>
    <row r="54" customFormat="false" ht="15.75" hidden="false" customHeight="true" outlineLevel="0" collapsed="false">
      <c r="A54" s="135"/>
      <c r="B54" s="135"/>
      <c r="C54" s="182"/>
      <c r="D54" s="135"/>
      <c r="E54" s="135"/>
      <c r="F54" s="135"/>
      <c r="G54" s="135"/>
      <c r="H54" s="189"/>
      <c r="I54" s="135"/>
      <c r="J54" s="135"/>
      <c r="K54" s="135"/>
      <c r="L54" s="135"/>
      <c r="M54" s="135"/>
      <c r="N54" s="135"/>
      <c r="O54" s="135"/>
      <c r="P54" s="135"/>
      <c r="Q54" s="189"/>
      <c r="R54" s="135"/>
      <c r="S54" s="135"/>
      <c r="T54" s="135"/>
      <c r="U54" s="135"/>
      <c r="V54" s="135"/>
    </row>
    <row r="55" customFormat="false" ht="15.75" hidden="false" customHeight="true" outlineLevel="0" collapsed="false">
      <c r="A55" s="135"/>
      <c r="B55" s="135"/>
      <c r="C55" s="182"/>
      <c r="D55" s="135"/>
      <c r="E55" s="135"/>
      <c r="F55" s="135"/>
      <c r="G55" s="135"/>
      <c r="H55" s="189"/>
      <c r="I55" s="135"/>
      <c r="J55" s="135"/>
      <c r="K55" s="135"/>
      <c r="L55" s="135"/>
      <c r="M55" s="135"/>
      <c r="N55" s="135"/>
      <c r="O55" s="135"/>
      <c r="P55" s="135"/>
      <c r="Q55" s="189"/>
      <c r="R55" s="135"/>
      <c r="S55" s="135"/>
      <c r="T55" s="135"/>
      <c r="U55" s="135"/>
      <c r="V55" s="135"/>
    </row>
    <row r="56" customFormat="false" ht="15.75" hidden="false" customHeight="true" outlineLevel="0" collapsed="false">
      <c r="A56" s="135"/>
      <c r="B56" s="135"/>
      <c r="C56" s="182"/>
      <c r="D56" s="135"/>
      <c r="E56" s="135"/>
      <c r="F56" s="135"/>
      <c r="G56" s="135"/>
      <c r="H56" s="189"/>
      <c r="I56" s="135"/>
      <c r="J56" s="135"/>
      <c r="K56" s="135"/>
      <c r="L56" s="135"/>
      <c r="M56" s="135"/>
      <c r="N56" s="135"/>
      <c r="O56" s="135"/>
      <c r="P56" s="135"/>
      <c r="Q56" s="189"/>
      <c r="R56" s="135"/>
      <c r="S56" s="135"/>
      <c r="T56" s="135"/>
      <c r="U56" s="135"/>
      <c r="V56" s="135"/>
    </row>
    <row r="57" customFormat="false" ht="15.75" hidden="false" customHeight="true" outlineLevel="0" collapsed="false">
      <c r="A57" s="135"/>
      <c r="B57" s="135"/>
      <c r="C57" s="182"/>
      <c r="D57" s="135"/>
      <c r="E57" s="135"/>
      <c r="F57" s="135"/>
      <c r="G57" s="135"/>
      <c r="H57" s="189"/>
      <c r="I57" s="135"/>
      <c r="J57" s="135"/>
      <c r="K57" s="135"/>
      <c r="L57" s="135"/>
      <c r="M57" s="135"/>
      <c r="N57" s="135"/>
      <c r="O57" s="135"/>
      <c r="P57" s="135"/>
      <c r="Q57" s="189"/>
      <c r="R57" s="135"/>
      <c r="S57" s="135"/>
      <c r="T57" s="135"/>
      <c r="U57" s="135"/>
      <c r="V57" s="135"/>
    </row>
    <row r="58" customFormat="false" ht="15.75" hidden="false" customHeight="true" outlineLevel="0" collapsed="false">
      <c r="A58" s="135"/>
      <c r="B58" s="135"/>
      <c r="C58" s="182"/>
      <c r="D58" s="135"/>
      <c r="E58" s="135"/>
      <c r="F58" s="135"/>
      <c r="G58" s="135"/>
      <c r="H58" s="189"/>
      <c r="I58" s="135"/>
      <c r="J58" s="135"/>
      <c r="K58" s="135"/>
      <c r="L58" s="135"/>
      <c r="M58" s="135"/>
      <c r="N58" s="135"/>
      <c r="O58" s="135"/>
      <c r="P58" s="135"/>
      <c r="Q58" s="189"/>
      <c r="R58" s="135"/>
      <c r="S58" s="135"/>
      <c r="T58" s="135"/>
      <c r="U58" s="135"/>
      <c r="V58" s="135"/>
    </row>
    <row r="59" customFormat="false" ht="15.75" hidden="false" customHeight="true" outlineLevel="0" collapsed="false">
      <c r="A59" s="135"/>
      <c r="B59" s="135"/>
      <c r="C59" s="182"/>
      <c r="D59" s="135"/>
      <c r="E59" s="135"/>
      <c r="F59" s="135"/>
      <c r="G59" s="135"/>
      <c r="H59" s="189"/>
      <c r="I59" s="135"/>
      <c r="J59" s="135"/>
      <c r="K59" s="135"/>
      <c r="L59" s="135"/>
      <c r="M59" s="135"/>
      <c r="N59" s="135"/>
      <c r="O59" s="135"/>
      <c r="P59" s="135"/>
      <c r="Q59" s="189"/>
      <c r="R59" s="135"/>
      <c r="S59" s="135"/>
      <c r="T59" s="135"/>
      <c r="U59" s="135"/>
      <c r="V59" s="135"/>
    </row>
    <row r="60" customFormat="false" ht="15.75" hidden="false" customHeight="true" outlineLevel="0" collapsed="false">
      <c r="A60" s="135"/>
      <c r="B60" s="135"/>
      <c r="C60" s="182"/>
      <c r="D60" s="135"/>
      <c r="E60" s="135"/>
      <c r="F60" s="135"/>
      <c r="G60" s="135"/>
      <c r="H60" s="189"/>
      <c r="I60" s="135"/>
      <c r="J60" s="135"/>
      <c r="K60" s="135"/>
      <c r="L60" s="135"/>
      <c r="M60" s="135"/>
      <c r="N60" s="135"/>
      <c r="O60" s="135"/>
      <c r="P60" s="135"/>
      <c r="Q60" s="189"/>
      <c r="R60" s="135"/>
      <c r="S60" s="135"/>
      <c r="T60" s="135"/>
      <c r="U60" s="135"/>
      <c r="V60" s="135"/>
    </row>
    <row r="61" customFormat="false" ht="15.75" hidden="false" customHeight="true" outlineLevel="0" collapsed="false">
      <c r="A61" s="135"/>
      <c r="B61" s="135"/>
      <c r="C61" s="182"/>
      <c r="D61" s="135"/>
      <c r="E61" s="135"/>
      <c r="F61" s="135"/>
      <c r="G61" s="135"/>
      <c r="H61" s="189"/>
      <c r="I61" s="135"/>
      <c r="J61" s="135"/>
      <c r="K61" s="135"/>
      <c r="L61" s="135"/>
      <c r="M61" s="135"/>
      <c r="N61" s="135"/>
      <c r="O61" s="135"/>
      <c r="P61" s="135"/>
      <c r="Q61" s="189"/>
      <c r="R61" s="135"/>
      <c r="S61" s="135"/>
      <c r="T61" s="135"/>
      <c r="U61" s="135"/>
      <c r="V61" s="135"/>
    </row>
    <row r="62" customFormat="false" ht="15.75" hidden="false" customHeight="true" outlineLevel="0" collapsed="false">
      <c r="A62" s="135"/>
      <c r="B62" s="135"/>
      <c r="C62" s="182"/>
      <c r="D62" s="135"/>
      <c r="E62" s="135"/>
      <c r="F62" s="135"/>
      <c r="G62" s="135"/>
      <c r="H62" s="189"/>
      <c r="I62" s="135"/>
      <c r="J62" s="135"/>
      <c r="K62" s="135"/>
      <c r="L62" s="135"/>
      <c r="M62" s="135"/>
      <c r="N62" s="135"/>
      <c r="O62" s="135"/>
      <c r="P62" s="135"/>
      <c r="Q62" s="189"/>
      <c r="R62" s="135"/>
      <c r="S62" s="135"/>
      <c r="T62" s="135"/>
      <c r="U62" s="135"/>
      <c r="V62" s="135"/>
    </row>
    <row r="63" customFormat="false" ht="15.75" hidden="false" customHeight="true" outlineLevel="0" collapsed="false">
      <c r="A63" s="135"/>
      <c r="B63" s="135"/>
      <c r="C63" s="182"/>
      <c r="D63" s="135"/>
      <c r="E63" s="135"/>
      <c r="F63" s="135"/>
      <c r="G63" s="135"/>
      <c r="H63" s="189"/>
      <c r="I63" s="135"/>
      <c r="J63" s="135"/>
      <c r="K63" s="135"/>
      <c r="L63" s="135"/>
      <c r="M63" s="135"/>
      <c r="N63" s="135"/>
      <c r="O63" s="135"/>
      <c r="P63" s="135"/>
      <c r="Q63" s="189"/>
      <c r="R63" s="135"/>
      <c r="S63" s="135"/>
      <c r="T63" s="135"/>
      <c r="U63" s="135"/>
      <c r="V63" s="135"/>
    </row>
    <row r="64" customFormat="false" ht="15.75" hidden="false" customHeight="true" outlineLevel="0" collapsed="false">
      <c r="A64" s="135"/>
      <c r="B64" s="135"/>
      <c r="C64" s="182"/>
      <c r="D64" s="135"/>
      <c r="E64" s="135"/>
      <c r="F64" s="135"/>
      <c r="G64" s="135"/>
      <c r="H64" s="189"/>
      <c r="I64" s="135"/>
      <c r="J64" s="135"/>
      <c r="K64" s="135"/>
      <c r="L64" s="135"/>
      <c r="M64" s="135"/>
      <c r="N64" s="135"/>
      <c r="O64" s="135"/>
      <c r="P64" s="135"/>
      <c r="Q64" s="189"/>
      <c r="R64" s="135"/>
      <c r="S64" s="135"/>
      <c r="T64" s="135"/>
      <c r="U64" s="135"/>
      <c r="V64" s="135"/>
    </row>
    <row r="65" customFormat="false" ht="15.75" hidden="false" customHeight="true" outlineLevel="0" collapsed="false">
      <c r="A65" s="135"/>
      <c r="B65" s="135"/>
      <c r="C65" s="182"/>
      <c r="D65" s="135"/>
      <c r="E65" s="135"/>
      <c r="F65" s="135"/>
      <c r="G65" s="135"/>
      <c r="H65" s="189"/>
      <c r="I65" s="135"/>
      <c r="J65" s="135"/>
      <c r="K65" s="135"/>
      <c r="L65" s="135"/>
      <c r="M65" s="135"/>
      <c r="N65" s="135"/>
      <c r="O65" s="135"/>
      <c r="P65" s="135"/>
      <c r="Q65" s="189"/>
      <c r="R65" s="135"/>
      <c r="S65" s="135"/>
      <c r="T65" s="135"/>
      <c r="U65" s="135"/>
      <c r="V65" s="135"/>
    </row>
    <row r="66" customFormat="false" ht="15.75" hidden="false" customHeight="true" outlineLevel="0" collapsed="false">
      <c r="A66" s="135"/>
      <c r="B66" s="135"/>
      <c r="C66" s="182"/>
      <c r="D66" s="135"/>
      <c r="E66" s="135"/>
      <c r="F66" s="135"/>
      <c r="G66" s="135"/>
      <c r="H66" s="189"/>
      <c r="I66" s="135"/>
      <c r="J66" s="135"/>
      <c r="K66" s="135"/>
      <c r="L66" s="135"/>
      <c r="M66" s="135"/>
      <c r="N66" s="135"/>
      <c r="O66" s="135"/>
      <c r="P66" s="135"/>
      <c r="Q66" s="189"/>
      <c r="R66" s="135"/>
      <c r="S66" s="135"/>
      <c r="T66" s="135"/>
      <c r="U66" s="135"/>
      <c r="V66" s="135"/>
    </row>
    <row r="67" customFormat="false" ht="15.75" hidden="false" customHeight="true" outlineLevel="0" collapsed="false">
      <c r="A67" s="135"/>
      <c r="B67" s="135"/>
      <c r="C67" s="182"/>
      <c r="D67" s="135"/>
      <c r="E67" s="135"/>
      <c r="F67" s="135"/>
      <c r="G67" s="135"/>
      <c r="H67" s="189"/>
      <c r="I67" s="135"/>
      <c r="J67" s="135"/>
      <c r="K67" s="135"/>
      <c r="L67" s="135"/>
      <c r="M67" s="135"/>
      <c r="N67" s="135"/>
      <c r="O67" s="135"/>
      <c r="P67" s="135"/>
      <c r="Q67" s="189"/>
      <c r="R67" s="135"/>
      <c r="S67" s="135"/>
      <c r="T67" s="135"/>
      <c r="U67" s="135"/>
      <c r="V67" s="135"/>
    </row>
    <row r="68" customFormat="false" ht="15.75" hidden="false" customHeight="true" outlineLevel="0" collapsed="false">
      <c r="A68" s="135"/>
      <c r="B68" s="135"/>
      <c r="C68" s="182"/>
      <c r="D68" s="135"/>
      <c r="E68" s="135"/>
      <c r="F68" s="135"/>
      <c r="G68" s="135"/>
      <c r="H68" s="189"/>
      <c r="I68" s="135"/>
      <c r="J68" s="135"/>
      <c r="K68" s="135"/>
      <c r="L68" s="135"/>
      <c r="M68" s="135"/>
      <c r="N68" s="135"/>
      <c r="O68" s="135"/>
      <c r="P68" s="135"/>
      <c r="Q68" s="189"/>
      <c r="R68" s="135"/>
      <c r="S68" s="135"/>
      <c r="T68" s="135"/>
      <c r="U68" s="135"/>
      <c r="V68" s="135"/>
    </row>
    <row r="69" customFormat="false" ht="15.75" hidden="false" customHeight="true" outlineLevel="0" collapsed="false">
      <c r="A69" s="135"/>
      <c r="B69" s="135"/>
      <c r="C69" s="182"/>
      <c r="D69" s="135"/>
      <c r="E69" s="135"/>
      <c r="F69" s="135"/>
      <c r="G69" s="135"/>
      <c r="H69" s="189"/>
      <c r="I69" s="135"/>
      <c r="J69" s="135"/>
      <c r="K69" s="135"/>
      <c r="L69" s="135"/>
      <c r="M69" s="135"/>
      <c r="N69" s="135"/>
      <c r="O69" s="135"/>
      <c r="P69" s="135"/>
      <c r="Q69" s="189"/>
      <c r="R69" s="135"/>
      <c r="S69" s="135"/>
      <c r="T69" s="135"/>
      <c r="U69" s="135"/>
      <c r="V69" s="135"/>
    </row>
    <row r="70" customFormat="false" ht="15.75" hidden="false" customHeight="true" outlineLevel="0" collapsed="false">
      <c r="A70" s="135"/>
      <c r="B70" s="135"/>
      <c r="C70" s="182"/>
      <c r="D70" s="135"/>
      <c r="E70" s="135"/>
      <c r="F70" s="135"/>
      <c r="G70" s="135"/>
      <c r="H70" s="189"/>
      <c r="I70" s="135"/>
      <c r="J70" s="135"/>
      <c r="K70" s="135"/>
      <c r="L70" s="135"/>
      <c r="M70" s="135"/>
      <c r="N70" s="135"/>
      <c r="O70" s="135"/>
      <c r="P70" s="135"/>
      <c r="Q70" s="189"/>
      <c r="R70" s="135"/>
      <c r="S70" s="135"/>
      <c r="T70" s="135"/>
      <c r="U70" s="135"/>
      <c r="V70" s="135"/>
    </row>
    <row r="71" customFormat="false" ht="15.75" hidden="false" customHeight="true" outlineLevel="0" collapsed="false">
      <c r="A71" s="135"/>
      <c r="B71" s="135"/>
      <c r="C71" s="182"/>
      <c r="D71" s="135"/>
      <c r="E71" s="135"/>
      <c r="F71" s="135"/>
      <c r="G71" s="135"/>
      <c r="H71" s="189"/>
      <c r="I71" s="135"/>
      <c r="J71" s="135"/>
      <c r="K71" s="135"/>
      <c r="L71" s="135"/>
      <c r="M71" s="135"/>
      <c r="N71" s="135"/>
      <c r="O71" s="135"/>
      <c r="P71" s="135"/>
      <c r="Q71" s="189"/>
      <c r="R71" s="135"/>
      <c r="S71" s="135"/>
      <c r="T71" s="135"/>
      <c r="U71" s="135"/>
      <c r="V71" s="135"/>
    </row>
    <row r="72" customFormat="false" ht="15.75" hidden="false" customHeight="true" outlineLevel="0" collapsed="false">
      <c r="A72" s="135"/>
      <c r="B72" s="135"/>
      <c r="C72" s="182"/>
      <c r="D72" s="135"/>
      <c r="E72" s="135"/>
      <c r="F72" s="135"/>
      <c r="G72" s="135"/>
      <c r="H72" s="189"/>
      <c r="I72" s="135"/>
      <c r="J72" s="135"/>
      <c r="K72" s="135"/>
      <c r="L72" s="135"/>
      <c r="M72" s="135"/>
      <c r="N72" s="135"/>
      <c r="O72" s="135"/>
      <c r="P72" s="135"/>
      <c r="Q72" s="189"/>
      <c r="R72" s="135"/>
      <c r="S72" s="135"/>
      <c r="T72" s="135"/>
      <c r="U72" s="135"/>
      <c r="V72" s="135"/>
    </row>
    <row r="73" customFormat="false" ht="15.75" hidden="false" customHeight="true" outlineLevel="0" collapsed="false">
      <c r="A73" s="135"/>
      <c r="B73" s="135"/>
      <c r="C73" s="182"/>
      <c r="D73" s="135"/>
      <c r="E73" s="135"/>
      <c r="F73" s="135"/>
      <c r="G73" s="135"/>
      <c r="H73" s="189"/>
      <c r="I73" s="135"/>
      <c r="J73" s="135"/>
      <c r="K73" s="135"/>
      <c r="L73" s="135"/>
      <c r="M73" s="135"/>
      <c r="N73" s="135"/>
      <c r="O73" s="135"/>
      <c r="P73" s="135"/>
      <c r="Q73" s="189"/>
      <c r="R73" s="135"/>
      <c r="S73" s="135"/>
      <c r="T73" s="135"/>
      <c r="U73" s="135"/>
      <c r="V73" s="135"/>
    </row>
    <row r="74" customFormat="false" ht="15.75" hidden="false" customHeight="true" outlineLevel="0" collapsed="false">
      <c r="A74" s="135"/>
      <c r="B74" s="135"/>
      <c r="C74" s="182"/>
      <c r="D74" s="135"/>
      <c r="E74" s="135"/>
      <c r="F74" s="135"/>
      <c r="G74" s="135"/>
      <c r="H74" s="189"/>
      <c r="I74" s="135"/>
      <c r="J74" s="135"/>
      <c r="K74" s="135"/>
      <c r="L74" s="135"/>
      <c r="M74" s="135"/>
      <c r="N74" s="135"/>
      <c r="O74" s="135"/>
      <c r="P74" s="135"/>
      <c r="Q74" s="189"/>
      <c r="R74" s="135"/>
      <c r="S74" s="135"/>
      <c r="T74" s="135"/>
      <c r="U74" s="135"/>
      <c r="V74" s="135"/>
    </row>
    <row r="75" customFormat="false" ht="15.75" hidden="false" customHeight="true" outlineLevel="0" collapsed="false">
      <c r="A75" s="135"/>
      <c r="B75" s="135"/>
      <c r="C75" s="182"/>
      <c r="D75" s="135"/>
      <c r="E75" s="135"/>
      <c r="F75" s="135"/>
      <c r="G75" s="135"/>
      <c r="H75" s="189"/>
      <c r="I75" s="135"/>
      <c r="J75" s="135"/>
      <c r="K75" s="135"/>
      <c r="L75" s="135"/>
      <c r="M75" s="135"/>
      <c r="N75" s="135"/>
      <c r="O75" s="135"/>
      <c r="P75" s="135"/>
      <c r="Q75" s="189"/>
      <c r="R75" s="135"/>
      <c r="S75" s="135"/>
      <c r="T75" s="135"/>
      <c r="U75" s="135"/>
      <c r="V75" s="135"/>
    </row>
    <row r="76" customFormat="false" ht="15.75" hidden="false" customHeight="true" outlineLevel="0" collapsed="false">
      <c r="A76" s="135"/>
      <c r="B76" s="135"/>
      <c r="C76" s="182"/>
      <c r="D76" s="135"/>
      <c r="E76" s="135"/>
      <c r="F76" s="135"/>
      <c r="G76" s="135"/>
      <c r="H76" s="189"/>
      <c r="I76" s="135"/>
      <c r="J76" s="135"/>
      <c r="K76" s="135"/>
      <c r="L76" s="135"/>
      <c r="M76" s="135"/>
      <c r="N76" s="135"/>
      <c r="O76" s="135"/>
      <c r="P76" s="135"/>
      <c r="Q76" s="189"/>
      <c r="R76" s="135"/>
      <c r="S76" s="135"/>
      <c r="T76" s="135"/>
      <c r="U76" s="135"/>
      <c r="V76" s="135"/>
    </row>
    <row r="77" customFormat="false" ht="15.75" hidden="false" customHeight="true" outlineLevel="0" collapsed="false">
      <c r="A77" s="135"/>
      <c r="B77" s="135"/>
      <c r="C77" s="182"/>
      <c r="D77" s="135"/>
      <c r="E77" s="135"/>
      <c r="F77" s="135"/>
      <c r="G77" s="135"/>
      <c r="H77" s="189"/>
      <c r="I77" s="135"/>
      <c r="J77" s="135"/>
      <c r="K77" s="135"/>
      <c r="L77" s="135"/>
      <c r="M77" s="135"/>
      <c r="N77" s="135"/>
      <c r="O77" s="135"/>
      <c r="P77" s="135"/>
      <c r="Q77" s="189"/>
      <c r="R77" s="135"/>
      <c r="S77" s="135"/>
      <c r="T77" s="135"/>
      <c r="U77" s="135"/>
      <c r="V77" s="135"/>
    </row>
    <row r="78" customFormat="false" ht="15.75" hidden="false" customHeight="true" outlineLevel="0" collapsed="false">
      <c r="A78" s="135"/>
      <c r="B78" s="135"/>
      <c r="C78" s="182"/>
      <c r="D78" s="135"/>
      <c r="E78" s="135"/>
      <c r="F78" s="135"/>
      <c r="G78" s="135"/>
      <c r="H78" s="189"/>
      <c r="I78" s="135"/>
      <c r="J78" s="135"/>
      <c r="K78" s="135"/>
      <c r="L78" s="135"/>
      <c r="M78" s="135"/>
      <c r="N78" s="135"/>
      <c r="O78" s="135"/>
      <c r="P78" s="135"/>
      <c r="Q78" s="189"/>
      <c r="R78" s="135"/>
      <c r="S78" s="135"/>
      <c r="T78" s="135"/>
      <c r="U78" s="135"/>
      <c r="V78" s="135"/>
    </row>
    <row r="79" customFormat="false" ht="15.75" hidden="false" customHeight="true" outlineLevel="0" collapsed="false">
      <c r="A79" s="135"/>
      <c r="B79" s="135"/>
      <c r="C79" s="182"/>
      <c r="D79" s="135"/>
      <c r="E79" s="135"/>
      <c r="F79" s="135"/>
      <c r="G79" s="135"/>
      <c r="H79" s="189"/>
      <c r="I79" s="135"/>
      <c r="J79" s="135"/>
      <c r="K79" s="135"/>
      <c r="L79" s="135"/>
      <c r="M79" s="135"/>
      <c r="N79" s="135"/>
      <c r="O79" s="135"/>
      <c r="P79" s="135"/>
      <c r="Q79" s="189"/>
      <c r="R79" s="135"/>
      <c r="S79" s="135"/>
      <c r="T79" s="135"/>
      <c r="U79" s="135"/>
      <c r="V79" s="135"/>
    </row>
    <row r="80" customFormat="false" ht="15.75" hidden="false" customHeight="true" outlineLevel="0" collapsed="false">
      <c r="A80" s="135"/>
      <c r="B80" s="135"/>
      <c r="C80" s="182"/>
      <c r="D80" s="135"/>
      <c r="E80" s="135"/>
      <c r="F80" s="135"/>
      <c r="G80" s="135"/>
      <c r="H80" s="189"/>
      <c r="I80" s="135"/>
      <c r="J80" s="135"/>
      <c r="K80" s="135"/>
      <c r="L80" s="135"/>
      <c r="M80" s="135"/>
      <c r="N80" s="135"/>
      <c r="O80" s="135"/>
      <c r="P80" s="135"/>
      <c r="Q80" s="189"/>
      <c r="R80" s="135"/>
      <c r="S80" s="135"/>
      <c r="T80" s="135"/>
      <c r="U80" s="135"/>
      <c r="V80" s="135"/>
    </row>
    <row r="81" customFormat="false" ht="15.75" hidden="false" customHeight="true" outlineLevel="0" collapsed="false">
      <c r="A81" s="135"/>
      <c r="B81" s="135"/>
      <c r="C81" s="182"/>
      <c r="D81" s="135"/>
      <c r="E81" s="135"/>
      <c r="F81" s="135"/>
      <c r="G81" s="135"/>
      <c r="H81" s="189"/>
      <c r="I81" s="135"/>
      <c r="J81" s="135"/>
      <c r="K81" s="135"/>
      <c r="L81" s="135"/>
      <c r="M81" s="135"/>
      <c r="N81" s="135"/>
      <c r="O81" s="135"/>
      <c r="P81" s="135"/>
      <c r="Q81" s="189"/>
      <c r="R81" s="135"/>
      <c r="S81" s="135"/>
      <c r="T81" s="135"/>
      <c r="U81" s="135"/>
      <c r="V81" s="135"/>
    </row>
    <row r="82" customFormat="false" ht="15.75" hidden="false" customHeight="true" outlineLevel="0" collapsed="false">
      <c r="A82" s="135"/>
      <c r="B82" s="135"/>
      <c r="C82" s="182"/>
      <c r="D82" s="135"/>
      <c r="E82" s="135"/>
      <c r="F82" s="135"/>
      <c r="G82" s="135"/>
      <c r="H82" s="189"/>
      <c r="I82" s="135"/>
      <c r="J82" s="135"/>
      <c r="K82" s="135"/>
      <c r="L82" s="135"/>
      <c r="M82" s="135"/>
      <c r="N82" s="135"/>
      <c r="O82" s="135"/>
      <c r="P82" s="135"/>
      <c r="Q82" s="189"/>
      <c r="R82" s="135"/>
      <c r="S82" s="135"/>
      <c r="T82" s="135"/>
      <c r="U82" s="135"/>
      <c r="V82" s="135"/>
    </row>
    <row r="83" customFormat="false" ht="15.75" hidden="false" customHeight="true" outlineLevel="0" collapsed="false">
      <c r="A83" s="135"/>
      <c r="B83" s="135"/>
      <c r="C83" s="182"/>
      <c r="D83" s="135"/>
      <c r="E83" s="135"/>
      <c r="F83" s="135"/>
      <c r="G83" s="135"/>
      <c r="H83" s="189"/>
      <c r="I83" s="135"/>
      <c r="J83" s="135"/>
      <c r="K83" s="135"/>
      <c r="L83" s="135"/>
      <c r="M83" s="135"/>
      <c r="N83" s="135"/>
      <c r="O83" s="135"/>
      <c r="P83" s="135"/>
      <c r="Q83" s="189"/>
      <c r="R83" s="135"/>
      <c r="S83" s="135"/>
      <c r="T83" s="135"/>
      <c r="U83" s="135"/>
      <c r="V83" s="135"/>
    </row>
    <row r="84" customFormat="false" ht="15.75" hidden="false" customHeight="true" outlineLevel="0" collapsed="false">
      <c r="A84" s="135"/>
      <c r="B84" s="135"/>
      <c r="C84" s="182"/>
      <c r="D84" s="135"/>
      <c r="E84" s="135"/>
      <c r="F84" s="135"/>
      <c r="G84" s="135"/>
      <c r="H84" s="189"/>
      <c r="I84" s="135"/>
      <c r="J84" s="135"/>
      <c r="K84" s="135"/>
      <c r="L84" s="135"/>
      <c r="M84" s="135"/>
      <c r="N84" s="135"/>
      <c r="O84" s="135"/>
      <c r="P84" s="135"/>
      <c r="Q84" s="189"/>
      <c r="R84" s="135"/>
      <c r="S84" s="135"/>
      <c r="T84" s="135"/>
      <c r="U84" s="135"/>
      <c r="V84" s="135"/>
    </row>
    <row r="85" customFormat="false" ht="15.75" hidden="false" customHeight="true" outlineLevel="0" collapsed="false">
      <c r="A85" s="135"/>
      <c r="B85" s="135"/>
      <c r="C85" s="182"/>
      <c r="D85" s="135"/>
      <c r="E85" s="135"/>
      <c r="F85" s="135"/>
      <c r="G85" s="135"/>
      <c r="H85" s="189"/>
      <c r="I85" s="135"/>
      <c r="J85" s="135"/>
      <c r="K85" s="135"/>
      <c r="L85" s="135"/>
      <c r="M85" s="135"/>
      <c r="N85" s="135"/>
      <c r="O85" s="135"/>
      <c r="P85" s="135"/>
      <c r="Q85" s="189"/>
      <c r="R85" s="135"/>
      <c r="S85" s="135"/>
      <c r="T85" s="135"/>
      <c r="U85" s="135"/>
      <c r="V85" s="135"/>
    </row>
    <row r="86" customFormat="false" ht="15.75" hidden="false" customHeight="true" outlineLevel="0" collapsed="false">
      <c r="A86" s="135"/>
      <c r="B86" s="135"/>
      <c r="C86" s="182"/>
      <c r="D86" s="135"/>
      <c r="E86" s="135"/>
      <c r="F86" s="135"/>
      <c r="G86" s="135"/>
      <c r="H86" s="189"/>
      <c r="I86" s="135"/>
      <c r="J86" s="135"/>
      <c r="K86" s="135"/>
      <c r="L86" s="135"/>
      <c r="M86" s="135"/>
      <c r="N86" s="135"/>
      <c r="O86" s="135"/>
      <c r="P86" s="135"/>
      <c r="Q86" s="189"/>
      <c r="R86" s="135"/>
      <c r="S86" s="135"/>
      <c r="T86" s="135"/>
      <c r="U86" s="135"/>
      <c r="V86" s="135"/>
    </row>
    <row r="87" customFormat="false" ht="15.75" hidden="false" customHeight="true" outlineLevel="0" collapsed="false">
      <c r="A87" s="135"/>
      <c r="B87" s="135"/>
      <c r="C87" s="182"/>
      <c r="D87" s="135"/>
      <c r="E87" s="135"/>
      <c r="F87" s="135"/>
      <c r="G87" s="135"/>
      <c r="H87" s="189"/>
      <c r="I87" s="135"/>
      <c r="J87" s="135"/>
      <c r="K87" s="135"/>
      <c r="L87" s="135"/>
      <c r="M87" s="135"/>
      <c r="N87" s="135"/>
      <c r="O87" s="135"/>
      <c r="P87" s="135"/>
      <c r="Q87" s="189"/>
      <c r="R87" s="135"/>
      <c r="S87" s="135"/>
      <c r="T87" s="135"/>
      <c r="U87" s="135"/>
      <c r="V87" s="135"/>
    </row>
    <row r="88" customFormat="false" ht="15.75" hidden="false" customHeight="true" outlineLevel="0" collapsed="false">
      <c r="A88" s="135"/>
      <c r="B88" s="135"/>
      <c r="C88" s="182"/>
      <c r="D88" s="135"/>
      <c r="E88" s="135"/>
      <c r="F88" s="135"/>
      <c r="G88" s="135"/>
      <c r="H88" s="189"/>
      <c r="I88" s="135"/>
      <c r="J88" s="135"/>
      <c r="K88" s="135"/>
      <c r="L88" s="135"/>
      <c r="M88" s="135"/>
      <c r="N88" s="135"/>
      <c r="O88" s="135"/>
      <c r="P88" s="135"/>
      <c r="Q88" s="189"/>
      <c r="R88" s="135"/>
      <c r="S88" s="135"/>
      <c r="T88" s="135"/>
      <c r="U88" s="135"/>
      <c r="V88" s="135"/>
    </row>
    <row r="89" customFormat="false" ht="15.75" hidden="false" customHeight="true" outlineLevel="0" collapsed="false">
      <c r="A89" s="135"/>
      <c r="B89" s="135"/>
      <c r="C89" s="182"/>
      <c r="D89" s="135"/>
      <c r="E89" s="135"/>
      <c r="F89" s="135"/>
      <c r="G89" s="135"/>
      <c r="H89" s="189"/>
      <c r="I89" s="135"/>
      <c r="J89" s="135"/>
      <c r="K89" s="135"/>
      <c r="L89" s="135"/>
      <c r="M89" s="135"/>
      <c r="N89" s="135"/>
      <c r="O89" s="135"/>
      <c r="P89" s="135"/>
      <c r="Q89" s="189"/>
      <c r="R89" s="135"/>
      <c r="S89" s="135"/>
      <c r="T89" s="135"/>
      <c r="U89" s="135"/>
      <c r="V89" s="135"/>
    </row>
    <row r="90" customFormat="false" ht="15.75" hidden="false" customHeight="true" outlineLevel="0" collapsed="false">
      <c r="A90" s="135"/>
      <c r="B90" s="135"/>
      <c r="C90" s="182"/>
      <c r="D90" s="135"/>
      <c r="E90" s="135"/>
      <c r="F90" s="135"/>
      <c r="G90" s="135"/>
      <c r="H90" s="189"/>
      <c r="I90" s="135"/>
      <c r="J90" s="135"/>
      <c r="K90" s="135"/>
      <c r="L90" s="135"/>
      <c r="M90" s="135"/>
      <c r="N90" s="135"/>
      <c r="O90" s="135"/>
      <c r="P90" s="135"/>
      <c r="Q90" s="189"/>
      <c r="R90" s="135"/>
      <c r="S90" s="135"/>
      <c r="T90" s="135"/>
      <c r="U90" s="135"/>
      <c r="V90" s="135"/>
    </row>
    <row r="91" customFormat="false" ht="15.75" hidden="false" customHeight="true" outlineLevel="0" collapsed="false">
      <c r="A91" s="135"/>
      <c r="B91" s="135"/>
      <c r="C91" s="182"/>
      <c r="D91" s="135"/>
      <c r="E91" s="135"/>
      <c r="F91" s="135"/>
      <c r="G91" s="135"/>
      <c r="H91" s="189"/>
      <c r="I91" s="135"/>
      <c r="J91" s="135"/>
      <c r="K91" s="135"/>
      <c r="L91" s="135"/>
      <c r="M91" s="135"/>
      <c r="N91" s="135"/>
      <c r="O91" s="135"/>
      <c r="P91" s="135"/>
      <c r="Q91" s="189"/>
      <c r="R91" s="135"/>
      <c r="S91" s="135"/>
      <c r="T91" s="135"/>
      <c r="U91" s="135"/>
      <c r="V91" s="135"/>
    </row>
    <row r="92" customFormat="false" ht="15.75" hidden="false" customHeight="true" outlineLevel="0" collapsed="false">
      <c r="A92" s="135"/>
      <c r="B92" s="135"/>
      <c r="C92" s="182"/>
      <c r="D92" s="135"/>
      <c r="E92" s="135"/>
      <c r="F92" s="135"/>
      <c r="G92" s="135"/>
      <c r="H92" s="189"/>
      <c r="I92" s="135"/>
      <c r="J92" s="135"/>
      <c r="K92" s="135"/>
      <c r="L92" s="135"/>
      <c r="M92" s="135"/>
      <c r="N92" s="135"/>
      <c r="O92" s="135"/>
      <c r="P92" s="135"/>
      <c r="Q92" s="189"/>
      <c r="R92" s="135"/>
      <c r="S92" s="135"/>
      <c r="T92" s="135"/>
      <c r="U92" s="135"/>
      <c r="V92" s="135"/>
    </row>
    <row r="93" customFormat="false" ht="15.75" hidden="false" customHeight="true" outlineLevel="0" collapsed="false">
      <c r="A93" s="135"/>
      <c r="B93" s="135"/>
      <c r="C93" s="182"/>
      <c r="D93" s="135"/>
      <c r="E93" s="135"/>
      <c r="F93" s="135"/>
      <c r="G93" s="135"/>
      <c r="H93" s="189"/>
      <c r="I93" s="135"/>
      <c r="J93" s="135"/>
      <c r="K93" s="135"/>
      <c r="L93" s="135"/>
      <c r="M93" s="135"/>
      <c r="N93" s="135"/>
      <c r="O93" s="135"/>
      <c r="P93" s="135"/>
      <c r="Q93" s="189"/>
      <c r="R93" s="135"/>
      <c r="S93" s="135"/>
      <c r="T93" s="135"/>
      <c r="U93" s="135"/>
      <c r="V93" s="135"/>
    </row>
    <row r="94" customFormat="false" ht="15.75" hidden="false" customHeight="true" outlineLevel="0" collapsed="false">
      <c r="A94" s="135"/>
      <c r="B94" s="135"/>
      <c r="C94" s="182"/>
      <c r="D94" s="135"/>
      <c r="E94" s="135"/>
      <c r="F94" s="135"/>
      <c r="G94" s="135"/>
      <c r="H94" s="189"/>
      <c r="I94" s="135"/>
      <c r="J94" s="135"/>
      <c r="K94" s="135"/>
      <c r="L94" s="135"/>
      <c r="M94" s="135"/>
      <c r="N94" s="135"/>
      <c r="O94" s="135"/>
      <c r="P94" s="135"/>
      <c r="Q94" s="189"/>
      <c r="R94" s="135"/>
      <c r="S94" s="135"/>
      <c r="T94" s="135"/>
      <c r="U94" s="135"/>
      <c r="V94" s="135"/>
    </row>
    <row r="95" customFormat="false" ht="15.75" hidden="false" customHeight="true" outlineLevel="0" collapsed="false">
      <c r="A95" s="135"/>
      <c r="B95" s="135"/>
      <c r="C95" s="182"/>
      <c r="D95" s="135"/>
      <c r="E95" s="135"/>
      <c r="F95" s="135"/>
      <c r="G95" s="135"/>
      <c r="H95" s="189"/>
      <c r="I95" s="135"/>
      <c r="J95" s="135"/>
      <c r="K95" s="135"/>
      <c r="L95" s="135"/>
      <c r="M95" s="135"/>
      <c r="N95" s="135"/>
      <c r="O95" s="135"/>
      <c r="P95" s="135"/>
      <c r="Q95" s="189"/>
      <c r="R95" s="135"/>
      <c r="S95" s="135"/>
      <c r="T95" s="135"/>
      <c r="U95" s="135"/>
      <c r="V95" s="135"/>
    </row>
    <row r="96" customFormat="false" ht="15.75" hidden="false" customHeight="true" outlineLevel="0" collapsed="false">
      <c r="A96" s="135"/>
      <c r="B96" s="135"/>
      <c r="C96" s="182"/>
      <c r="D96" s="135"/>
      <c r="E96" s="135"/>
      <c r="F96" s="135"/>
      <c r="G96" s="135"/>
      <c r="H96" s="189"/>
      <c r="I96" s="135"/>
      <c r="J96" s="135"/>
      <c r="K96" s="135"/>
      <c r="L96" s="135"/>
      <c r="M96" s="135"/>
      <c r="N96" s="135"/>
      <c r="O96" s="135"/>
      <c r="P96" s="135"/>
      <c r="Q96" s="189"/>
      <c r="R96" s="135"/>
      <c r="S96" s="135"/>
      <c r="T96" s="135"/>
      <c r="U96" s="135"/>
      <c r="V96" s="135"/>
    </row>
    <row r="97" customFormat="false" ht="15.75" hidden="false" customHeight="true" outlineLevel="0" collapsed="false">
      <c r="A97" s="135"/>
      <c r="B97" s="135"/>
      <c r="C97" s="182"/>
      <c r="D97" s="135"/>
      <c r="E97" s="135"/>
      <c r="F97" s="135"/>
      <c r="G97" s="135"/>
      <c r="H97" s="189"/>
      <c r="I97" s="135"/>
      <c r="J97" s="135"/>
      <c r="K97" s="135"/>
      <c r="L97" s="135"/>
      <c r="M97" s="135"/>
      <c r="N97" s="135"/>
      <c r="O97" s="135"/>
      <c r="P97" s="135"/>
      <c r="Q97" s="189"/>
      <c r="R97" s="135"/>
      <c r="S97" s="135"/>
      <c r="T97" s="135"/>
      <c r="U97" s="135"/>
      <c r="V97" s="135"/>
    </row>
    <row r="98" customFormat="false" ht="15.75" hidden="false" customHeight="true" outlineLevel="0" collapsed="false">
      <c r="A98" s="135"/>
      <c r="B98" s="135"/>
      <c r="C98" s="182"/>
      <c r="D98" s="135"/>
      <c r="E98" s="135"/>
      <c r="F98" s="135"/>
      <c r="G98" s="135"/>
      <c r="H98" s="189"/>
      <c r="I98" s="135"/>
      <c r="J98" s="135"/>
      <c r="K98" s="135"/>
      <c r="L98" s="135"/>
      <c r="M98" s="135"/>
      <c r="N98" s="135"/>
      <c r="O98" s="135"/>
      <c r="P98" s="135"/>
      <c r="Q98" s="189"/>
      <c r="R98" s="135"/>
      <c r="S98" s="135"/>
      <c r="T98" s="135"/>
      <c r="U98" s="135"/>
      <c r="V98" s="135"/>
    </row>
    <row r="99" customFormat="false" ht="15.75" hidden="false" customHeight="true" outlineLevel="0" collapsed="false">
      <c r="A99" s="135"/>
      <c r="B99" s="135"/>
      <c r="C99" s="182"/>
      <c r="D99" s="135"/>
      <c r="E99" s="135"/>
      <c r="F99" s="135"/>
      <c r="G99" s="135"/>
      <c r="H99" s="189"/>
      <c r="I99" s="135"/>
      <c r="J99" s="135"/>
      <c r="K99" s="135"/>
      <c r="L99" s="135"/>
      <c r="M99" s="135"/>
      <c r="N99" s="135"/>
      <c r="O99" s="135"/>
      <c r="P99" s="135"/>
      <c r="Q99" s="189"/>
      <c r="R99" s="135"/>
      <c r="S99" s="135"/>
      <c r="T99" s="135"/>
      <c r="U99" s="135"/>
      <c r="V99" s="135"/>
    </row>
    <row r="100" customFormat="false" ht="15.75" hidden="false" customHeight="true" outlineLevel="0" collapsed="false">
      <c r="A100" s="135"/>
      <c r="B100" s="135"/>
      <c r="C100" s="182"/>
      <c r="D100" s="135"/>
      <c r="E100" s="135"/>
      <c r="F100" s="135"/>
      <c r="G100" s="135"/>
      <c r="H100" s="189"/>
      <c r="I100" s="135"/>
      <c r="J100" s="135"/>
      <c r="K100" s="135"/>
      <c r="L100" s="135"/>
      <c r="M100" s="135"/>
      <c r="N100" s="135"/>
      <c r="O100" s="135"/>
      <c r="P100" s="135"/>
      <c r="Q100" s="189"/>
      <c r="R100" s="135"/>
      <c r="S100" s="135"/>
      <c r="T100" s="135"/>
      <c r="U100" s="135"/>
      <c r="V100" s="135"/>
    </row>
    <row r="101" customFormat="false" ht="15.75" hidden="false" customHeight="true" outlineLevel="0" collapsed="false">
      <c r="A101" s="135"/>
      <c r="B101" s="135"/>
      <c r="C101" s="182"/>
      <c r="D101" s="135"/>
      <c r="E101" s="135"/>
      <c r="F101" s="135"/>
      <c r="G101" s="135"/>
      <c r="H101" s="189"/>
      <c r="I101" s="135"/>
      <c r="J101" s="135"/>
      <c r="K101" s="135"/>
      <c r="L101" s="135"/>
      <c r="M101" s="135"/>
      <c r="N101" s="135"/>
      <c r="O101" s="135"/>
      <c r="P101" s="135"/>
      <c r="Q101" s="189"/>
      <c r="R101" s="135"/>
      <c r="S101" s="135"/>
      <c r="T101" s="135"/>
      <c r="U101" s="135"/>
      <c r="V101" s="135"/>
    </row>
    <row r="102" customFormat="false" ht="15.75" hidden="false" customHeight="true" outlineLevel="0" collapsed="false">
      <c r="A102" s="135"/>
      <c r="B102" s="135"/>
      <c r="C102" s="182"/>
      <c r="D102" s="135"/>
      <c r="E102" s="135"/>
      <c r="F102" s="135"/>
      <c r="G102" s="135"/>
      <c r="H102" s="189"/>
      <c r="I102" s="135"/>
      <c r="J102" s="135"/>
      <c r="K102" s="135"/>
      <c r="L102" s="135"/>
      <c r="M102" s="135"/>
      <c r="N102" s="135"/>
      <c r="O102" s="135"/>
      <c r="P102" s="135"/>
      <c r="Q102" s="189"/>
      <c r="R102" s="135"/>
      <c r="S102" s="135"/>
      <c r="T102" s="135"/>
      <c r="U102" s="135"/>
      <c r="V102" s="135"/>
    </row>
    <row r="103" customFormat="false" ht="15.75" hidden="false" customHeight="true" outlineLevel="0" collapsed="false">
      <c r="A103" s="135"/>
      <c r="B103" s="135"/>
      <c r="C103" s="182"/>
      <c r="D103" s="135"/>
      <c r="E103" s="135"/>
      <c r="F103" s="135"/>
      <c r="G103" s="135"/>
      <c r="H103" s="189"/>
      <c r="I103" s="135"/>
      <c r="J103" s="135"/>
      <c r="K103" s="135"/>
      <c r="L103" s="135"/>
      <c r="M103" s="135"/>
      <c r="N103" s="135"/>
      <c r="O103" s="135"/>
      <c r="P103" s="135"/>
      <c r="Q103" s="189"/>
      <c r="R103" s="135"/>
      <c r="S103" s="135"/>
      <c r="T103" s="135"/>
      <c r="U103" s="135"/>
      <c r="V103" s="135"/>
    </row>
    <row r="104" customFormat="false" ht="15.75" hidden="false" customHeight="true" outlineLevel="0" collapsed="false">
      <c r="A104" s="135"/>
      <c r="B104" s="135"/>
      <c r="C104" s="182"/>
      <c r="D104" s="135"/>
      <c r="E104" s="135"/>
      <c r="F104" s="135"/>
      <c r="G104" s="135"/>
      <c r="H104" s="189"/>
      <c r="I104" s="135"/>
      <c r="J104" s="135"/>
      <c r="K104" s="135"/>
      <c r="L104" s="135"/>
      <c r="M104" s="135"/>
      <c r="N104" s="135"/>
      <c r="O104" s="135"/>
      <c r="P104" s="135"/>
      <c r="Q104" s="189"/>
      <c r="R104" s="135"/>
      <c r="S104" s="135"/>
      <c r="T104" s="135"/>
      <c r="U104" s="135"/>
      <c r="V104" s="135"/>
    </row>
    <row r="105" customFormat="false" ht="15.75" hidden="false" customHeight="true" outlineLevel="0" collapsed="false">
      <c r="A105" s="135"/>
      <c r="B105" s="135"/>
      <c r="C105" s="182"/>
      <c r="D105" s="135"/>
      <c r="E105" s="135"/>
      <c r="F105" s="135"/>
      <c r="G105" s="135"/>
      <c r="H105" s="189"/>
      <c r="I105" s="135"/>
      <c r="J105" s="135"/>
      <c r="K105" s="135"/>
      <c r="L105" s="135"/>
      <c r="M105" s="135"/>
      <c r="N105" s="135"/>
      <c r="O105" s="135"/>
      <c r="P105" s="135"/>
      <c r="Q105" s="189"/>
      <c r="R105" s="135"/>
      <c r="S105" s="135"/>
      <c r="T105" s="135"/>
      <c r="U105" s="135"/>
      <c r="V105" s="135"/>
    </row>
    <row r="106" customFormat="false" ht="15.75" hidden="false" customHeight="true" outlineLevel="0" collapsed="false">
      <c r="A106" s="135"/>
      <c r="B106" s="135"/>
      <c r="C106" s="182"/>
      <c r="D106" s="135"/>
      <c r="E106" s="135"/>
      <c r="F106" s="135"/>
      <c r="G106" s="135"/>
      <c r="H106" s="189"/>
      <c r="I106" s="135"/>
      <c r="J106" s="135"/>
      <c r="K106" s="135"/>
      <c r="L106" s="135"/>
      <c r="M106" s="135"/>
      <c r="N106" s="135"/>
      <c r="O106" s="135"/>
      <c r="P106" s="135"/>
      <c r="Q106" s="189"/>
      <c r="R106" s="135"/>
      <c r="S106" s="135"/>
      <c r="T106" s="135"/>
      <c r="U106" s="135"/>
      <c r="V106" s="135"/>
    </row>
    <row r="107" customFormat="false" ht="15.75" hidden="false" customHeight="true" outlineLevel="0" collapsed="false">
      <c r="A107" s="135"/>
      <c r="B107" s="135"/>
      <c r="C107" s="182"/>
      <c r="D107" s="135"/>
      <c r="E107" s="135"/>
      <c r="F107" s="135"/>
      <c r="G107" s="135"/>
      <c r="H107" s="189"/>
      <c r="I107" s="135"/>
      <c r="J107" s="135"/>
      <c r="K107" s="135"/>
      <c r="L107" s="135"/>
      <c r="M107" s="135"/>
      <c r="N107" s="135"/>
      <c r="O107" s="135"/>
      <c r="P107" s="135"/>
      <c r="Q107" s="189"/>
      <c r="R107" s="135"/>
      <c r="S107" s="135"/>
      <c r="T107" s="135"/>
      <c r="U107" s="135"/>
      <c r="V107" s="135"/>
    </row>
    <row r="108" customFormat="false" ht="15.75" hidden="false" customHeight="true" outlineLevel="0" collapsed="false">
      <c r="A108" s="135"/>
      <c r="B108" s="135"/>
      <c r="C108" s="182"/>
      <c r="D108" s="135"/>
      <c r="E108" s="135"/>
      <c r="F108" s="135"/>
      <c r="G108" s="135"/>
      <c r="H108" s="189"/>
      <c r="I108" s="135"/>
      <c r="J108" s="135"/>
      <c r="K108" s="135"/>
      <c r="L108" s="135"/>
      <c r="M108" s="135"/>
      <c r="N108" s="135"/>
      <c r="O108" s="135"/>
      <c r="P108" s="135"/>
      <c r="Q108" s="189"/>
      <c r="R108" s="135"/>
      <c r="S108" s="135"/>
      <c r="T108" s="135"/>
      <c r="U108" s="135"/>
      <c r="V108" s="135"/>
    </row>
    <row r="109" customFormat="false" ht="15.75" hidden="false" customHeight="true" outlineLevel="0" collapsed="false">
      <c r="A109" s="135"/>
      <c r="B109" s="135"/>
      <c r="C109" s="182"/>
      <c r="D109" s="135"/>
      <c r="E109" s="135"/>
      <c r="F109" s="135"/>
      <c r="G109" s="135"/>
      <c r="H109" s="189"/>
      <c r="I109" s="135"/>
      <c r="J109" s="135"/>
      <c r="K109" s="135"/>
      <c r="L109" s="135"/>
      <c r="M109" s="135"/>
      <c r="N109" s="135"/>
      <c r="O109" s="135"/>
      <c r="P109" s="135"/>
      <c r="Q109" s="189"/>
      <c r="R109" s="135"/>
      <c r="S109" s="135"/>
      <c r="T109" s="135"/>
      <c r="U109" s="135"/>
      <c r="V109" s="135"/>
    </row>
    <row r="110" customFormat="false" ht="15.75" hidden="false" customHeight="true" outlineLevel="0" collapsed="false">
      <c r="A110" s="135"/>
      <c r="B110" s="135"/>
      <c r="C110" s="182"/>
      <c r="D110" s="135"/>
      <c r="E110" s="135"/>
      <c r="F110" s="135"/>
      <c r="G110" s="135"/>
      <c r="H110" s="189"/>
      <c r="I110" s="135"/>
      <c r="J110" s="135"/>
      <c r="K110" s="135"/>
      <c r="L110" s="135"/>
      <c r="M110" s="135"/>
      <c r="N110" s="135"/>
      <c r="O110" s="135"/>
      <c r="P110" s="135"/>
      <c r="Q110" s="189"/>
      <c r="R110" s="135"/>
      <c r="S110" s="135"/>
      <c r="T110" s="135"/>
      <c r="U110" s="135"/>
      <c r="V110" s="135"/>
    </row>
    <row r="111" customFormat="false" ht="15.75" hidden="false" customHeight="true" outlineLevel="0" collapsed="false">
      <c r="A111" s="135"/>
      <c r="B111" s="135"/>
      <c r="C111" s="182"/>
      <c r="D111" s="135"/>
      <c r="E111" s="135"/>
      <c r="F111" s="135"/>
      <c r="G111" s="135"/>
      <c r="H111" s="189"/>
      <c r="I111" s="135"/>
      <c r="J111" s="135"/>
      <c r="K111" s="135"/>
      <c r="L111" s="135"/>
      <c r="M111" s="135"/>
      <c r="N111" s="135"/>
      <c r="O111" s="135"/>
      <c r="P111" s="135"/>
      <c r="Q111" s="189"/>
      <c r="R111" s="135"/>
      <c r="S111" s="135"/>
      <c r="T111" s="135"/>
      <c r="U111" s="135"/>
      <c r="V111" s="135"/>
    </row>
    <row r="112" customFormat="false" ht="15.75" hidden="false" customHeight="true" outlineLevel="0" collapsed="false">
      <c r="A112" s="135"/>
      <c r="B112" s="135"/>
      <c r="C112" s="182"/>
      <c r="D112" s="135"/>
      <c r="E112" s="135"/>
      <c r="F112" s="135"/>
      <c r="G112" s="135"/>
      <c r="H112" s="189"/>
      <c r="I112" s="135"/>
      <c r="J112" s="135"/>
      <c r="K112" s="135"/>
      <c r="L112" s="135"/>
      <c r="M112" s="135"/>
      <c r="N112" s="135"/>
      <c r="O112" s="135"/>
      <c r="P112" s="135"/>
      <c r="Q112" s="189"/>
      <c r="R112" s="135"/>
      <c r="S112" s="135"/>
      <c r="T112" s="135"/>
      <c r="U112" s="135"/>
      <c r="V112" s="135"/>
    </row>
    <row r="113" customFormat="false" ht="15.75" hidden="false" customHeight="true" outlineLevel="0" collapsed="false">
      <c r="A113" s="135"/>
      <c r="B113" s="135"/>
      <c r="C113" s="182"/>
      <c r="D113" s="135"/>
      <c r="E113" s="135"/>
      <c r="F113" s="135"/>
      <c r="G113" s="135"/>
      <c r="H113" s="189"/>
      <c r="I113" s="135"/>
      <c r="J113" s="135"/>
      <c r="K113" s="135"/>
      <c r="L113" s="135"/>
      <c r="M113" s="135"/>
      <c r="N113" s="135"/>
      <c r="O113" s="135"/>
      <c r="P113" s="135"/>
      <c r="Q113" s="189"/>
      <c r="R113" s="135"/>
      <c r="S113" s="135"/>
      <c r="T113" s="135"/>
      <c r="U113" s="135"/>
      <c r="V113" s="135"/>
    </row>
    <row r="114" customFormat="false" ht="15.75" hidden="false" customHeight="true" outlineLevel="0" collapsed="false">
      <c r="A114" s="135"/>
      <c r="B114" s="135"/>
      <c r="C114" s="182"/>
      <c r="D114" s="135"/>
      <c r="E114" s="135"/>
      <c r="F114" s="135"/>
      <c r="G114" s="135"/>
      <c r="H114" s="189"/>
      <c r="I114" s="135"/>
      <c r="J114" s="135"/>
      <c r="K114" s="135"/>
      <c r="L114" s="135"/>
      <c r="M114" s="135"/>
      <c r="N114" s="135"/>
      <c r="O114" s="135"/>
      <c r="P114" s="135"/>
      <c r="Q114" s="189"/>
      <c r="R114" s="135"/>
      <c r="S114" s="135"/>
      <c r="T114" s="135"/>
      <c r="U114" s="135"/>
      <c r="V114" s="135"/>
    </row>
    <row r="115" customFormat="false" ht="15.75" hidden="false" customHeight="true" outlineLevel="0" collapsed="false">
      <c r="A115" s="135"/>
      <c r="B115" s="135"/>
      <c r="C115" s="182"/>
      <c r="D115" s="135"/>
      <c r="E115" s="135"/>
      <c r="F115" s="135"/>
      <c r="G115" s="135"/>
      <c r="H115" s="189"/>
      <c r="I115" s="135"/>
      <c r="J115" s="135"/>
      <c r="K115" s="135"/>
      <c r="L115" s="135"/>
      <c r="M115" s="135"/>
      <c r="N115" s="135"/>
      <c r="O115" s="135"/>
      <c r="P115" s="135"/>
      <c r="Q115" s="189"/>
      <c r="R115" s="135"/>
      <c r="S115" s="135"/>
      <c r="T115" s="135"/>
      <c r="U115" s="135"/>
      <c r="V115" s="135"/>
    </row>
    <row r="116" customFormat="false" ht="15.75" hidden="false" customHeight="true" outlineLevel="0" collapsed="false">
      <c r="A116" s="135"/>
      <c r="B116" s="135"/>
      <c r="C116" s="182"/>
      <c r="D116" s="135"/>
      <c r="E116" s="135"/>
      <c r="F116" s="135"/>
      <c r="G116" s="135"/>
      <c r="H116" s="189"/>
      <c r="I116" s="135"/>
      <c r="J116" s="135"/>
      <c r="K116" s="135"/>
      <c r="L116" s="135"/>
      <c r="M116" s="135"/>
      <c r="N116" s="135"/>
      <c r="O116" s="135"/>
      <c r="P116" s="135"/>
      <c r="Q116" s="189"/>
      <c r="R116" s="135"/>
      <c r="S116" s="135"/>
      <c r="T116" s="135"/>
      <c r="U116" s="135"/>
      <c r="V116" s="135"/>
    </row>
    <row r="117" customFormat="false" ht="15.75" hidden="false" customHeight="true" outlineLevel="0" collapsed="false">
      <c r="A117" s="135"/>
      <c r="B117" s="135"/>
      <c r="C117" s="182"/>
      <c r="D117" s="135"/>
      <c r="E117" s="135"/>
      <c r="F117" s="135"/>
      <c r="G117" s="135"/>
      <c r="H117" s="189"/>
      <c r="I117" s="135"/>
      <c r="J117" s="135"/>
      <c r="K117" s="135"/>
      <c r="L117" s="135"/>
      <c r="M117" s="135"/>
      <c r="N117" s="135"/>
      <c r="O117" s="135"/>
      <c r="P117" s="135"/>
      <c r="Q117" s="189"/>
      <c r="R117" s="135"/>
      <c r="S117" s="135"/>
      <c r="T117" s="135"/>
      <c r="U117" s="135"/>
      <c r="V117" s="135"/>
    </row>
    <row r="118" customFormat="false" ht="15.75" hidden="false" customHeight="true" outlineLevel="0" collapsed="false">
      <c r="A118" s="135"/>
      <c r="B118" s="135"/>
      <c r="C118" s="182"/>
      <c r="D118" s="135"/>
      <c r="E118" s="135"/>
      <c r="F118" s="135"/>
      <c r="G118" s="135"/>
      <c r="H118" s="189"/>
      <c r="I118" s="135"/>
      <c r="J118" s="135"/>
      <c r="K118" s="135"/>
      <c r="L118" s="135"/>
      <c r="M118" s="135"/>
      <c r="N118" s="135"/>
      <c r="O118" s="135"/>
      <c r="P118" s="135"/>
      <c r="Q118" s="189"/>
      <c r="R118" s="135"/>
      <c r="S118" s="135"/>
      <c r="T118" s="135"/>
      <c r="U118" s="135"/>
      <c r="V118" s="135"/>
    </row>
    <row r="119" customFormat="false" ht="15.75" hidden="false" customHeight="true" outlineLevel="0" collapsed="false">
      <c r="A119" s="135"/>
      <c r="B119" s="135"/>
      <c r="C119" s="182"/>
      <c r="D119" s="135"/>
      <c r="E119" s="135"/>
      <c r="F119" s="135"/>
      <c r="G119" s="135"/>
      <c r="H119" s="189"/>
      <c r="I119" s="135"/>
      <c r="J119" s="135"/>
      <c r="K119" s="135"/>
      <c r="L119" s="135"/>
      <c r="M119" s="135"/>
      <c r="N119" s="135"/>
      <c r="O119" s="135"/>
      <c r="P119" s="135"/>
      <c r="Q119" s="189"/>
      <c r="R119" s="135"/>
      <c r="S119" s="135"/>
      <c r="T119" s="135"/>
      <c r="U119" s="135"/>
      <c r="V119" s="135"/>
    </row>
    <row r="120" customFormat="false" ht="15.75" hidden="false" customHeight="true" outlineLevel="0" collapsed="false">
      <c r="A120" s="135"/>
      <c r="B120" s="135"/>
      <c r="C120" s="182"/>
      <c r="D120" s="135"/>
      <c r="E120" s="135"/>
      <c r="F120" s="135"/>
      <c r="G120" s="135"/>
      <c r="H120" s="189"/>
      <c r="I120" s="135"/>
      <c r="J120" s="135"/>
      <c r="K120" s="135"/>
      <c r="L120" s="135"/>
      <c r="M120" s="135"/>
      <c r="N120" s="135"/>
      <c r="O120" s="135"/>
      <c r="P120" s="135"/>
      <c r="Q120" s="189"/>
      <c r="R120" s="135"/>
      <c r="S120" s="135"/>
      <c r="T120" s="135"/>
      <c r="U120" s="135"/>
      <c r="V120" s="135"/>
    </row>
    <row r="121" customFormat="false" ht="15.75" hidden="false" customHeight="true" outlineLevel="0" collapsed="false">
      <c r="A121" s="135"/>
      <c r="B121" s="135"/>
      <c r="C121" s="182"/>
      <c r="D121" s="135"/>
      <c r="E121" s="135"/>
      <c r="F121" s="135"/>
      <c r="G121" s="135"/>
      <c r="H121" s="189"/>
      <c r="I121" s="135"/>
      <c r="J121" s="135"/>
      <c r="K121" s="135"/>
      <c r="L121" s="135"/>
      <c r="M121" s="135"/>
      <c r="N121" s="135"/>
      <c r="O121" s="135"/>
      <c r="P121" s="135"/>
      <c r="Q121" s="189"/>
      <c r="R121" s="135"/>
      <c r="S121" s="135"/>
      <c r="T121" s="135"/>
      <c r="U121" s="135"/>
      <c r="V121" s="135"/>
    </row>
    <row r="122" customFormat="false" ht="15.75" hidden="false" customHeight="true" outlineLevel="0" collapsed="false">
      <c r="A122" s="135"/>
      <c r="B122" s="135"/>
      <c r="C122" s="182"/>
      <c r="D122" s="135"/>
      <c r="E122" s="135"/>
      <c r="F122" s="135"/>
      <c r="G122" s="135"/>
      <c r="H122" s="189"/>
      <c r="I122" s="135"/>
      <c r="J122" s="135"/>
      <c r="K122" s="135"/>
      <c r="L122" s="135"/>
      <c r="M122" s="135"/>
      <c r="N122" s="135"/>
      <c r="O122" s="135"/>
      <c r="P122" s="135"/>
      <c r="Q122" s="189"/>
      <c r="R122" s="135"/>
      <c r="S122" s="135"/>
      <c r="T122" s="135"/>
      <c r="U122" s="135"/>
      <c r="V122" s="135"/>
    </row>
    <row r="123" customFormat="false" ht="15.75" hidden="false" customHeight="true" outlineLevel="0" collapsed="false">
      <c r="A123" s="135"/>
      <c r="B123" s="135"/>
      <c r="C123" s="182"/>
      <c r="D123" s="135"/>
      <c r="E123" s="135"/>
      <c r="F123" s="135"/>
      <c r="G123" s="135"/>
      <c r="H123" s="189"/>
      <c r="I123" s="135"/>
      <c r="J123" s="135"/>
      <c r="K123" s="135"/>
      <c r="L123" s="135"/>
      <c r="M123" s="135"/>
      <c r="N123" s="135"/>
      <c r="O123" s="135"/>
      <c r="P123" s="135"/>
      <c r="Q123" s="189"/>
      <c r="R123" s="135"/>
      <c r="S123" s="135"/>
      <c r="T123" s="135"/>
      <c r="U123" s="135"/>
      <c r="V123" s="135"/>
    </row>
    <row r="124" customFormat="false" ht="15.75" hidden="false" customHeight="true" outlineLevel="0" collapsed="false">
      <c r="A124" s="135"/>
      <c r="B124" s="135"/>
      <c r="C124" s="182"/>
      <c r="D124" s="135"/>
      <c r="E124" s="135"/>
      <c r="F124" s="135"/>
      <c r="G124" s="135"/>
      <c r="H124" s="189"/>
      <c r="I124" s="135"/>
      <c r="J124" s="135"/>
      <c r="K124" s="135"/>
      <c r="L124" s="135"/>
      <c r="M124" s="135"/>
      <c r="N124" s="135"/>
      <c r="O124" s="135"/>
      <c r="P124" s="135"/>
      <c r="Q124" s="189"/>
      <c r="R124" s="135"/>
      <c r="S124" s="135"/>
      <c r="T124" s="135"/>
      <c r="U124" s="135"/>
      <c r="V124" s="135"/>
    </row>
    <row r="125" customFormat="false" ht="15.75" hidden="false" customHeight="true" outlineLevel="0" collapsed="false">
      <c r="A125" s="135"/>
      <c r="B125" s="135"/>
      <c r="C125" s="182"/>
      <c r="D125" s="135"/>
      <c r="E125" s="135"/>
      <c r="F125" s="135"/>
      <c r="G125" s="135"/>
      <c r="H125" s="189"/>
      <c r="I125" s="135"/>
      <c r="J125" s="135"/>
      <c r="K125" s="135"/>
      <c r="L125" s="135"/>
      <c r="M125" s="135"/>
      <c r="N125" s="135"/>
      <c r="O125" s="135"/>
      <c r="P125" s="135"/>
      <c r="Q125" s="189"/>
      <c r="R125" s="135"/>
      <c r="S125" s="135"/>
      <c r="T125" s="135"/>
      <c r="U125" s="135"/>
      <c r="V125" s="135"/>
    </row>
    <row r="126" customFormat="false" ht="15.75" hidden="false" customHeight="true" outlineLevel="0" collapsed="false">
      <c r="A126" s="135"/>
      <c r="B126" s="135"/>
      <c r="C126" s="182"/>
      <c r="D126" s="135"/>
      <c r="E126" s="135"/>
      <c r="F126" s="135"/>
      <c r="G126" s="135"/>
      <c r="H126" s="189"/>
      <c r="I126" s="135"/>
      <c r="J126" s="135"/>
      <c r="K126" s="135"/>
      <c r="L126" s="135"/>
      <c r="M126" s="135"/>
      <c r="N126" s="135"/>
      <c r="O126" s="135"/>
      <c r="P126" s="135"/>
      <c r="Q126" s="189"/>
      <c r="R126" s="135"/>
      <c r="S126" s="135"/>
      <c r="T126" s="135"/>
      <c r="U126" s="135"/>
      <c r="V126" s="135"/>
    </row>
    <row r="127" customFormat="false" ht="15.75" hidden="false" customHeight="true" outlineLevel="0" collapsed="false">
      <c r="A127" s="135"/>
      <c r="B127" s="135"/>
      <c r="C127" s="182"/>
      <c r="D127" s="135"/>
      <c r="E127" s="135"/>
      <c r="F127" s="135"/>
      <c r="G127" s="135"/>
      <c r="H127" s="189"/>
      <c r="I127" s="135"/>
      <c r="J127" s="135"/>
      <c r="K127" s="135"/>
      <c r="L127" s="135"/>
      <c r="M127" s="135"/>
      <c r="N127" s="135"/>
      <c r="O127" s="135"/>
      <c r="P127" s="135"/>
      <c r="Q127" s="189"/>
      <c r="R127" s="135"/>
      <c r="S127" s="135"/>
      <c r="T127" s="135"/>
      <c r="U127" s="135"/>
      <c r="V127" s="135"/>
    </row>
    <row r="128" customFormat="false" ht="15.75" hidden="false" customHeight="true" outlineLevel="0" collapsed="false">
      <c r="A128" s="135"/>
      <c r="B128" s="135"/>
      <c r="C128" s="182"/>
      <c r="D128" s="135"/>
      <c r="E128" s="135"/>
      <c r="F128" s="135"/>
      <c r="G128" s="135"/>
      <c r="H128" s="189"/>
      <c r="I128" s="135"/>
      <c r="J128" s="135"/>
      <c r="K128" s="135"/>
      <c r="L128" s="135"/>
      <c r="M128" s="135"/>
      <c r="N128" s="135"/>
      <c r="O128" s="135"/>
      <c r="P128" s="135"/>
      <c r="Q128" s="189"/>
      <c r="R128" s="135"/>
      <c r="S128" s="135"/>
      <c r="T128" s="135"/>
      <c r="U128" s="135"/>
      <c r="V128" s="135"/>
    </row>
    <row r="129" customFormat="false" ht="15.75" hidden="false" customHeight="true" outlineLevel="0" collapsed="false">
      <c r="A129" s="135"/>
      <c r="B129" s="135"/>
      <c r="C129" s="182"/>
      <c r="D129" s="135"/>
      <c r="E129" s="135"/>
      <c r="F129" s="135"/>
      <c r="G129" s="135"/>
      <c r="H129" s="189"/>
      <c r="I129" s="135"/>
      <c r="J129" s="135"/>
      <c r="K129" s="135"/>
      <c r="L129" s="135"/>
      <c r="M129" s="135"/>
      <c r="N129" s="135"/>
      <c r="O129" s="135"/>
      <c r="P129" s="135"/>
      <c r="Q129" s="189"/>
      <c r="R129" s="135"/>
      <c r="S129" s="135"/>
      <c r="T129" s="135"/>
      <c r="U129" s="135"/>
      <c r="V129" s="135"/>
    </row>
    <row r="130" customFormat="false" ht="15.75" hidden="false" customHeight="true" outlineLevel="0" collapsed="false">
      <c r="A130" s="135"/>
      <c r="B130" s="135"/>
      <c r="C130" s="182"/>
      <c r="D130" s="135"/>
      <c r="E130" s="135"/>
      <c r="F130" s="135"/>
      <c r="G130" s="135"/>
      <c r="H130" s="189"/>
      <c r="I130" s="135"/>
      <c r="J130" s="135"/>
      <c r="K130" s="135"/>
      <c r="L130" s="135"/>
      <c r="M130" s="135"/>
      <c r="N130" s="135"/>
      <c r="O130" s="135"/>
      <c r="P130" s="135"/>
      <c r="Q130" s="189"/>
      <c r="R130" s="135"/>
      <c r="S130" s="135"/>
      <c r="T130" s="135"/>
      <c r="U130" s="135"/>
      <c r="V130" s="135"/>
    </row>
    <row r="131" customFormat="false" ht="15.75" hidden="false" customHeight="true" outlineLevel="0" collapsed="false">
      <c r="A131" s="135"/>
      <c r="B131" s="135"/>
      <c r="C131" s="182"/>
      <c r="D131" s="135"/>
      <c r="E131" s="135"/>
      <c r="F131" s="135"/>
      <c r="G131" s="135"/>
      <c r="H131" s="189"/>
      <c r="I131" s="135"/>
      <c r="J131" s="135"/>
      <c r="K131" s="135"/>
      <c r="L131" s="135"/>
      <c r="M131" s="135"/>
      <c r="N131" s="135"/>
      <c r="O131" s="135"/>
      <c r="P131" s="135"/>
      <c r="Q131" s="189"/>
      <c r="R131" s="135"/>
      <c r="S131" s="135"/>
      <c r="T131" s="135"/>
      <c r="U131" s="135"/>
      <c r="V131" s="135"/>
    </row>
    <row r="132" customFormat="false" ht="15.75" hidden="false" customHeight="true" outlineLevel="0" collapsed="false">
      <c r="A132" s="135"/>
      <c r="B132" s="135"/>
      <c r="C132" s="182"/>
      <c r="D132" s="135"/>
      <c r="E132" s="135"/>
      <c r="F132" s="135"/>
      <c r="G132" s="135"/>
      <c r="H132" s="189"/>
      <c r="I132" s="135"/>
      <c r="J132" s="135"/>
      <c r="K132" s="135"/>
      <c r="L132" s="135"/>
      <c r="M132" s="135"/>
      <c r="N132" s="135"/>
      <c r="O132" s="135"/>
      <c r="P132" s="135"/>
      <c r="Q132" s="189"/>
      <c r="R132" s="135"/>
      <c r="S132" s="135"/>
      <c r="T132" s="135"/>
      <c r="U132" s="135"/>
      <c r="V132" s="135"/>
    </row>
    <row r="133" customFormat="false" ht="15.75" hidden="false" customHeight="true" outlineLevel="0" collapsed="false">
      <c r="A133" s="135"/>
      <c r="B133" s="135"/>
      <c r="C133" s="182"/>
      <c r="D133" s="135"/>
      <c r="E133" s="135"/>
      <c r="F133" s="135"/>
      <c r="G133" s="135"/>
      <c r="H133" s="189"/>
      <c r="I133" s="135"/>
      <c r="J133" s="135"/>
      <c r="K133" s="135"/>
      <c r="L133" s="135"/>
      <c r="M133" s="135"/>
      <c r="N133" s="135"/>
      <c r="O133" s="135"/>
      <c r="P133" s="135"/>
      <c r="Q133" s="189"/>
      <c r="R133" s="135"/>
      <c r="S133" s="135"/>
      <c r="T133" s="135"/>
      <c r="U133" s="135"/>
      <c r="V133" s="135"/>
    </row>
    <row r="134" customFormat="false" ht="15.75" hidden="false" customHeight="true" outlineLevel="0" collapsed="false">
      <c r="A134" s="135"/>
      <c r="B134" s="135"/>
      <c r="C134" s="182"/>
      <c r="D134" s="135"/>
      <c r="E134" s="135"/>
      <c r="F134" s="135"/>
      <c r="G134" s="135"/>
      <c r="H134" s="189"/>
      <c r="I134" s="135"/>
      <c r="J134" s="135"/>
      <c r="K134" s="135"/>
      <c r="L134" s="135"/>
      <c r="M134" s="135"/>
      <c r="N134" s="135"/>
      <c r="O134" s="135"/>
      <c r="P134" s="135"/>
      <c r="Q134" s="189"/>
      <c r="R134" s="135"/>
      <c r="S134" s="135"/>
      <c r="T134" s="135"/>
      <c r="U134" s="135"/>
      <c r="V134" s="135"/>
    </row>
    <row r="135" customFormat="false" ht="15.75" hidden="false" customHeight="true" outlineLevel="0" collapsed="false">
      <c r="A135" s="135"/>
      <c r="B135" s="135"/>
      <c r="C135" s="182"/>
      <c r="D135" s="135"/>
      <c r="E135" s="135"/>
      <c r="F135" s="135"/>
      <c r="G135" s="135"/>
      <c r="H135" s="189"/>
      <c r="I135" s="135"/>
      <c r="J135" s="135"/>
      <c r="K135" s="135"/>
      <c r="L135" s="135"/>
      <c r="M135" s="135"/>
      <c r="N135" s="135"/>
      <c r="O135" s="135"/>
      <c r="P135" s="135"/>
      <c r="Q135" s="189"/>
      <c r="R135" s="135"/>
      <c r="S135" s="135"/>
      <c r="T135" s="135"/>
      <c r="U135" s="135"/>
      <c r="V135" s="135"/>
    </row>
    <row r="136" customFormat="false" ht="15.75" hidden="false" customHeight="true" outlineLevel="0" collapsed="false">
      <c r="A136" s="135"/>
      <c r="B136" s="135"/>
      <c r="C136" s="182"/>
      <c r="D136" s="135"/>
      <c r="E136" s="135"/>
      <c r="F136" s="135"/>
      <c r="G136" s="135"/>
      <c r="H136" s="189"/>
      <c r="I136" s="135"/>
      <c r="J136" s="135"/>
      <c r="K136" s="135"/>
      <c r="L136" s="135"/>
      <c r="M136" s="135"/>
      <c r="N136" s="135"/>
      <c r="O136" s="135"/>
      <c r="P136" s="135"/>
      <c r="Q136" s="189"/>
      <c r="R136" s="135"/>
      <c r="S136" s="135"/>
      <c r="T136" s="135"/>
      <c r="U136" s="135"/>
      <c r="V136" s="135"/>
    </row>
    <row r="137" customFormat="false" ht="15.75" hidden="false" customHeight="true" outlineLevel="0" collapsed="false">
      <c r="A137" s="135"/>
      <c r="B137" s="135"/>
      <c r="C137" s="182"/>
      <c r="D137" s="135"/>
      <c r="E137" s="135"/>
      <c r="F137" s="135"/>
      <c r="G137" s="135"/>
      <c r="H137" s="189"/>
      <c r="I137" s="135"/>
      <c r="J137" s="135"/>
      <c r="K137" s="135"/>
      <c r="L137" s="135"/>
      <c r="M137" s="135"/>
      <c r="N137" s="135"/>
      <c r="O137" s="135"/>
      <c r="P137" s="135"/>
      <c r="Q137" s="189"/>
      <c r="R137" s="135"/>
      <c r="S137" s="135"/>
      <c r="T137" s="135"/>
      <c r="U137" s="135"/>
      <c r="V137" s="135"/>
    </row>
    <row r="138" customFormat="false" ht="15.75" hidden="false" customHeight="true" outlineLevel="0" collapsed="false">
      <c r="A138" s="135"/>
      <c r="B138" s="135"/>
      <c r="C138" s="182"/>
      <c r="D138" s="135"/>
      <c r="E138" s="135"/>
      <c r="F138" s="135"/>
      <c r="G138" s="135"/>
      <c r="H138" s="189"/>
      <c r="I138" s="135"/>
      <c r="J138" s="135"/>
      <c r="K138" s="135"/>
      <c r="L138" s="135"/>
      <c r="M138" s="135"/>
      <c r="N138" s="135"/>
      <c r="O138" s="135"/>
      <c r="P138" s="135"/>
      <c r="Q138" s="189"/>
      <c r="R138" s="135"/>
      <c r="S138" s="135"/>
      <c r="T138" s="135"/>
      <c r="U138" s="135"/>
      <c r="V138" s="135"/>
    </row>
    <row r="139" customFormat="false" ht="15.75" hidden="false" customHeight="true" outlineLevel="0" collapsed="false">
      <c r="A139" s="135"/>
      <c r="B139" s="135"/>
      <c r="C139" s="182"/>
      <c r="D139" s="135"/>
      <c r="E139" s="135"/>
      <c r="F139" s="135"/>
      <c r="G139" s="135"/>
      <c r="H139" s="189"/>
      <c r="I139" s="135"/>
      <c r="J139" s="135"/>
      <c r="K139" s="135"/>
      <c r="L139" s="135"/>
      <c r="M139" s="135"/>
      <c r="N139" s="135"/>
      <c r="O139" s="135"/>
      <c r="P139" s="135"/>
      <c r="Q139" s="189"/>
      <c r="R139" s="135"/>
      <c r="S139" s="135"/>
      <c r="T139" s="135"/>
      <c r="U139" s="135"/>
      <c r="V139" s="135"/>
    </row>
    <row r="140" customFormat="false" ht="15.75" hidden="false" customHeight="true" outlineLevel="0" collapsed="false">
      <c r="A140" s="135"/>
      <c r="B140" s="135"/>
      <c r="C140" s="182"/>
      <c r="D140" s="135"/>
      <c r="E140" s="135"/>
      <c r="F140" s="135"/>
      <c r="G140" s="135"/>
      <c r="H140" s="189"/>
      <c r="I140" s="135"/>
      <c r="J140" s="135"/>
      <c r="K140" s="135"/>
      <c r="L140" s="135"/>
      <c r="M140" s="135"/>
      <c r="N140" s="135"/>
      <c r="O140" s="135"/>
      <c r="P140" s="135"/>
      <c r="Q140" s="189"/>
      <c r="R140" s="135"/>
      <c r="S140" s="135"/>
      <c r="T140" s="135"/>
      <c r="U140" s="135"/>
      <c r="V140" s="135"/>
    </row>
    <row r="141" customFormat="false" ht="15.75" hidden="false" customHeight="true" outlineLevel="0" collapsed="false">
      <c r="A141" s="135"/>
      <c r="B141" s="135"/>
      <c r="C141" s="182"/>
      <c r="D141" s="135"/>
      <c r="E141" s="135"/>
      <c r="F141" s="135"/>
      <c r="G141" s="135"/>
      <c r="H141" s="189"/>
      <c r="I141" s="135"/>
      <c r="J141" s="135"/>
      <c r="K141" s="135"/>
      <c r="L141" s="135"/>
      <c r="M141" s="135"/>
      <c r="N141" s="135"/>
      <c r="O141" s="135"/>
      <c r="P141" s="135"/>
      <c r="Q141" s="189"/>
      <c r="R141" s="135"/>
      <c r="S141" s="135"/>
      <c r="T141" s="135"/>
      <c r="U141" s="135"/>
      <c r="V141" s="135"/>
    </row>
    <row r="142" customFormat="false" ht="15.75" hidden="false" customHeight="true" outlineLevel="0" collapsed="false">
      <c r="A142" s="135"/>
      <c r="B142" s="135"/>
      <c r="C142" s="182"/>
      <c r="D142" s="135"/>
      <c r="E142" s="135"/>
      <c r="F142" s="135"/>
      <c r="G142" s="135"/>
      <c r="H142" s="189"/>
      <c r="I142" s="135"/>
      <c r="J142" s="135"/>
      <c r="K142" s="135"/>
      <c r="L142" s="135"/>
      <c r="M142" s="135"/>
      <c r="N142" s="135"/>
      <c r="O142" s="135"/>
      <c r="P142" s="135"/>
      <c r="Q142" s="189"/>
      <c r="R142" s="135"/>
      <c r="S142" s="135"/>
      <c r="T142" s="135"/>
      <c r="U142" s="135"/>
      <c r="V142" s="135"/>
    </row>
    <row r="143" customFormat="false" ht="15.75" hidden="false" customHeight="true" outlineLevel="0" collapsed="false">
      <c r="A143" s="135"/>
      <c r="B143" s="135"/>
      <c r="C143" s="182"/>
      <c r="D143" s="135"/>
      <c r="E143" s="135"/>
      <c r="F143" s="135"/>
      <c r="G143" s="135"/>
      <c r="H143" s="189"/>
      <c r="I143" s="135"/>
      <c r="J143" s="135"/>
      <c r="K143" s="135"/>
      <c r="L143" s="135"/>
      <c r="M143" s="135"/>
      <c r="N143" s="135"/>
      <c r="O143" s="135"/>
      <c r="P143" s="135"/>
      <c r="Q143" s="189"/>
      <c r="R143" s="135"/>
      <c r="S143" s="135"/>
      <c r="T143" s="135"/>
      <c r="U143" s="135"/>
      <c r="V143" s="135"/>
    </row>
    <row r="144" customFormat="false" ht="15.75" hidden="false" customHeight="true" outlineLevel="0" collapsed="false">
      <c r="A144" s="135"/>
      <c r="B144" s="135"/>
      <c r="C144" s="182"/>
      <c r="D144" s="135"/>
      <c r="E144" s="135"/>
      <c r="F144" s="135"/>
      <c r="G144" s="135"/>
      <c r="H144" s="189"/>
      <c r="I144" s="135"/>
      <c r="J144" s="135"/>
      <c r="K144" s="135"/>
      <c r="L144" s="135"/>
      <c r="M144" s="135"/>
      <c r="N144" s="135"/>
      <c r="O144" s="135"/>
      <c r="P144" s="135"/>
      <c r="Q144" s="189"/>
      <c r="R144" s="135"/>
      <c r="S144" s="135"/>
      <c r="T144" s="135"/>
      <c r="U144" s="135"/>
      <c r="V144" s="135"/>
    </row>
    <row r="145" customFormat="false" ht="15.75" hidden="false" customHeight="true" outlineLevel="0" collapsed="false">
      <c r="A145" s="135"/>
      <c r="B145" s="135"/>
      <c r="C145" s="182"/>
      <c r="D145" s="135"/>
      <c r="E145" s="135"/>
      <c r="F145" s="135"/>
      <c r="G145" s="135"/>
      <c r="H145" s="189"/>
      <c r="I145" s="135"/>
      <c r="J145" s="135"/>
      <c r="K145" s="135"/>
      <c r="L145" s="135"/>
      <c r="M145" s="135"/>
      <c r="N145" s="135"/>
      <c r="O145" s="135"/>
      <c r="P145" s="135"/>
      <c r="Q145" s="189"/>
      <c r="R145" s="135"/>
      <c r="S145" s="135"/>
      <c r="T145" s="135"/>
      <c r="U145" s="135"/>
      <c r="V145" s="135"/>
    </row>
    <row r="146" customFormat="false" ht="15.75" hidden="false" customHeight="true" outlineLevel="0" collapsed="false">
      <c r="A146" s="135"/>
      <c r="B146" s="135"/>
      <c r="C146" s="182"/>
      <c r="D146" s="135"/>
      <c r="E146" s="135"/>
      <c r="F146" s="135"/>
      <c r="G146" s="135"/>
      <c r="H146" s="189"/>
      <c r="I146" s="135"/>
      <c r="J146" s="135"/>
      <c r="K146" s="135"/>
      <c r="L146" s="135"/>
      <c r="M146" s="135"/>
      <c r="N146" s="135"/>
      <c r="O146" s="135"/>
      <c r="P146" s="135"/>
      <c r="Q146" s="189"/>
      <c r="R146" s="135"/>
      <c r="S146" s="135"/>
      <c r="T146" s="135"/>
      <c r="U146" s="135"/>
      <c r="V146" s="135"/>
    </row>
    <row r="147" customFormat="false" ht="15.75" hidden="false" customHeight="true" outlineLevel="0" collapsed="false">
      <c r="A147" s="135"/>
      <c r="B147" s="135"/>
      <c r="C147" s="182"/>
      <c r="D147" s="135"/>
      <c r="E147" s="135"/>
      <c r="F147" s="135"/>
      <c r="G147" s="135"/>
      <c r="H147" s="189"/>
      <c r="I147" s="135"/>
      <c r="J147" s="135"/>
      <c r="K147" s="135"/>
      <c r="L147" s="135"/>
      <c r="M147" s="135"/>
      <c r="N147" s="135"/>
      <c r="O147" s="135"/>
      <c r="P147" s="135"/>
      <c r="Q147" s="189"/>
      <c r="R147" s="135"/>
      <c r="S147" s="135"/>
      <c r="T147" s="135"/>
      <c r="U147" s="135"/>
      <c r="V147" s="135"/>
    </row>
    <row r="148" customFormat="false" ht="15.75" hidden="false" customHeight="true" outlineLevel="0" collapsed="false">
      <c r="A148" s="135"/>
      <c r="B148" s="135"/>
      <c r="C148" s="182"/>
      <c r="D148" s="135"/>
      <c r="E148" s="135"/>
      <c r="F148" s="135"/>
      <c r="G148" s="135"/>
      <c r="H148" s="189"/>
      <c r="I148" s="135"/>
      <c r="J148" s="135"/>
      <c r="K148" s="135"/>
      <c r="L148" s="135"/>
      <c r="M148" s="135"/>
      <c r="N148" s="135"/>
      <c r="O148" s="135"/>
      <c r="P148" s="135"/>
      <c r="Q148" s="189"/>
      <c r="R148" s="135"/>
      <c r="S148" s="135"/>
      <c r="T148" s="135"/>
      <c r="U148" s="135"/>
      <c r="V148" s="135"/>
    </row>
    <row r="149" customFormat="false" ht="15.75" hidden="false" customHeight="true" outlineLevel="0" collapsed="false">
      <c r="A149" s="135"/>
      <c r="B149" s="135"/>
      <c r="C149" s="182"/>
      <c r="D149" s="135"/>
      <c r="E149" s="135"/>
      <c r="F149" s="135"/>
      <c r="G149" s="135"/>
      <c r="H149" s="189"/>
      <c r="I149" s="135"/>
      <c r="J149" s="135"/>
      <c r="K149" s="135"/>
      <c r="L149" s="135"/>
      <c r="M149" s="135"/>
      <c r="N149" s="135"/>
      <c r="O149" s="135"/>
      <c r="P149" s="135"/>
      <c r="Q149" s="189"/>
      <c r="R149" s="135"/>
      <c r="S149" s="135"/>
      <c r="T149" s="135"/>
      <c r="U149" s="135"/>
      <c r="V149" s="135"/>
    </row>
    <row r="150" customFormat="false" ht="15.75" hidden="false" customHeight="true" outlineLevel="0" collapsed="false">
      <c r="A150" s="135"/>
      <c r="B150" s="135"/>
      <c r="C150" s="182"/>
      <c r="D150" s="135"/>
      <c r="E150" s="135"/>
      <c r="F150" s="135"/>
      <c r="G150" s="135"/>
      <c r="H150" s="189"/>
      <c r="I150" s="135"/>
      <c r="J150" s="135"/>
      <c r="K150" s="135"/>
      <c r="L150" s="135"/>
      <c r="M150" s="135"/>
      <c r="N150" s="135"/>
      <c r="O150" s="135"/>
      <c r="P150" s="135"/>
      <c r="Q150" s="189"/>
      <c r="R150" s="135"/>
      <c r="S150" s="135"/>
      <c r="T150" s="135"/>
      <c r="U150" s="135"/>
      <c r="V150" s="135"/>
    </row>
    <row r="151" customFormat="false" ht="15.75" hidden="false" customHeight="true" outlineLevel="0" collapsed="false">
      <c r="A151" s="135"/>
      <c r="B151" s="135"/>
      <c r="C151" s="182"/>
      <c r="D151" s="135"/>
      <c r="E151" s="135"/>
      <c r="F151" s="135"/>
      <c r="G151" s="135"/>
      <c r="H151" s="189"/>
      <c r="I151" s="135"/>
      <c r="J151" s="135"/>
      <c r="K151" s="135"/>
      <c r="L151" s="135"/>
      <c r="M151" s="135"/>
      <c r="N151" s="135"/>
      <c r="O151" s="135"/>
      <c r="P151" s="135"/>
      <c r="Q151" s="189"/>
      <c r="R151" s="135"/>
      <c r="S151" s="135"/>
      <c r="T151" s="135"/>
      <c r="U151" s="135"/>
      <c r="V151" s="135"/>
    </row>
    <row r="152" customFormat="false" ht="15.75" hidden="false" customHeight="true" outlineLevel="0" collapsed="false">
      <c r="A152" s="135"/>
      <c r="B152" s="135"/>
      <c r="C152" s="182"/>
      <c r="D152" s="135"/>
      <c r="E152" s="135"/>
      <c r="F152" s="135"/>
      <c r="G152" s="135"/>
      <c r="H152" s="189"/>
      <c r="I152" s="135"/>
      <c r="J152" s="135"/>
      <c r="K152" s="135"/>
      <c r="L152" s="135"/>
      <c r="M152" s="135"/>
      <c r="N152" s="135"/>
      <c r="O152" s="135"/>
      <c r="P152" s="135"/>
      <c r="Q152" s="189"/>
      <c r="R152" s="135"/>
      <c r="S152" s="135"/>
      <c r="T152" s="135"/>
      <c r="U152" s="135"/>
      <c r="V152" s="135"/>
    </row>
    <row r="153" customFormat="false" ht="15.75" hidden="false" customHeight="true" outlineLevel="0" collapsed="false">
      <c r="A153" s="135"/>
      <c r="B153" s="135"/>
      <c r="C153" s="182"/>
      <c r="D153" s="135"/>
      <c r="E153" s="135"/>
      <c r="F153" s="135"/>
      <c r="G153" s="135"/>
      <c r="H153" s="189"/>
      <c r="I153" s="135"/>
      <c r="J153" s="135"/>
      <c r="K153" s="135"/>
      <c r="L153" s="135"/>
      <c r="M153" s="135"/>
      <c r="N153" s="135"/>
      <c r="O153" s="135"/>
      <c r="P153" s="135"/>
      <c r="Q153" s="189"/>
      <c r="R153" s="135"/>
      <c r="S153" s="135"/>
      <c r="T153" s="135"/>
      <c r="U153" s="135"/>
      <c r="V153" s="135"/>
    </row>
    <row r="154" customFormat="false" ht="15.75" hidden="false" customHeight="true" outlineLevel="0" collapsed="false">
      <c r="A154" s="135"/>
      <c r="B154" s="135"/>
      <c r="C154" s="182"/>
      <c r="D154" s="135"/>
      <c r="E154" s="135"/>
      <c r="F154" s="135"/>
      <c r="G154" s="135"/>
      <c r="H154" s="189"/>
      <c r="I154" s="135"/>
      <c r="J154" s="135"/>
      <c r="K154" s="135"/>
      <c r="L154" s="135"/>
      <c r="M154" s="135"/>
      <c r="N154" s="135"/>
      <c r="O154" s="135"/>
      <c r="P154" s="135"/>
      <c r="Q154" s="189"/>
      <c r="R154" s="135"/>
      <c r="S154" s="135"/>
      <c r="T154" s="135"/>
      <c r="U154" s="135"/>
      <c r="V154" s="135"/>
    </row>
    <row r="155" customFormat="false" ht="15.75" hidden="false" customHeight="true" outlineLevel="0" collapsed="false">
      <c r="A155" s="135"/>
      <c r="B155" s="135"/>
      <c r="C155" s="182"/>
      <c r="D155" s="135"/>
      <c r="E155" s="135"/>
      <c r="F155" s="135"/>
      <c r="G155" s="135"/>
      <c r="H155" s="189"/>
      <c r="I155" s="135"/>
      <c r="J155" s="135"/>
      <c r="K155" s="135"/>
      <c r="L155" s="135"/>
      <c r="M155" s="135"/>
      <c r="N155" s="135"/>
      <c r="O155" s="135"/>
      <c r="P155" s="135"/>
      <c r="Q155" s="189"/>
      <c r="R155" s="135"/>
      <c r="S155" s="135"/>
      <c r="T155" s="135"/>
      <c r="U155" s="135"/>
      <c r="V155" s="135"/>
    </row>
    <row r="156" customFormat="false" ht="15.75" hidden="false" customHeight="true" outlineLevel="0" collapsed="false">
      <c r="A156" s="135"/>
      <c r="B156" s="135"/>
      <c r="C156" s="182"/>
      <c r="D156" s="135"/>
      <c r="E156" s="135"/>
      <c r="F156" s="135"/>
      <c r="G156" s="135"/>
      <c r="H156" s="189"/>
      <c r="I156" s="135"/>
      <c r="J156" s="135"/>
      <c r="K156" s="135"/>
      <c r="L156" s="135"/>
      <c r="M156" s="135"/>
      <c r="N156" s="135"/>
      <c r="O156" s="135"/>
      <c r="P156" s="135"/>
      <c r="Q156" s="189"/>
      <c r="R156" s="135"/>
      <c r="S156" s="135"/>
      <c r="T156" s="135"/>
      <c r="U156" s="135"/>
      <c r="V156" s="135"/>
    </row>
    <row r="157" customFormat="false" ht="15.75" hidden="false" customHeight="true" outlineLevel="0" collapsed="false">
      <c r="A157" s="135"/>
      <c r="B157" s="135"/>
      <c r="C157" s="182"/>
      <c r="D157" s="135"/>
      <c r="E157" s="135"/>
      <c r="F157" s="135"/>
      <c r="G157" s="135"/>
      <c r="H157" s="189"/>
      <c r="I157" s="135"/>
      <c r="J157" s="135"/>
      <c r="K157" s="135"/>
      <c r="L157" s="135"/>
      <c r="M157" s="135"/>
      <c r="N157" s="135"/>
      <c r="O157" s="135"/>
      <c r="P157" s="135"/>
      <c r="Q157" s="189"/>
      <c r="R157" s="135"/>
      <c r="S157" s="135"/>
      <c r="T157" s="135"/>
      <c r="U157" s="135"/>
      <c r="V157" s="135"/>
    </row>
    <row r="158" customFormat="false" ht="15.75" hidden="false" customHeight="true" outlineLevel="0" collapsed="false">
      <c r="A158" s="135"/>
      <c r="B158" s="135"/>
      <c r="C158" s="182"/>
      <c r="D158" s="135"/>
      <c r="E158" s="135"/>
      <c r="F158" s="135"/>
      <c r="G158" s="135"/>
      <c r="H158" s="189"/>
      <c r="I158" s="135"/>
      <c r="J158" s="135"/>
      <c r="K158" s="135"/>
      <c r="L158" s="135"/>
      <c r="M158" s="135"/>
      <c r="N158" s="135"/>
      <c r="O158" s="135"/>
      <c r="P158" s="135"/>
      <c r="Q158" s="189"/>
      <c r="R158" s="135"/>
      <c r="S158" s="135"/>
      <c r="T158" s="135"/>
      <c r="U158" s="135"/>
      <c r="V158" s="135"/>
    </row>
    <row r="159" customFormat="false" ht="15.75" hidden="false" customHeight="true" outlineLevel="0" collapsed="false">
      <c r="A159" s="135"/>
      <c r="B159" s="135"/>
      <c r="C159" s="182"/>
      <c r="D159" s="135"/>
      <c r="E159" s="135"/>
      <c r="F159" s="135"/>
      <c r="G159" s="135"/>
      <c r="H159" s="189"/>
      <c r="I159" s="135"/>
      <c r="J159" s="135"/>
      <c r="K159" s="135"/>
      <c r="L159" s="135"/>
      <c r="M159" s="135"/>
      <c r="N159" s="135"/>
      <c r="O159" s="135"/>
      <c r="P159" s="135"/>
      <c r="Q159" s="189"/>
      <c r="R159" s="135"/>
      <c r="S159" s="135"/>
      <c r="T159" s="135"/>
      <c r="U159" s="135"/>
      <c r="V159" s="135"/>
    </row>
    <row r="160" customFormat="false" ht="15.75" hidden="false" customHeight="true" outlineLevel="0" collapsed="false">
      <c r="A160" s="135"/>
      <c r="B160" s="135"/>
      <c r="C160" s="182"/>
      <c r="D160" s="135"/>
      <c r="E160" s="135"/>
      <c r="F160" s="135"/>
      <c r="G160" s="135"/>
      <c r="H160" s="189"/>
      <c r="I160" s="135"/>
      <c r="J160" s="135"/>
      <c r="K160" s="135"/>
      <c r="L160" s="135"/>
      <c r="M160" s="135"/>
      <c r="N160" s="135"/>
      <c r="O160" s="135"/>
      <c r="P160" s="135"/>
      <c r="Q160" s="189"/>
      <c r="R160" s="135"/>
      <c r="S160" s="135"/>
      <c r="T160" s="135"/>
      <c r="U160" s="135"/>
      <c r="V160" s="135"/>
    </row>
    <row r="161" customFormat="false" ht="15.75" hidden="false" customHeight="true" outlineLevel="0" collapsed="false">
      <c r="A161" s="135"/>
      <c r="B161" s="135"/>
      <c r="C161" s="182"/>
      <c r="D161" s="135"/>
      <c r="E161" s="135"/>
      <c r="F161" s="135"/>
      <c r="G161" s="135"/>
      <c r="H161" s="189"/>
      <c r="I161" s="135"/>
      <c r="J161" s="135"/>
      <c r="K161" s="135"/>
      <c r="L161" s="135"/>
      <c r="M161" s="135"/>
      <c r="N161" s="135"/>
      <c r="O161" s="135"/>
      <c r="P161" s="135"/>
      <c r="Q161" s="189"/>
      <c r="R161" s="135"/>
      <c r="S161" s="135"/>
      <c r="T161" s="135"/>
      <c r="U161" s="135"/>
      <c r="V161" s="135"/>
    </row>
    <row r="162" customFormat="false" ht="15.75" hidden="false" customHeight="true" outlineLevel="0" collapsed="false">
      <c r="A162" s="135"/>
      <c r="B162" s="135"/>
      <c r="C162" s="182"/>
      <c r="D162" s="135"/>
      <c r="E162" s="135"/>
      <c r="F162" s="135"/>
      <c r="G162" s="135"/>
      <c r="H162" s="189"/>
      <c r="I162" s="135"/>
      <c r="J162" s="135"/>
      <c r="K162" s="135"/>
      <c r="L162" s="135"/>
      <c r="M162" s="135"/>
      <c r="N162" s="135"/>
      <c r="O162" s="135"/>
      <c r="P162" s="135"/>
      <c r="Q162" s="189"/>
      <c r="R162" s="135"/>
      <c r="S162" s="135"/>
      <c r="T162" s="135"/>
      <c r="U162" s="135"/>
      <c r="V162" s="135"/>
    </row>
    <row r="163" customFormat="false" ht="15.75" hidden="false" customHeight="true" outlineLevel="0" collapsed="false">
      <c r="A163" s="135"/>
      <c r="B163" s="135"/>
      <c r="C163" s="182"/>
      <c r="D163" s="135"/>
      <c r="E163" s="135"/>
      <c r="F163" s="135"/>
      <c r="G163" s="135"/>
      <c r="H163" s="189"/>
      <c r="I163" s="135"/>
      <c r="J163" s="135"/>
      <c r="K163" s="135"/>
      <c r="L163" s="135"/>
      <c r="M163" s="135"/>
      <c r="N163" s="135"/>
      <c r="O163" s="135"/>
      <c r="P163" s="135"/>
      <c r="Q163" s="189"/>
      <c r="R163" s="135"/>
      <c r="S163" s="135"/>
      <c r="T163" s="135"/>
      <c r="U163" s="135"/>
      <c r="V163" s="135"/>
    </row>
    <row r="164" customFormat="false" ht="15.75" hidden="false" customHeight="true" outlineLevel="0" collapsed="false">
      <c r="A164" s="135"/>
      <c r="B164" s="135"/>
      <c r="C164" s="182"/>
      <c r="D164" s="135"/>
      <c r="E164" s="135"/>
      <c r="F164" s="135"/>
      <c r="G164" s="135"/>
      <c r="H164" s="189"/>
      <c r="I164" s="135"/>
      <c r="J164" s="135"/>
      <c r="K164" s="135"/>
      <c r="L164" s="135"/>
      <c r="M164" s="135"/>
      <c r="N164" s="135"/>
      <c r="O164" s="135"/>
      <c r="P164" s="135"/>
      <c r="Q164" s="189"/>
      <c r="R164" s="135"/>
      <c r="S164" s="135"/>
      <c r="T164" s="135"/>
      <c r="U164" s="135"/>
      <c r="V164" s="135"/>
    </row>
    <row r="165" customFormat="false" ht="15.75" hidden="false" customHeight="true" outlineLevel="0" collapsed="false">
      <c r="A165" s="135"/>
      <c r="B165" s="135"/>
      <c r="C165" s="182"/>
      <c r="D165" s="135"/>
      <c r="E165" s="135"/>
      <c r="F165" s="135"/>
      <c r="G165" s="135"/>
      <c r="H165" s="189"/>
      <c r="I165" s="135"/>
      <c r="J165" s="135"/>
      <c r="K165" s="135"/>
      <c r="L165" s="135"/>
      <c r="M165" s="135"/>
      <c r="N165" s="135"/>
      <c r="O165" s="135"/>
      <c r="P165" s="135"/>
      <c r="Q165" s="189"/>
      <c r="R165" s="135"/>
      <c r="S165" s="135"/>
      <c r="T165" s="135"/>
      <c r="U165" s="135"/>
      <c r="V165" s="135"/>
    </row>
    <row r="166" customFormat="false" ht="15.75" hidden="false" customHeight="true" outlineLevel="0" collapsed="false">
      <c r="A166" s="135"/>
      <c r="B166" s="135"/>
      <c r="C166" s="182"/>
      <c r="D166" s="135"/>
      <c r="E166" s="135"/>
      <c r="F166" s="135"/>
      <c r="G166" s="135"/>
      <c r="H166" s="189"/>
      <c r="I166" s="135"/>
      <c r="J166" s="135"/>
      <c r="K166" s="135"/>
      <c r="L166" s="135"/>
      <c r="M166" s="135"/>
      <c r="N166" s="135"/>
      <c r="O166" s="135"/>
      <c r="P166" s="135"/>
      <c r="Q166" s="189"/>
      <c r="R166" s="135"/>
      <c r="S166" s="135"/>
      <c r="T166" s="135"/>
      <c r="U166" s="135"/>
      <c r="V166" s="135"/>
    </row>
    <row r="167" customFormat="false" ht="15.75" hidden="false" customHeight="true" outlineLevel="0" collapsed="false">
      <c r="A167" s="135"/>
      <c r="B167" s="135"/>
      <c r="C167" s="182"/>
      <c r="D167" s="135"/>
      <c r="E167" s="135"/>
      <c r="F167" s="135"/>
      <c r="G167" s="135"/>
      <c r="H167" s="189"/>
      <c r="I167" s="135"/>
      <c r="J167" s="135"/>
      <c r="K167" s="135"/>
      <c r="L167" s="135"/>
      <c r="M167" s="135"/>
      <c r="N167" s="135"/>
      <c r="O167" s="135"/>
      <c r="P167" s="135"/>
      <c r="Q167" s="189"/>
      <c r="R167" s="135"/>
      <c r="S167" s="135"/>
      <c r="T167" s="135"/>
      <c r="U167" s="135"/>
      <c r="V167" s="135"/>
    </row>
    <row r="168" customFormat="false" ht="15.75" hidden="false" customHeight="true" outlineLevel="0" collapsed="false">
      <c r="A168" s="135"/>
      <c r="B168" s="135"/>
      <c r="C168" s="182"/>
      <c r="D168" s="135"/>
      <c r="E168" s="135"/>
      <c r="F168" s="135"/>
      <c r="G168" s="135"/>
      <c r="H168" s="189"/>
      <c r="I168" s="135"/>
      <c r="J168" s="135"/>
      <c r="K168" s="135"/>
      <c r="L168" s="135"/>
      <c r="M168" s="135"/>
      <c r="N168" s="135"/>
      <c r="O168" s="135"/>
      <c r="P168" s="135"/>
      <c r="Q168" s="189"/>
      <c r="R168" s="135"/>
      <c r="S168" s="135"/>
      <c r="T168" s="135"/>
      <c r="U168" s="135"/>
      <c r="V168" s="135"/>
    </row>
    <row r="169" customFormat="false" ht="15.75" hidden="false" customHeight="true" outlineLevel="0" collapsed="false">
      <c r="A169" s="135"/>
      <c r="B169" s="135"/>
      <c r="C169" s="182"/>
      <c r="D169" s="135"/>
      <c r="E169" s="135"/>
      <c r="F169" s="135"/>
      <c r="G169" s="135"/>
      <c r="H169" s="189"/>
      <c r="I169" s="135"/>
      <c r="J169" s="135"/>
      <c r="K169" s="135"/>
      <c r="L169" s="135"/>
      <c r="M169" s="135"/>
      <c r="N169" s="135"/>
      <c r="O169" s="135"/>
      <c r="P169" s="135"/>
      <c r="Q169" s="189"/>
      <c r="R169" s="135"/>
      <c r="S169" s="135"/>
      <c r="T169" s="135"/>
      <c r="U169" s="135"/>
      <c r="V169" s="135"/>
    </row>
    <row r="170" customFormat="false" ht="15.75" hidden="false" customHeight="true" outlineLevel="0" collapsed="false">
      <c r="A170" s="135"/>
      <c r="B170" s="135"/>
      <c r="C170" s="182"/>
      <c r="D170" s="135"/>
      <c r="E170" s="135"/>
      <c r="F170" s="135"/>
      <c r="G170" s="135"/>
      <c r="H170" s="189"/>
      <c r="I170" s="135"/>
      <c r="J170" s="135"/>
      <c r="K170" s="135"/>
      <c r="L170" s="135"/>
      <c r="M170" s="135"/>
      <c r="N170" s="135"/>
      <c r="O170" s="135"/>
      <c r="P170" s="135"/>
      <c r="Q170" s="189"/>
      <c r="R170" s="135"/>
      <c r="S170" s="135"/>
      <c r="T170" s="135"/>
      <c r="U170" s="135"/>
      <c r="V170" s="135"/>
    </row>
    <row r="171" customFormat="false" ht="15.75" hidden="false" customHeight="true" outlineLevel="0" collapsed="false">
      <c r="A171" s="135"/>
      <c r="B171" s="135"/>
      <c r="C171" s="182"/>
      <c r="D171" s="135"/>
      <c r="E171" s="135"/>
      <c r="F171" s="135"/>
      <c r="G171" s="135"/>
      <c r="H171" s="189"/>
      <c r="I171" s="135"/>
      <c r="J171" s="135"/>
      <c r="K171" s="135"/>
      <c r="L171" s="135"/>
      <c r="M171" s="135"/>
      <c r="N171" s="135"/>
      <c r="O171" s="135"/>
      <c r="P171" s="135"/>
      <c r="Q171" s="189"/>
      <c r="R171" s="135"/>
      <c r="S171" s="135"/>
      <c r="T171" s="135"/>
      <c r="U171" s="135"/>
      <c r="V171" s="135"/>
    </row>
    <row r="172" customFormat="false" ht="15.75" hidden="false" customHeight="true" outlineLevel="0" collapsed="false">
      <c r="A172" s="135"/>
      <c r="B172" s="135"/>
      <c r="C172" s="182"/>
      <c r="D172" s="135"/>
      <c r="E172" s="135"/>
      <c r="F172" s="135"/>
      <c r="G172" s="135"/>
      <c r="H172" s="189"/>
      <c r="I172" s="135"/>
      <c r="J172" s="135"/>
      <c r="K172" s="135"/>
      <c r="L172" s="135"/>
      <c r="M172" s="135"/>
      <c r="N172" s="135"/>
      <c r="O172" s="135"/>
      <c r="P172" s="135"/>
      <c r="Q172" s="189"/>
      <c r="R172" s="135"/>
      <c r="S172" s="135"/>
      <c r="T172" s="135"/>
      <c r="U172" s="135"/>
      <c r="V172" s="135"/>
    </row>
    <row r="173" customFormat="false" ht="15.75" hidden="false" customHeight="true" outlineLevel="0" collapsed="false">
      <c r="A173" s="135"/>
      <c r="B173" s="135"/>
      <c r="C173" s="182"/>
      <c r="D173" s="135"/>
      <c r="E173" s="135"/>
      <c r="F173" s="135"/>
      <c r="G173" s="135"/>
      <c r="H173" s="189"/>
      <c r="I173" s="135"/>
      <c r="J173" s="135"/>
      <c r="K173" s="135"/>
      <c r="L173" s="135"/>
      <c r="M173" s="135"/>
      <c r="N173" s="135"/>
      <c r="O173" s="135"/>
      <c r="P173" s="135"/>
      <c r="Q173" s="189"/>
      <c r="R173" s="135"/>
      <c r="S173" s="135"/>
      <c r="T173" s="135"/>
      <c r="U173" s="135"/>
      <c r="V173" s="135"/>
    </row>
    <row r="174" customFormat="false" ht="15.75" hidden="false" customHeight="true" outlineLevel="0" collapsed="false">
      <c r="A174" s="135"/>
      <c r="B174" s="135"/>
      <c r="C174" s="182"/>
      <c r="D174" s="135"/>
      <c r="E174" s="135"/>
      <c r="F174" s="135"/>
      <c r="G174" s="135"/>
      <c r="H174" s="189"/>
      <c r="I174" s="135"/>
      <c r="J174" s="135"/>
      <c r="K174" s="135"/>
      <c r="L174" s="135"/>
      <c r="M174" s="135"/>
      <c r="N174" s="135"/>
      <c r="O174" s="135"/>
      <c r="P174" s="135"/>
      <c r="Q174" s="189"/>
      <c r="R174" s="135"/>
      <c r="S174" s="135"/>
      <c r="T174" s="135"/>
      <c r="U174" s="135"/>
      <c r="V174" s="135"/>
    </row>
    <row r="175" customFormat="false" ht="15.75" hidden="false" customHeight="true" outlineLevel="0" collapsed="false">
      <c r="A175" s="135"/>
      <c r="B175" s="135"/>
      <c r="C175" s="182"/>
      <c r="D175" s="135"/>
      <c r="E175" s="135"/>
      <c r="F175" s="135"/>
      <c r="G175" s="135"/>
      <c r="H175" s="189"/>
      <c r="I175" s="135"/>
      <c r="J175" s="135"/>
      <c r="K175" s="135"/>
      <c r="L175" s="135"/>
      <c r="M175" s="135"/>
      <c r="N175" s="135"/>
      <c r="O175" s="135"/>
      <c r="P175" s="135"/>
      <c r="Q175" s="189"/>
      <c r="R175" s="135"/>
      <c r="S175" s="135"/>
      <c r="T175" s="135"/>
      <c r="U175" s="135"/>
      <c r="V175" s="135"/>
    </row>
    <row r="176" customFormat="false" ht="15.75" hidden="false" customHeight="true" outlineLevel="0" collapsed="false">
      <c r="A176" s="135"/>
      <c r="B176" s="135"/>
      <c r="C176" s="182"/>
      <c r="D176" s="135"/>
      <c r="E176" s="135"/>
      <c r="F176" s="135"/>
      <c r="G176" s="135"/>
      <c r="H176" s="189"/>
      <c r="I176" s="135"/>
      <c r="J176" s="135"/>
      <c r="K176" s="135"/>
      <c r="L176" s="135"/>
      <c r="M176" s="135"/>
      <c r="N176" s="135"/>
      <c r="O176" s="135"/>
      <c r="P176" s="135"/>
      <c r="Q176" s="189"/>
      <c r="R176" s="135"/>
      <c r="S176" s="135"/>
      <c r="T176" s="135"/>
      <c r="U176" s="135"/>
      <c r="V176" s="135"/>
    </row>
    <row r="177" customFormat="false" ht="15.75" hidden="false" customHeight="true" outlineLevel="0" collapsed="false">
      <c r="A177" s="135"/>
      <c r="B177" s="135"/>
      <c r="C177" s="182"/>
      <c r="D177" s="135"/>
      <c r="E177" s="135"/>
      <c r="F177" s="135"/>
      <c r="G177" s="135"/>
      <c r="H177" s="189"/>
      <c r="I177" s="135"/>
      <c r="J177" s="135"/>
      <c r="K177" s="135"/>
      <c r="L177" s="135"/>
      <c r="M177" s="135"/>
      <c r="N177" s="135"/>
      <c r="O177" s="135"/>
      <c r="P177" s="135"/>
      <c r="Q177" s="189"/>
      <c r="R177" s="135"/>
      <c r="S177" s="135"/>
      <c r="T177" s="135"/>
      <c r="U177" s="135"/>
      <c r="V177" s="135"/>
    </row>
    <row r="178" customFormat="false" ht="15.75" hidden="false" customHeight="true" outlineLevel="0" collapsed="false">
      <c r="A178" s="135"/>
      <c r="B178" s="135"/>
      <c r="C178" s="182"/>
      <c r="D178" s="135"/>
      <c r="E178" s="135"/>
      <c r="F178" s="135"/>
      <c r="G178" s="135"/>
      <c r="H178" s="189"/>
      <c r="I178" s="135"/>
      <c r="J178" s="135"/>
      <c r="K178" s="135"/>
      <c r="L178" s="135"/>
      <c r="M178" s="135"/>
      <c r="N178" s="135"/>
      <c r="O178" s="135"/>
      <c r="P178" s="135"/>
      <c r="Q178" s="189"/>
      <c r="R178" s="135"/>
      <c r="S178" s="135"/>
      <c r="T178" s="135"/>
      <c r="U178" s="135"/>
      <c r="V178" s="135"/>
    </row>
    <row r="179" customFormat="false" ht="15.75" hidden="false" customHeight="true" outlineLevel="0" collapsed="false">
      <c r="A179" s="135"/>
      <c r="B179" s="135"/>
      <c r="C179" s="182"/>
      <c r="D179" s="135"/>
      <c r="E179" s="135"/>
      <c r="F179" s="135"/>
      <c r="G179" s="135"/>
      <c r="H179" s="189"/>
      <c r="I179" s="135"/>
      <c r="J179" s="135"/>
      <c r="K179" s="135"/>
      <c r="L179" s="135"/>
      <c r="M179" s="135"/>
      <c r="N179" s="135"/>
      <c r="O179" s="135"/>
      <c r="P179" s="135"/>
      <c r="Q179" s="189"/>
      <c r="R179" s="135"/>
      <c r="S179" s="135"/>
      <c r="T179" s="135"/>
      <c r="U179" s="135"/>
      <c r="V179" s="135"/>
    </row>
    <row r="180" customFormat="false" ht="15.75" hidden="false" customHeight="true" outlineLevel="0" collapsed="false">
      <c r="A180" s="135"/>
      <c r="B180" s="135"/>
      <c r="C180" s="182"/>
      <c r="D180" s="135"/>
      <c r="E180" s="135"/>
      <c r="F180" s="135"/>
      <c r="G180" s="135"/>
      <c r="H180" s="189"/>
      <c r="I180" s="135"/>
      <c r="J180" s="135"/>
      <c r="K180" s="135"/>
      <c r="L180" s="135"/>
      <c r="M180" s="135"/>
      <c r="N180" s="135"/>
      <c r="O180" s="135"/>
      <c r="P180" s="135"/>
      <c r="Q180" s="189"/>
      <c r="R180" s="135"/>
      <c r="S180" s="135"/>
      <c r="T180" s="135"/>
      <c r="U180" s="135"/>
      <c r="V180" s="135"/>
    </row>
    <row r="181" customFormat="false" ht="15.75" hidden="false" customHeight="true" outlineLevel="0" collapsed="false">
      <c r="A181" s="135"/>
      <c r="B181" s="135"/>
      <c r="C181" s="182"/>
      <c r="D181" s="135"/>
      <c r="E181" s="135"/>
      <c r="F181" s="135"/>
      <c r="G181" s="135"/>
      <c r="H181" s="189"/>
      <c r="I181" s="135"/>
      <c r="J181" s="135"/>
      <c r="K181" s="135"/>
      <c r="L181" s="135"/>
      <c r="M181" s="135"/>
      <c r="N181" s="135"/>
      <c r="O181" s="135"/>
      <c r="P181" s="135"/>
      <c r="Q181" s="189"/>
      <c r="R181" s="135"/>
      <c r="S181" s="135"/>
      <c r="T181" s="135"/>
      <c r="U181" s="135"/>
      <c r="V181" s="135"/>
    </row>
    <row r="182" customFormat="false" ht="15.75" hidden="false" customHeight="true" outlineLevel="0" collapsed="false">
      <c r="A182" s="135"/>
      <c r="B182" s="135"/>
      <c r="C182" s="182"/>
      <c r="D182" s="135"/>
      <c r="E182" s="135"/>
      <c r="F182" s="135"/>
      <c r="G182" s="135"/>
      <c r="H182" s="189"/>
      <c r="I182" s="135"/>
      <c r="J182" s="135"/>
      <c r="K182" s="135"/>
      <c r="L182" s="135"/>
      <c r="M182" s="135"/>
      <c r="N182" s="135"/>
      <c r="O182" s="135"/>
      <c r="P182" s="135"/>
      <c r="Q182" s="189"/>
      <c r="R182" s="135"/>
      <c r="S182" s="135"/>
      <c r="T182" s="135"/>
      <c r="U182" s="135"/>
      <c r="V182" s="135"/>
    </row>
    <row r="183" customFormat="false" ht="15.75" hidden="false" customHeight="true" outlineLevel="0" collapsed="false">
      <c r="A183" s="135"/>
      <c r="B183" s="135"/>
      <c r="C183" s="182"/>
      <c r="D183" s="135"/>
      <c r="E183" s="135"/>
      <c r="F183" s="135"/>
      <c r="G183" s="135"/>
      <c r="H183" s="189"/>
      <c r="I183" s="135"/>
      <c r="J183" s="135"/>
      <c r="K183" s="135"/>
      <c r="L183" s="135"/>
      <c r="M183" s="135"/>
      <c r="N183" s="135"/>
      <c r="O183" s="135"/>
      <c r="P183" s="135"/>
      <c r="Q183" s="189"/>
      <c r="R183" s="135"/>
      <c r="S183" s="135"/>
      <c r="T183" s="135"/>
      <c r="U183" s="135"/>
      <c r="V183" s="135"/>
    </row>
    <row r="184" customFormat="false" ht="15.75" hidden="false" customHeight="true" outlineLevel="0" collapsed="false">
      <c r="A184" s="135"/>
      <c r="B184" s="135"/>
      <c r="C184" s="182"/>
      <c r="D184" s="135"/>
      <c r="E184" s="135"/>
      <c r="F184" s="135"/>
      <c r="G184" s="135"/>
      <c r="H184" s="189"/>
      <c r="I184" s="135"/>
      <c r="J184" s="135"/>
      <c r="K184" s="135"/>
      <c r="L184" s="135"/>
      <c r="M184" s="135"/>
      <c r="N184" s="135"/>
      <c r="O184" s="135"/>
      <c r="P184" s="135"/>
      <c r="Q184" s="189"/>
      <c r="R184" s="135"/>
      <c r="S184" s="135"/>
      <c r="T184" s="135"/>
      <c r="U184" s="135"/>
      <c r="V184" s="135"/>
    </row>
    <row r="185" customFormat="false" ht="15.75" hidden="false" customHeight="true" outlineLevel="0" collapsed="false">
      <c r="A185" s="135"/>
      <c r="B185" s="135"/>
      <c r="C185" s="182"/>
      <c r="D185" s="135"/>
      <c r="E185" s="135"/>
      <c r="F185" s="135"/>
      <c r="G185" s="135"/>
      <c r="H185" s="189"/>
      <c r="I185" s="135"/>
      <c r="J185" s="135"/>
      <c r="K185" s="135"/>
      <c r="L185" s="135"/>
      <c r="M185" s="135"/>
      <c r="N185" s="135"/>
      <c r="O185" s="135"/>
      <c r="P185" s="135"/>
      <c r="Q185" s="189"/>
      <c r="R185" s="135"/>
      <c r="S185" s="135"/>
      <c r="T185" s="135"/>
      <c r="U185" s="135"/>
      <c r="V185" s="135"/>
    </row>
    <row r="186" customFormat="false" ht="15.75" hidden="false" customHeight="true" outlineLevel="0" collapsed="false">
      <c r="A186" s="135"/>
      <c r="B186" s="135"/>
      <c r="C186" s="182"/>
      <c r="D186" s="135"/>
      <c r="E186" s="135"/>
      <c r="F186" s="135"/>
      <c r="G186" s="135"/>
      <c r="H186" s="189"/>
      <c r="I186" s="135"/>
      <c r="J186" s="135"/>
      <c r="K186" s="135"/>
      <c r="L186" s="135"/>
      <c r="M186" s="135"/>
      <c r="N186" s="135"/>
      <c r="O186" s="135"/>
      <c r="P186" s="135"/>
      <c r="Q186" s="189"/>
      <c r="R186" s="135"/>
      <c r="S186" s="135"/>
      <c r="T186" s="135"/>
      <c r="U186" s="135"/>
      <c r="V186" s="135"/>
    </row>
    <row r="187" customFormat="false" ht="15.75" hidden="false" customHeight="true" outlineLevel="0" collapsed="false">
      <c r="A187" s="135"/>
      <c r="B187" s="135"/>
      <c r="C187" s="182"/>
      <c r="D187" s="135"/>
      <c r="E187" s="135"/>
      <c r="F187" s="135"/>
      <c r="G187" s="135"/>
      <c r="H187" s="189"/>
      <c r="I187" s="135"/>
      <c r="J187" s="135"/>
      <c r="K187" s="135"/>
      <c r="L187" s="135"/>
      <c r="M187" s="135"/>
      <c r="N187" s="135"/>
      <c r="O187" s="135"/>
      <c r="P187" s="135"/>
      <c r="Q187" s="189"/>
      <c r="R187" s="135"/>
      <c r="S187" s="135"/>
      <c r="T187" s="135"/>
      <c r="U187" s="135"/>
      <c r="V187" s="135"/>
    </row>
    <row r="188" customFormat="false" ht="15.75" hidden="false" customHeight="true" outlineLevel="0" collapsed="false">
      <c r="A188" s="135"/>
      <c r="B188" s="135"/>
      <c r="C188" s="182"/>
      <c r="D188" s="135"/>
      <c r="E188" s="135"/>
      <c r="F188" s="135"/>
      <c r="G188" s="135"/>
      <c r="H188" s="189"/>
      <c r="I188" s="135"/>
      <c r="J188" s="135"/>
      <c r="K188" s="135"/>
      <c r="L188" s="135"/>
      <c r="M188" s="135"/>
      <c r="N188" s="135"/>
      <c r="O188" s="135"/>
      <c r="P188" s="135"/>
      <c r="Q188" s="189"/>
      <c r="R188" s="135"/>
      <c r="S188" s="135"/>
      <c r="T188" s="135"/>
      <c r="U188" s="135"/>
      <c r="V188" s="135"/>
    </row>
    <row r="189" customFormat="false" ht="15.75" hidden="false" customHeight="true" outlineLevel="0" collapsed="false">
      <c r="A189" s="135"/>
      <c r="B189" s="135"/>
      <c r="C189" s="182"/>
      <c r="D189" s="135"/>
      <c r="E189" s="135"/>
      <c r="F189" s="135"/>
      <c r="G189" s="135"/>
      <c r="H189" s="189"/>
      <c r="I189" s="135"/>
      <c r="J189" s="135"/>
      <c r="K189" s="135"/>
      <c r="L189" s="135"/>
      <c r="M189" s="135"/>
      <c r="N189" s="135"/>
      <c r="O189" s="135"/>
      <c r="P189" s="135"/>
      <c r="Q189" s="189"/>
      <c r="R189" s="135"/>
      <c r="S189" s="135"/>
      <c r="T189" s="135"/>
      <c r="U189" s="135"/>
      <c r="V189" s="135"/>
    </row>
    <row r="190" customFormat="false" ht="15.75" hidden="false" customHeight="true" outlineLevel="0" collapsed="false">
      <c r="A190" s="135"/>
      <c r="B190" s="135"/>
      <c r="C190" s="182"/>
      <c r="D190" s="135"/>
      <c r="E190" s="135"/>
      <c r="F190" s="135"/>
      <c r="G190" s="135"/>
      <c r="H190" s="189"/>
      <c r="I190" s="135"/>
      <c r="J190" s="135"/>
      <c r="K190" s="135"/>
      <c r="L190" s="135"/>
      <c r="M190" s="135"/>
      <c r="N190" s="135"/>
      <c r="O190" s="135"/>
      <c r="P190" s="135"/>
      <c r="Q190" s="189"/>
      <c r="R190" s="135"/>
      <c r="S190" s="135"/>
      <c r="T190" s="135"/>
      <c r="U190" s="135"/>
      <c r="V190" s="135"/>
    </row>
    <row r="191" customFormat="false" ht="15.75" hidden="false" customHeight="true" outlineLevel="0" collapsed="false">
      <c r="A191" s="135"/>
      <c r="B191" s="135"/>
      <c r="C191" s="182"/>
      <c r="D191" s="135"/>
      <c r="E191" s="135"/>
      <c r="F191" s="135"/>
      <c r="G191" s="135"/>
      <c r="H191" s="189"/>
      <c r="I191" s="135"/>
      <c r="J191" s="135"/>
      <c r="K191" s="135"/>
      <c r="L191" s="135"/>
      <c r="M191" s="135"/>
      <c r="N191" s="135"/>
      <c r="O191" s="135"/>
      <c r="P191" s="135"/>
      <c r="Q191" s="189"/>
      <c r="R191" s="135"/>
      <c r="S191" s="135"/>
      <c r="T191" s="135"/>
      <c r="U191" s="135"/>
      <c r="V191" s="135"/>
    </row>
    <row r="192" customFormat="false" ht="15.75" hidden="false" customHeight="true" outlineLevel="0" collapsed="false">
      <c r="A192" s="135"/>
      <c r="B192" s="135"/>
      <c r="C192" s="182"/>
      <c r="D192" s="135"/>
      <c r="E192" s="135"/>
      <c r="F192" s="135"/>
      <c r="G192" s="135"/>
      <c r="H192" s="189"/>
      <c r="I192" s="135"/>
      <c r="J192" s="135"/>
      <c r="K192" s="135"/>
      <c r="L192" s="135"/>
      <c r="M192" s="135"/>
      <c r="N192" s="135"/>
      <c r="O192" s="135"/>
      <c r="P192" s="135"/>
      <c r="Q192" s="189"/>
      <c r="R192" s="135"/>
      <c r="S192" s="135"/>
      <c r="T192" s="135"/>
      <c r="U192" s="135"/>
      <c r="V192" s="135"/>
    </row>
    <row r="193" customFormat="false" ht="15.75" hidden="false" customHeight="true" outlineLevel="0" collapsed="false">
      <c r="A193" s="135"/>
      <c r="B193" s="135"/>
      <c r="C193" s="182"/>
      <c r="D193" s="135"/>
      <c r="E193" s="135"/>
      <c r="F193" s="135"/>
      <c r="G193" s="135"/>
      <c r="H193" s="189"/>
      <c r="I193" s="135"/>
      <c r="J193" s="135"/>
      <c r="K193" s="135"/>
      <c r="L193" s="135"/>
      <c r="M193" s="135"/>
      <c r="N193" s="135"/>
      <c r="O193" s="135"/>
      <c r="P193" s="135"/>
      <c r="Q193" s="189"/>
      <c r="R193" s="135"/>
      <c r="S193" s="135"/>
      <c r="T193" s="135"/>
      <c r="U193" s="135"/>
      <c r="V193" s="135"/>
    </row>
    <row r="194" customFormat="false" ht="15.75" hidden="false" customHeight="true" outlineLevel="0" collapsed="false">
      <c r="A194" s="135"/>
      <c r="B194" s="135"/>
      <c r="C194" s="182"/>
      <c r="D194" s="135"/>
      <c r="E194" s="135"/>
      <c r="F194" s="135"/>
      <c r="G194" s="135"/>
      <c r="H194" s="189"/>
      <c r="I194" s="135"/>
      <c r="J194" s="135"/>
      <c r="K194" s="135"/>
      <c r="L194" s="135"/>
      <c r="M194" s="135"/>
      <c r="N194" s="135"/>
      <c r="O194" s="135"/>
      <c r="P194" s="135"/>
      <c r="Q194" s="189"/>
      <c r="R194" s="135"/>
      <c r="S194" s="135"/>
      <c r="T194" s="135"/>
      <c r="U194" s="135"/>
      <c r="V194" s="135"/>
    </row>
    <row r="195" customFormat="false" ht="15.75" hidden="false" customHeight="true" outlineLevel="0" collapsed="false">
      <c r="A195" s="135"/>
      <c r="B195" s="135"/>
      <c r="C195" s="182"/>
      <c r="D195" s="135"/>
      <c r="E195" s="135"/>
      <c r="F195" s="135"/>
      <c r="G195" s="135"/>
      <c r="H195" s="189"/>
      <c r="I195" s="135"/>
      <c r="J195" s="135"/>
      <c r="K195" s="135"/>
      <c r="L195" s="135"/>
      <c r="M195" s="135"/>
      <c r="N195" s="135"/>
      <c r="O195" s="135"/>
      <c r="P195" s="135"/>
      <c r="Q195" s="189"/>
      <c r="R195" s="135"/>
      <c r="S195" s="135"/>
      <c r="T195" s="135"/>
      <c r="U195" s="135"/>
      <c r="V195" s="135"/>
    </row>
    <row r="196" customFormat="false" ht="15.75" hidden="false" customHeight="true" outlineLevel="0" collapsed="false">
      <c r="A196" s="135"/>
      <c r="B196" s="135"/>
      <c r="C196" s="182"/>
      <c r="D196" s="135"/>
      <c r="E196" s="135"/>
      <c r="F196" s="135"/>
      <c r="G196" s="135"/>
      <c r="H196" s="189"/>
      <c r="I196" s="135"/>
      <c r="J196" s="135"/>
      <c r="K196" s="135"/>
      <c r="L196" s="135"/>
      <c r="M196" s="135"/>
      <c r="N196" s="135"/>
      <c r="O196" s="135"/>
      <c r="P196" s="135"/>
      <c r="Q196" s="189"/>
      <c r="R196" s="135"/>
      <c r="S196" s="135"/>
      <c r="T196" s="135"/>
      <c r="U196" s="135"/>
      <c r="V196" s="135"/>
    </row>
    <row r="197" customFormat="false" ht="15.75" hidden="false" customHeight="true" outlineLevel="0" collapsed="false">
      <c r="A197" s="135"/>
      <c r="B197" s="135"/>
      <c r="C197" s="182"/>
      <c r="D197" s="135"/>
      <c r="E197" s="135"/>
      <c r="F197" s="135"/>
      <c r="G197" s="135"/>
      <c r="H197" s="189"/>
      <c r="I197" s="135"/>
      <c r="J197" s="135"/>
      <c r="K197" s="135"/>
      <c r="L197" s="135"/>
      <c r="M197" s="135"/>
      <c r="N197" s="135"/>
      <c r="O197" s="135"/>
      <c r="P197" s="135"/>
      <c r="Q197" s="189"/>
      <c r="R197" s="135"/>
      <c r="S197" s="135"/>
      <c r="T197" s="135"/>
      <c r="U197" s="135"/>
      <c r="V197" s="135"/>
    </row>
    <row r="198" customFormat="false" ht="15.75" hidden="false" customHeight="true" outlineLevel="0" collapsed="false">
      <c r="A198" s="135"/>
      <c r="B198" s="135"/>
      <c r="C198" s="182"/>
      <c r="D198" s="135"/>
      <c r="E198" s="135"/>
      <c r="F198" s="135"/>
      <c r="G198" s="135"/>
      <c r="H198" s="189"/>
      <c r="I198" s="135"/>
      <c r="J198" s="135"/>
      <c r="K198" s="135"/>
      <c r="L198" s="135"/>
      <c r="M198" s="135"/>
      <c r="N198" s="135"/>
      <c r="O198" s="135"/>
      <c r="P198" s="135"/>
      <c r="Q198" s="189"/>
      <c r="R198" s="135"/>
      <c r="S198" s="135"/>
      <c r="T198" s="135"/>
      <c r="U198" s="135"/>
      <c r="V198" s="135"/>
    </row>
    <row r="199" customFormat="false" ht="15.75" hidden="false" customHeight="true" outlineLevel="0" collapsed="false">
      <c r="A199" s="135"/>
      <c r="B199" s="135"/>
      <c r="C199" s="182"/>
      <c r="D199" s="135"/>
      <c r="E199" s="135"/>
      <c r="F199" s="135"/>
      <c r="G199" s="135"/>
      <c r="H199" s="189"/>
      <c r="I199" s="135"/>
      <c r="J199" s="135"/>
      <c r="K199" s="135"/>
      <c r="L199" s="135"/>
      <c r="M199" s="135"/>
      <c r="N199" s="135"/>
      <c r="O199" s="135"/>
      <c r="P199" s="135"/>
      <c r="Q199" s="189"/>
      <c r="R199" s="135"/>
      <c r="S199" s="135"/>
      <c r="T199" s="135"/>
      <c r="U199" s="135"/>
      <c r="V199" s="135"/>
    </row>
    <row r="200" customFormat="false" ht="15.75" hidden="false" customHeight="true" outlineLevel="0" collapsed="false">
      <c r="A200" s="135"/>
      <c r="B200" s="135"/>
      <c r="C200" s="182"/>
      <c r="D200" s="135"/>
      <c r="E200" s="135"/>
      <c r="F200" s="135"/>
      <c r="G200" s="135"/>
      <c r="H200" s="189"/>
      <c r="I200" s="135"/>
      <c r="J200" s="135"/>
      <c r="K200" s="135"/>
      <c r="L200" s="135"/>
      <c r="M200" s="135"/>
      <c r="N200" s="135"/>
      <c r="O200" s="135"/>
      <c r="P200" s="135"/>
      <c r="Q200" s="189"/>
      <c r="R200" s="135"/>
      <c r="S200" s="135"/>
      <c r="T200" s="135"/>
      <c r="U200" s="135"/>
      <c r="V200" s="135"/>
    </row>
    <row r="201" customFormat="false" ht="15.75" hidden="false" customHeight="true" outlineLevel="0" collapsed="false">
      <c r="A201" s="135"/>
      <c r="B201" s="135"/>
      <c r="C201" s="182"/>
      <c r="D201" s="135"/>
      <c r="E201" s="135"/>
      <c r="F201" s="135"/>
      <c r="G201" s="135"/>
      <c r="H201" s="189"/>
      <c r="I201" s="135"/>
      <c r="J201" s="135"/>
      <c r="K201" s="135"/>
      <c r="L201" s="135"/>
      <c r="M201" s="135"/>
      <c r="N201" s="135"/>
      <c r="O201" s="135"/>
      <c r="P201" s="135"/>
      <c r="Q201" s="189"/>
      <c r="R201" s="135"/>
      <c r="S201" s="135"/>
      <c r="T201" s="135"/>
      <c r="U201" s="135"/>
      <c r="V201" s="135"/>
    </row>
    <row r="202" customFormat="false" ht="15.75" hidden="false" customHeight="true" outlineLevel="0" collapsed="false">
      <c r="A202" s="135"/>
      <c r="B202" s="135"/>
      <c r="C202" s="182"/>
      <c r="D202" s="135"/>
      <c r="E202" s="135"/>
      <c r="F202" s="135"/>
      <c r="G202" s="135"/>
      <c r="H202" s="189"/>
      <c r="I202" s="135"/>
      <c r="J202" s="135"/>
      <c r="K202" s="135"/>
      <c r="L202" s="135"/>
      <c r="M202" s="135"/>
      <c r="N202" s="135"/>
      <c r="O202" s="135"/>
      <c r="P202" s="135"/>
      <c r="Q202" s="189"/>
      <c r="R202" s="135"/>
      <c r="S202" s="135"/>
      <c r="T202" s="135"/>
      <c r="U202" s="135"/>
      <c r="V202" s="135"/>
    </row>
    <row r="203" customFormat="false" ht="15.75" hidden="false" customHeight="true" outlineLevel="0" collapsed="false">
      <c r="A203" s="135"/>
      <c r="B203" s="135"/>
      <c r="C203" s="182"/>
      <c r="D203" s="135"/>
      <c r="E203" s="135"/>
      <c r="F203" s="135"/>
      <c r="G203" s="135"/>
      <c r="H203" s="189"/>
      <c r="I203" s="135"/>
      <c r="J203" s="135"/>
      <c r="K203" s="135"/>
      <c r="L203" s="135"/>
      <c r="M203" s="135"/>
      <c r="N203" s="135"/>
      <c r="O203" s="135"/>
      <c r="P203" s="135"/>
      <c r="Q203" s="189"/>
      <c r="R203" s="135"/>
      <c r="S203" s="135"/>
      <c r="T203" s="135"/>
      <c r="U203" s="135"/>
      <c r="V203" s="135"/>
    </row>
    <row r="204" customFormat="false" ht="15.75" hidden="false" customHeight="true" outlineLevel="0" collapsed="false">
      <c r="A204" s="135"/>
      <c r="B204" s="135"/>
      <c r="C204" s="182"/>
      <c r="D204" s="135"/>
      <c r="E204" s="135"/>
      <c r="F204" s="135"/>
      <c r="G204" s="135"/>
      <c r="H204" s="189"/>
      <c r="I204" s="135"/>
      <c r="J204" s="135"/>
      <c r="K204" s="135"/>
      <c r="L204" s="135"/>
      <c r="M204" s="135"/>
      <c r="N204" s="135"/>
      <c r="O204" s="135"/>
      <c r="P204" s="135"/>
      <c r="Q204" s="189"/>
      <c r="R204" s="135"/>
      <c r="S204" s="135"/>
      <c r="T204" s="135"/>
      <c r="U204" s="135"/>
      <c r="V204" s="135"/>
    </row>
    <row r="205" customFormat="false" ht="15.75" hidden="false" customHeight="true" outlineLevel="0" collapsed="false">
      <c r="A205" s="135"/>
      <c r="B205" s="135"/>
      <c r="C205" s="182"/>
      <c r="D205" s="135"/>
      <c r="E205" s="135"/>
      <c r="F205" s="135"/>
      <c r="G205" s="135"/>
      <c r="H205" s="189"/>
      <c r="I205" s="135"/>
      <c r="J205" s="135"/>
      <c r="K205" s="135"/>
      <c r="L205" s="135"/>
      <c r="M205" s="135"/>
      <c r="N205" s="135"/>
      <c r="O205" s="135"/>
      <c r="P205" s="135"/>
      <c r="Q205" s="189"/>
      <c r="R205" s="135"/>
      <c r="S205" s="135"/>
      <c r="T205" s="135"/>
      <c r="U205" s="135"/>
      <c r="V205" s="135"/>
    </row>
    <row r="206" customFormat="false" ht="15.75" hidden="false" customHeight="true" outlineLevel="0" collapsed="false">
      <c r="A206" s="135"/>
      <c r="B206" s="135"/>
      <c r="C206" s="182"/>
      <c r="D206" s="135"/>
      <c r="E206" s="135"/>
      <c r="F206" s="135"/>
      <c r="G206" s="135"/>
      <c r="H206" s="189"/>
      <c r="I206" s="135"/>
      <c r="J206" s="135"/>
      <c r="K206" s="135"/>
      <c r="L206" s="135"/>
      <c r="M206" s="135"/>
      <c r="N206" s="135"/>
      <c r="O206" s="135"/>
      <c r="P206" s="135"/>
      <c r="Q206" s="189"/>
      <c r="R206" s="135"/>
      <c r="S206" s="135"/>
      <c r="T206" s="135"/>
      <c r="U206" s="135"/>
      <c r="V206" s="135"/>
    </row>
    <row r="207" customFormat="false" ht="15.75" hidden="false" customHeight="true" outlineLevel="0" collapsed="false">
      <c r="A207" s="135"/>
      <c r="B207" s="135"/>
      <c r="C207" s="182"/>
      <c r="D207" s="135"/>
      <c r="E207" s="135"/>
      <c r="F207" s="135"/>
      <c r="G207" s="135"/>
      <c r="H207" s="189"/>
      <c r="I207" s="135"/>
      <c r="J207" s="135"/>
      <c r="K207" s="135"/>
      <c r="L207" s="135"/>
      <c r="M207" s="135"/>
      <c r="N207" s="135"/>
      <c r="O207" s="135"/>
      <c r="P207" s="135"/>
      <c r="Q207" s="189"/>
      <c r="R207" s="135"/>
      <c r="S207" s="135"/>
      <c r="T207" s="135"/>
      <c r="U207" s="135"/>
      <c r="V207" s="135"/>
    </row>
    <row r="208" customFormat="false" ht="15.75" hidden="false" customHeight="true" outlineLevel="0" collapsed="false">
      <c r="A208" s="135"/>
      <c r="B208" s="135"/>
      <c r="C208" s="182"/>
      <c r="D208" s="135"/>
      <c r="E208" s="135"/>
      <c r="F208" s="135"/>
      <c r="G208" s="135"/>
      <c r="H208" s="189"/>
      <c r="I208" s="135"/>
      <c r="J208" s="135"/>
      <c r="K208" s="135"/>
      <c r="L208" s="135"/>
      <c r="M208" s="135"/>
      <c r="N208" s="135"/>
      <c r="O208" s="135"/>
      <c r="P208" s="135"/>
      <c r="Q208" s="189"/>
      <c r="R208" s="135"/>
      <c r="S208" s="135"/>
      <c r="T208" s="135"/>
      <c r="U208" s="135"/>
      <c r="V208" s="135"/>
    </row>
    <row r="209" customFormat="false" ht="15.75" hidden="false" customHeight="true" outlineLevel="0" collapsed="false">
      <c r="A209" s="135"/>
      <c r="B209" s="135"/>
      <c r="C209" s="182"/>
      <c r="D209" s="135"/>
      <c r="E209" s="135"/>
      <c r="F209" s="135"/>
      <c r="G209" s="135"/>
      <c r="H209" s="189"/>
      <c r="I209" s="135"/>
      <c r="J209" s="135"/>
      <c r="K209" s="135"/>
      <c r="L209" s="135"/>
      <c r="M209" s="135"/>
      <c r="N209" s="135"/>
      <c r="O209" s="135"/>
      <c r="P209" s="135"/>
      <c r="Q209" s="189"/>
      <c r="R209" s="135"/>
      <c r="S209" s="135"/>
      <c r="T209" s="135"/>
      <c r="U209" s="135"/>
      <c r="V209" s="135"/>
    </row>
    <row r="210" customFormat="false" ht="15.75" hidden="false" customHeight="true" outlineLevel="0" collapsed="false">
      <c r="A210" s="135"/>
      <c r="B210" s="135"/>
      <c r="C210" s="182"/>
      <c r="D210" s="135"/>
      <c r="E210" s="135"/>
      <c r="F210" s="135"/>
      <c r="G210" s="135"/>
      <c r="H210" s="189"/>
      <c r="I210" s="135"/>
      <c r="J210" s="135"/>
      <c r="K210" s="135"/>
      <c r="L210" s="135"/>
      <c r="M210" s="135"/>
      <c r="N210" s="135"/>
      <c r="O210" s="135"/>
      <c r="P210" s="135"/>
      <c r="Q210" s="189"/>
      <c r="R210" s="135"/>
      <c r="S210" s="135"/>
      <c r="T210" s="135"/>
      <c r="U210" s="135"/>
      <c r="V210" s="135"/>
    </row>
    <row r="211" customFormat="false" ht="15.75" hidden="false" customHeight="true" outlineLevel="0" collapsed="false">
      <c r="A211" s="135"/>
      <c r="B211" s="135"/>
      <c r="C211" s="182"/>
      <c r="D211" s="135"/>
      <c r="E211" s="135"/>
      <c r="F211" s="135"/>
      <c r="G211" s="135"/>
      <c r="H211" s="189"/>
      <c r="I211" s="135"/>
      <c r="J211" s="135"/>
      <c r="K211" s="135"/>
      <c r="L211" s="135"/>
      <c r="M211" s="135"/>
      <c r="N211" s="135"/>
      <c r="O211" s="135"/>
      <c r="P211" s="135"/>
      <c r="Q211" s="189"/>
      <c r="R211" s="135"/>
      <c r="S211" s="135"/>
      <c r="T211" s="135"/>
      <c r="U211" s="135"/>
      <c r="V211" s="135"/>
    </row>
    <row r="212" customFormat="false" ht="15.75" hidden="false" customHeight="true" outlineLevel="0" collapsed="false">
      <c r="A212" s="135"/>
      <c r="B212" s="135"/>
      <c r="C212" s="182"/>
      <c r="D212" s="135"/>
      <c r="E212" s="135"/>
      <c r="F212" s="135"/>
      <c r="G212" s="135"/>
      <c r="H212" s="189"/>
      <c r="I212" s="135"/>
      <c r="J212" s="135"/>
      <c r="K212" s="135"/>
      <c r="L212" s="135"/>
      <c r="M212" s="135"/>
      <c r="N212" s="135"/>
      <c r="O212" s="135"/>
      <c r="P212" s="135"/>
      <c r="Q212" s="189"/>
      <c r="R212" s="135"/>
      <c r="S212" s="135"/>
      <c r="T212" s="135"/>
      <c r="U212" s="135"/>
      <c r="V212" s="135"/>
    </row>
    <row r="213" customFormat="false" ht="15.75" hidden="false" customHeight="true" outlineLevel="0" collapsed="false">
      <c r="A213" s="135"/>
      <c r="B213" s="135"/>
      <c r="C213" s="182"/>
      <c r="D213" s="135"/>
      <c r="E213" s="135"/>
      <c r="F213" s="135"/>
      <c r="G213" s="135"/>
      <c r="H213" s="189"/>
      <c r="I213" s="135"/>
      <c r="J213" s="135"/>
      <c r="K213" s="135"/>
      <c r="L213" s="135"/>
      <c r="M213" s="135"/>
      <c r="N213" s="135"/>
      <c r="O213" s="135"/>
      <c r="P213" s="135"/>
      <c r="Q213" s="189"/>
      <c r="R213" s="135"/>
      <c r="S213" s="135"/>
      <c r="T213" s="135"/>
      <c r="U213" s="135"/>
      <c r="V213" s="135"/>
    </row>
    <row r="214" customFormat="false" ht="15.75" hidden="false" customHeight="true" outlineLevel="0" collapsed="false">
      <c r="A214" s="135"/>
      <c r="B214" s="135"/>
      <c r="C214" s="182"/>
      <c r="D214" s="135"/>
      <c r="E214" s="135"/>
      <c r="F214" s="135"/>
      <c r="G214" s="135"/>
      <c r="H214" s="189"/>
      <c r="I214" s="135"/>
      <c r="J214" s="135"/>
      <c r="K214" s="135"/>
      <c r="L214" s="135"/>
      <c r="M214" s="135"/>
      <c r="N214" s="135"/>
      <c r="O214" s="135"/>
      <c r="P214" s="135"/>
      <c r="Q214" s="189"/>
      <c r="R214" s="135"/>
      <c r="S214" s="135"/>
      <c r="T214" s="135"/>
      <c r="U214" s="135"/>
      <c r="V214" s="135"/>
    </row>
    <row r="215" customFormat="false" ht="15.75" hidden="false" customHeight="true" outlineLevel="0" collapsed="false">
      <c r="A215" s="135"/>
      <c r="B215" s="135"/>
      <c r="C215" s="182"/>
      <c r="D215" s="135"/>
      <c r="E215" s="135"/>
      <c r="F215" s="135"/>
      <c r="G215" s="135"/>
      <c r="H215" s="189"/>
      <c r="I215" s="135"/>
      <c r="J215" s="135"/>
      <c r="K215" s="135"/>
      <c r="L215" s="135"/>
      <c r="M215" s="135"/>
      <c r="N215" s="135"/>
      <c r="O215" s="135"/>
      <c r="P215" s="135"/>
      <c r="Q215" s="189"/>
      <c r="R215" s="135"/>
      <c r="S215" s="135"/>
      <c r="T215" s="135"/>
      <c r="U215" s="135"/>
      <c r="V215" s="135"/>
    </row>
    <row r="216" customFormat="false" ht="15.75" hidden="false" customHeight="true" outlineLevel="0" collapsed="false">
      <c r="A216" s="135"/>
      <c r="B216" s="135"/>
      <c r="C216" s="182"/>
      <c r="D216" s="135"/>
      <c r="E216" s="135"/>
      <c r="F216" s="135"/>
      <c r="G216" s="135"/>
      <c r="H216" s="189"/>
      <c r="I216" s="135"/>
      <c r="J216" s="135"/>
      <c r="K216" s="135"/>
      <c r="L216" s="135"/>
      <c r="M216" s="135"/>
      <c r="N216" s="135"/>
      <c r="O216" s="135"/>
      <c r="P216" s="135"/>
      <c r="Q216" s="189"/>
      <c r="R216" s="135"/>
      <c r="S216" s="135"/>
      <c r="T216" s="135"/>
      <c r="U216" s="135"/>
      <c r="V216" s="135"/>
    </row>
    <row r="217" customFormat="false" ht="15.75" hidden="false" customHeight="true" outlineLevel="0" collapsed="false">
      <c r="A217" s="135"/>
      <c r="B217" s="135"/>
      <c r="C217" s="182"/>
      <c r="D217" s="135"/>
      <c r="E217" s="135"/>
      <c r="F217" s="135"/>
      <c r="G217" s="135"/>
      <c r="H217" s="189"/>
      <c r="I217" s="135"/>
      <c r="J217" s="135"/>
      <c r="K217" s="135"/>
      <c r="L217" s="135"/>
      <c r="M217" s="135"/>
      <c r="N217" s="135"/>
      <c r="O217" s="135"/>
      <c r="P217" s="135"/>
      <c r="Q217" s="189"/>
      <c r="R217" s="135"/>
      <c r="S217" s="135"/>
      <c r="T217" s="135"/>
      <c r="U217" s="135"/>
      <c r="V217" s="135"/>
    </row>
    <row r="218" customFormat="false" ht="15.75" hidden="false" customHeight="true" outlineLevel="0" collapsed="false">
      <c r="A218" s="135"/>
      <c r="B218" s="135"/>
      <c r="C218" s="182"/>
      <c r="D218" s="135"/>
      <c r="E218" s="135"/>
      <c r="F218" s="135"/>
      <c r="G218" s="135"/>
      <c r="H218" s="189"/>
      <c r="I218" s="135"/>
      <c r="J218" s="135"/>
      <c r="K218" s="135"/>
      <c r="L218" s="135"/>
      <c r="M218" s="135"/>
      <c r="N218" s="135"/>
      <c r="O218" s="135"/>
      <c r="P218" s="135"/>
      <c r="Q218" s="189"/>
      <c r="R218" s="135"/>
      <c r="S218" s="135"/>
      <c r="T218" s="135"/>
      <c r="U218" s="135"/>
      <c r="V218" s="135"/>
    </row>
    <row r="219" customFormat="false" ht="15.75" hidden="false" customHeight="true" outlineLevel="0" collapsed="false">
      <c r="A219" s="135"/>
      <c r="B219" s="135"/>
      <c r="C219" s="182"/>
      <c r="D219" s="135"/>
      <c r="E219" s="135"/>
      <c r="F219" s="135"/>
      <c r="G219" s="135"/>
      <c r="H219" s="189"/>
      <c r="I219" s="135"/>
      <c r="J219" s="135"/>
      <c r="K219" s="135"/>
      <c r="L219" s="135"/>
      <c r="M219" s="135"/>
      <c r="N219" s="135"/>
      <c r="O219" s="135"/>
      <c r="P219" s="135"/>
      <c r="Q219" s="189"/>
      <c r="R219" s="135"/>
      <c r="S219" s="135"/>
      <c r="T219" s="135"/>
      <c r="U219" s="135"/>
      <c r="V219" s="135"/>
    </row>
    <row r="220" customFormat="false" ht="15.75" hidden="false" customHeight="true" outlineLevel="0" collapsed="false">
      <c r="A220" s="135"/>
      <c r="B220" s="135"/>
      <c r="C220" s="182"/>
      <c r="D220" s="135"/>
      <c r="E220" s="135"/>
      <c r="F220" s="135"/>
      <c r="G220" s="135"/>
      <c r="H220" s="189"/>
      <c r="I220" s="135"/>
      <c r="J220" s="135"/>
      <c r="K220" s="135"/>
      <c r="L220" s="135"/>
      <c r="M220" s="135"/>
      <c r="N220" s="135"/>
      <c r="O220" s="135"/>
      <c r="P220" s="135"/>
      <c r="Q220" s="189"/>
      <c r="R220" s="135"/>
      <c r="S220" s="135"/>
      <c r="T220" s="135"/>
      <c r="U220" s="135"/>
      <c r="V220" s="135"/>
    </row>
    <row r="221" customFormat="false" ht="15.75" hidden="false" customHeight="true" outlineLevel="0" collapsed="false">
      <c r="A221" s="135"/>
      <c r="B221" s="135"/>
      <c r="C221" s="182"/>
      <c r="D221" s="135"/>
      <c r="E221" s="135"/>
      <c r="F221" s="135"/>
      <c r="G221" s="135"/>
      <c r="H221" s="189"/>
      <c r="I221" s="135"/>
      <c r="J221" s="135"/>
      <c r="K221" s="135"/>
      <c r="L221" s="135"/>
      <c r="M221" s="135"/>
      <c r="N221" s="135"/>
      <c r="O221" s="135"/>
      <c r="P221" s="135"/>
      <c r="Q221" s="189"/>
      <c r="R221" s="135"/>
      <c r="S221" s="135"/>
      <c r="T221" s="135"/>
      <c r="U221" s="135"/>
      <c r="V221" s="135"/>
    </row>
    <row r="222" customFormat="false" ht="15.75" hidden="false" customHeight="true" outlineLevel="0" collapsed="false">
      <c r="A222" s="135"/>
      <c r="B222" s="135"/>
      <c r="C222" s="182"/>
      <c r="D222" s="135"/>
      <c r="E222" s="135"/>
      <c r="F222" s="135"/>
      <c r="G222" s="135"/>
      <c r="H222" s="189"/>
      <c r="I222" s="135"/>
      <c r="J222" s="135"/>
      <c r="K222" s="135"/>
      <c r="L222" s="135"/>
      <c r="M222" s="135"/>
      <c r="N222" s="135"/>
      <c r="O222" s="135"/>
      <c r="P222" s="135"/>
      <c r="Q222" s="189"/>
      <c r="R222" s="135"/>
      <c r="S222" s="135"/>
      <c r="T222" s="135"/>
      <c r="U222" s="135"/>
      <c r="V222" s="135"/>
    </row>
    <row r="223" customFormat="false" ht="15.75" hidden="false" customHeight="true" outlineLevel="0" collapsed="false">
      <c r="A223" s="135"/>
      <c r="B223" s="135"/>
      <c r="C223" s="182"/>
      <c r="D223" s="135"/>
      <c r="E223" s="135"/>
      <c r="F223" s="135"/>
      <c r="G223" s="135"/>
      <c r="H223" s="189"/>
      <c r="I223" s="135"/>
      <c r="J223" s="135"/>
      <c r="K223" s="135"/>
      <c r="L223" s="135"/>
      <c r="M223" s="135"/>
      <c r="N223" s="135"/>
      <c r="O223" s="135"/>
      <c r="P223" s="135"/>
      <c r="Q223" s="189"/>
      <c r="R223" s="135"/>
      <c r="S223" s="135"/>
      <c r="T223" s="135"/>
      <c r="U223" s="135"/>
      <c r="V223" s="135"/>
    </row>
    <row r="224" customFormat="false" ht="15.75" hidden="false" customHeight="true" outlineLevel="0" collapsed="false">
      <c r="A224" s="135"/>
      <c r="B224" s="135"/>
      <c r="C224" s="182"/>
      <c r="D224" s="135"/>
      <c r="E224" s="135"/>
      <c r="F224" s="135"/>
      <c r="G224" s="135"/>
      <c r="H224" s="189"/>
      <c r="I224" s="135"/>
      <c r="J224" s="135"/>
      <c r="K224" s="135"/>
      <c r="L224" s="135"/>
      <c r="M224" s="135"/>
      <c r="N224" s="135"/>
      <c r="O224" s="135"/>
      <c r="P224" s="135"/>
      <c r="Q224" s="189"/>
      <c r="R224" s="135"/>
      <c r="S224" s="135"/>
      <c r="T224" s="135"/>
      <c r="U224" s="135"/>
      <c r="V224" s="135"/>
    </row>
    <row r="225" customFormat="false" ht="15.75" hidden="false" customHeight="true" outlineLevel="0" collapsed="false">
      <c r="A225" s="135"/>
      <c r="B225" s="135"/>
      <c r="C225" s="182"/>
      <c r="D225" s="135"/>
      <c r="E225" s="135"/>
      <c r="F225" s="135"/>
      <c r="G225" s="135"/>
      <c r="H225" s="189"/>
      <c r="I225" s="135"/>
      <c r="J225" s="135"/>
      <c r="K225" s="135"/>
      <c r="L225" s="135"/>
      <c r="M225" s="135"/>
      <c r="N225" s="135"/>
      <c r="O225" s="135"/>
      <c r="P225" s="135"/>
      <c r="Q225" s="189"/>
      <c r="R225" s="135"/>
      <c r="S225" s="135"/>
      <c r="T225" s="135"/>
      <c r="U225" s="135"/>
      <c r="V225" s="135"/>
    </row>
    <row r="226" customFormat="false" ht="15.75" hidden="false" customHeight="true" outlineLevel="0" collapsed="false">
      <c r="A226" s="135"/>
      <c r="B226" s="135"/>
      <c r="C226" s="182"/>
      <c r="D226" s="135"/>
      <c r="E226" s="135"/>
      <c r="F226" s="135"/>
      <c r="G226" s="135"/>
      <c r="H226" s="189"/>
      <c r="I226" s="135"/>
      <c r="J226" s="135"/>
      <c r="K226" s="135"/>
      <c r="L226" s="135"/>
      <c r="M226" s="135"/>
      <c r="N226" s="135"/>
      <c r="O226" s="135"/>
      <c r="P226" s="135"/>
      <c r="Q226" s="189"/>
      <c r="R226" s="135"/>
      <c r="S226" s="135"/>
      <c r="T226" s="135"/>
      <c r="U226" s="135"/>
      <c r="V226" s="135"/>
    </row>
    <row r="227" customFormat="false" ht="15.75" hidden="false" customHeight="true" outlineLevel="0" collapsed="false">
      <c r="A227" s="135"/>
      <c r="B227" s="135"/>
      <c r="C227" s="182"/>
      <c r="D227" s="135"/>
      <c r="E227" s="135"/>
      <c r="F227" s="135"/>
      <c r="G227" s="135"/>
      <c r="H227" s="189"/>
      <c r="I227" s="135"/>
      <c r="J227" s="135"/>
      <c r="K227" s="135"/>
      <c r="L227" s="135"/>
      <c r="M227" s="135"/>
      <c r="N227" s="135"/>
      <c r="O227" s="135"/>
      <c r="P227" s="135"/>
      <c r="Q227" s="189"/>
      <c r="R227" s="135"/>
      <c r="S227" s="135"/>
      <c r="T227" s="135"/>
      <c r="U227" s="135"/>
      <c r="V227" s="135"/>
    </row>
    <row r="228" customFormat="false" ht="15.75" hidden="false" customHeight="true" outlineLevel="0" collapsed="false">
      <c r="A228" s="135"/>
      <c r="B228" s="135"/>
      <c r="C228" s="182"/>
      <c r="D228" s="135"/>
      <c r="E228" s="135"/>
      <c r="F228" s="135"/>
      <c r="G228" s="135"/>
      <c r="H228" s="189"/>
      <c r="I228" s="135"/>
      <c r="J228" s="135"/>
      <c r="K228" s="135"/>
      <c r="L228" s="135"/>
      <c r="M228" s="135"/>
      <c r="N228" s="135"/>
      <c r="O228" s="135"/>
      <c r="P228" s="135"/>
      <c r="Q228" s="189"/>
      <c r="R228" s="135"/>
      <c r="S228" s="135"/>
      <c r="T228" s="135"/>
      <c r="U228" s="135"/>
      <c r="V228" s="135"/>
    </row>
    <row r="229" customFormat="false" ht="15.75" hidden="false" customHeight="true" outlineLevel="0" collapsed="false">
      <c r="A229" s="135"/>
      <c r="B229" s="135"/>
      <c r="C229" s="182"/>
      <c r="D229" s="135"/>
      <c r="E229" s="135"/>
      <c r="F229" s="135"/>
      <c r="G229" s="135"/>
      <c r="H229" s="189"/>
      <c r="I229" s="135"/>
      <c r="J229" s="135"/>
      <c r="K229" s="135"/>
      <c r="L229" s="135"/>
      <c r="M229" s="135"/>
      <c r="N229" s="135"/>
      <c r="O229" s="135"/>
      <c r="P229" s="135"/>
      <c r="Q229" s="189"/>
      <c r="R229" s="135"/>
      <c r="S229" s="135"/>
      <c r="T229" s="135"/>
      <c r="U229" s="135"/>
      <c r="V229" s="135"/>
    </row>
    <row r="230" customFormat="false" ht="15.75" hidden="false" customHeight="true" outlineLevel="0" collapsed="false">
      <c r="A230" s="135"/>
      <c r="B230" s="135"/>
      <c r="C230" s="182"/>
      <c r="D230" s="135"/>
      <c r="E230" s="135"/>
      <c r="F230" s="135"/>
      <c r="G230" s="135"/>
      <c r="H230" s="189"/>
      <c r="I230" s="135"/>
      <c r="J230" s="135"/>
      <c r="K230" s="135"/>
      <c r="L230" s="135"/>
      <c r="M230" s="135"/>
      <c r="N230" s="135"/>
      <c r="O230" s="135"/>
      <c r="P230" s="135"/>
      <c r="Q230" s="189"/>
      <c r="R230" s="135"/>
      <c r="S230" s="135"/>
      <c r="T230" s="135"/>
      <c r="U230" s="135"/>
      <c r="V230" s="135"/>
    </row>
    <row r="231" customFormat="false" ht="15.75" hidden="false" customHeight="true" outlineLevel="0" collapsed="false">
      <c r="A231" s="135"/>
      <c r="B231" s="135"/>
      <c r="C231" s="182"/>
      <c r="D231" s="135"/>
      <c r="E231" s="135"/>
      <c r="F231" s="135"/>
      <c r="G231" s="135"/>
      <c r="H231" s="189"/>
      <c r="I231" s="135"/>
      <c r="J231" s="135"/>
      <c r="K231" s="135"/>
      <c r="L231" s="135"/>
      <c r="M231" s="135"/>
      <c r="N231" s="135"/>
      <c r="O231" s="135"/>
      <c r="P231" s="135"/>
      <c r="Q231" s="189"/>
      <c r="R231" s="135"/>
      <c r="S231" s="135"/>
      <c r="T231" s="135"/>
      <c r="U231" s="135"/>
      <c r="V231" s="135"/>
    </row>
    <row r="232" customFormat="false" ht="15.75" hidden="false" customHeight="true" outlineLevel="0" collapsed="false">
      <c r="A232" s="135"/>
      <c r="B232" s="135"/>
      <c r="C232" s="182"/>
      <c r="D232" s="135"/>
      <c r="E232" s="135"/>
      <c r="F232" s="135"/>
      <c r="G232" s="135"/>
      <c r="H232" s="189"/>
      <c r="I232" s="135"/>
      <c r="J232" s="135"/>
      <c r="K232" s="135"/>
      <c r="L232" s="135"/>
      <c r="M232" s="135"/>
      <c r="N232" s="135"/>
      <c r="O232" s="135"/>
      <c r="P232" s="135"/>
      <c r="Q232" s="189"/>
      <c r="R232" s="135"/>
      <c r="S232" s="135"/>
      <c r="T232" s="135"/>
      <c r="U232" s="135"/>
      <c r="V232" s="135"/>
    </row>
    <row r="233" customFormat="false" ht="15.75" hidden="false" customHeight="true" outlineLevel="0" collapsed="false">
      <c r="A233" s="135"/>
      <c r="B233" s="135"/>
      <c r="C233" s="182"/>
      <c r="D233" s="135"/>
      <c r="E233" s="135"/>
      <c r="F233" s="135"/>
      <c r="G233" s="135"/>
      <c r="H233" s="189"/>
      <c r="I233" s="135"/>
      <c r="J233" s="135"/>
      <c r="K233" s="135"/>
      <c r="L233" s="135"/>
      <c r="M233" s="135"/>
      <c r="N233" s="135"/>
      <c r="O233" s="135"/>
      <c r="P233" s="135"/>
      <c r="Q233" s="189"/>
      <c r="R233" s="135"/>
      <c r="S233" s="135"/>
      <c r="T233" s="135"/>
      <c r="U233" s="135"/>
      <c r="V233" s="135"/>
    </row>
    <row r="234" customFormat="false" ht="15.75" hidden="false" customHeight="true" outlineLevel="0" collapsed="false">
      <c r="A234" s="135"/>
      <c r="B234" s="135"/>
      <c r="C234" s="182"/>
      <c r="D234" s="135"/>
      <c r="E234" s="135"/>
      <c r="F234" s="135"/>
      <c r="G234" s="135"/>
      <c r="H234" s="189"/>
      <c r="I234" s="135"/>
      <c r="J234" s="135"/>
      <c r="K234" s="135"/>
      <c r="L234" s="135"/>
      <c r="M234" s="135"/>
      <c r="N234" s="135"/>
      <c r="O234" s="135"/>
      <c r="P234" s="135"/>
      <c r="Q234" s="189"/>
      <c r="R234" s="135"/>
      <c r="S234" s="135"/>
      <c r="T234" s="135"/>
      <c r="U234" s="135"/>
      <c r="V234" s="135"/>
    </row>
    <row r="235" customFormat="false" ht="15.75" hidden="false" customHeight="true" outlineLevel="0" collapsed="false">
      <c r="A235" s="135"/>
      <c r="B235" s="135"/>
      <c r="C235" s="182"/>
      <c r="D235" s="135"/>
      <c r="E235" s="135"/>
      <c r="F235" s="135"/>
      <c r="G235" s="135"/>
      <c r="H235" s="189"/>
      <c r="I235" s="135"/>
      <c r="J235" s="135"/>
      <c r="K235" s="135"/>
      <c r="L235" s="135"/>
      <c r="M235" s="135"/>
      <c r="N235" s="135"/>
      <c r="O235" s="135"/>
      <c r="P235" s="135"/>
      <c r="Q235" s="189"/>
      <c r="R235" s="135"/>
      <c r="S235" s="135"/>
      <c r="T235" s="135"/>
      <c r="U235" s="135"/>
      <c r="V235" s="135"/>
    </row>
    <row r="236" customFormat="false" ht="15.75" hidden="false" customHeight="true" outlineLevel="0" collapsed="false">
      <c r="A236" s="135"/>
      <c r="B236" s="135"/>
      <c r="C236" s="182"/>
      <c r="D236" s="135"/>
      <c r="E236" s="135"/>
      <c r="F236" s="135"/>
      <c r="G236" s="135"/>
      <c r="H236" s="189"/>
      <c r="I236" s="135"/>
      <c r="J236" s="135"/>
      <c r="K236" s="135"/>
      <c r="L236" s="135"/>
      <c r="M236" s="135"/>
      <c r="N236" s="135"/>
      <c r="O236" s="135"/>
      <c r="P236" s="135"/>
      <c r="Q236" s="189"/>
      <c r="R236" s="135"/>
      <c r="S236" s="135"/>
      <c r="T236" s="135"/>
      <c r="U236" s="135"/>
      <c r="V236" s="135"/>
    </row>
    <row r="237" customFormat="false" ht="15.75" hidden="false" customHeight="true" outlineLevel="0" collapsed="false">
      <c r="A237" s="135"/>
      <c r="B237" s="135"/>
      <c r="C237" s="182"/>
      <c r="D237" s="135"/>
      <c r="E237" s="135"/>
      <c r="F237" s="135"/>
      <c r="G237" s="135"/>
      <c r="H237" s="189"/>
      <c r="I237" s="135"/>
      <c r="J237" s="135"/>
      <c r="K237" s="135"/>
      <c r="L237" s="135"/>
      <c r="M237" s="135"/>
      <c r="N237" s="135"/>
      <c r="O237" s="135"/>
      <c r="P237" s="135"/>
      <c r="Q237" s="189"/>
      <c r="R237" s="135"/>
      <c r="S237" s="135"/>
      <c r="T237" s="135"/>
      <c r="U237" s="135"/>
      <c r="V237" s="135"/>
    </row>
    <row r="238" customFormat="false" ht="15.75" hidden="false" customHeight="true" outlineLevel="0" collapsed="false">
      <c r="A238" s="135"/>
      <c r="B238" s="135"/>
      <c r="C238" s="182"/>
      <c r="D238" s="135"/>
      <c r="E238" s="135"/>
      <c r="F238" s="135"/>
      <c r="G238" s="135"/>
      <c r="H238" s="189"/>
      <c r="I238" s="135"/>
      <c r="J238" s="135"/>
      <c r="K238" s="135"/>
      <c r="L238" s="135"/>
      <c r="M238" s="135"/>
      <c r="N238" s="135"/>
      <c r="O238" s="135"/>
      <c r="P238" s="135"/>
      <c r="Q238" s="189"/>
      <c r="R238" s="135"/>
      <c r="S238" s="135"/>
      <c r="T238" s="135"/>
      <c r="U238" s="135"/>
      <c r="V238" s="135"/>
    </row>
    <row r="239" customFormat="false" ht="15.75" hidden="false" customHeight="true" outlineLevel="0" collapsed="false">
      <c r="A239" s="135"/>
      <c r="B239" s="135"/>
      <c r="C239" s="182"/>
      <c r="D239" s="135"/>
      <c r="E239" s="135"/>
      <c r="F239" s="135"/>
      <c r="G239" s="135"/>
      <c r="H239" s="189"/>
      <c r="I239" s="135"/>
      <c r="J239" s="135"/>
      <c r="K239" s="135"/>
      <c r="L239" s="135"/>
      <c r="M239" s="135"/>
      <c r="N239" s="135"/>
      <c r="O239" s="135"/>
      <c r="P239" s="135"/>
      <c r="Q239" s="189"/>
      <c r="R239" s="135"/>
      <c r="S239" s="135"/>
      <c r="T239" s="135"/>
      <c r="U239" s="135"/>
      <c r="V239" s="135"/>
    </row>
    <row r="240" customFormat="false" ht="15.75" hidden="false" customHeight="true" outlineLevel="0" collapsed="false">
      <c r="A240" s="135"/>
      <c r="B240" s="135"/>
      <c r="C240" s="182"/>
      <c r="D240" s="135"/>
      <c r="E240" s="135"/>
      <c r="F240" s="135"/>
      <c r="G240" s="135"/>
      <c r="H240" s="189"/>
      <c r="I240" s="135"/>
      <c r="J240" s="135"/>
      <c r="K240" s="135"/>
      <c r="L240" s="135"/>
      <c r="M240" s="135"/>
      <c r="N240" s="135"/>
      <c r="O240" s="135"/>
      <c r="P240" s="135"/>
      <c r="Q240" s="189"/>
      <c r="R240" s="135"/>
      <c r="S240" s="135"/>
      <c r="T240" s="135"/>
      <c r="U240" s="135"/>
      <c r="V240" s="135"/>
    </row>
    <row r="241" customFormat="false" ht="15.75" hidden="false" customHeight="true" outlineLevel="0" collapsed="false">
      <c r="A241" s="135"/>
      <c r="B241" s="135"/>
      <c r="C241" s="182"/>
      <c r="D241" s="135"/>
      <c r="E241" s="135"/>
      <c r="F241" s="135"/>
      <c r="G241" s="135"/>
      <c r="H241" s="189"/>
      <c r="I241" s="135"/>
      <c r="J241" s="135"/>
      <c r="K241" s="135"/>
      <c r="L241" s="135"/>
      <c r="M241" s="135"/>
      <c r="N241" s="135"/>
      <c r="O241" s="135"/>
      <c r="P241" s="135"/>
      <c r="Q241" s="189"/>
      <c r="R241" s="135"/>
      <c r="S241" s="135"/>
      <c r="T241" s="135"/>
      <c r="U241" s="135"/>
      <c r="V241" s="135"/>
    </row>
    <row r="242" customFormat="false" ht="15.75" hidden="false" customHeight="true" outlineLevel="0" collapsed="false">
      <c r="A242" s="135"/>
      <c r="B242" s="135"/>
      <c r="C242" s="182"/>
      <c r="D242" s="135"/>
      <c r="E242" s="135"/>
      <c r="F242" s="135"/>
      <c r="G242" s="135"/>
      <c r="H242" s="189"/>
      <c r="I242" s="135"/>
      <c r="J242" s="135"/>
      <c r="K242" s="135"/>
      <c r="L242" s="135"/>
      <c r="M242" s="135"/>
      <c r="N242" s="135"/>
      <c r="O242" s="135"/>
      <c r="P242" s="135"/>
      <c r="Q242" s="189"/>
      <c r="R242" s="135"/>
      <c r="S242" s="135"/>
      <c r="T242" s="135"/>
      <c r="U242" s="135"/>
      <c r="V242" s="135"/>
    </row>
    <row r="243" customFormat="false" ht="15.75" hidden="false" customHeight="true" outlineLevel="0" collapsed="false">
      <c r="A243" s="135"/>
      <c r="B243" s="135"/>
      <c r="C243" s="182"/>
      <c r="D243" s="135"/>
      <c r="E243" s="135"/>
      <c r="F243" s="135"/>
      <c r="G243" s="135"/>
      <c r="H243" s="189"/>
      <c r="I243" s="135"/>
      <c r="J243" s="135"/>
      <c r="K243" s="135"/>
      <c r="L243" s="135"/>
      <c r="M243" s="135"/>
      <c r="N243" s="135"/>
      <c r="O243" s="135"/>
      <c r="P243" s="135"/>
      <c r="Q243" s="189"/>
      <c r="R243" s="135"/>
      <c r="S243" s="135"/>
      <c r="T243" s="135"/>
      <c r="U243" s="135"/>
      <c r="V243" s="135"/>
    </row>
    <row r="244" customFormat="false" ht="15.75" hidden="false" customHeight="true" outlineLevel="0" collapsed="false">
      <c r="A244" s="135"/>
      <c r="B244" s="135"/>
      <c r="C244" s="182"/>
      <c r="D244" s="135"/>
      <c r="E244" s="135"/>
      <c r="F244" s="135"/>
      <c r="G244" s="135"/>
      <c r="H244" s="189"/>
      <c r="I244" s="135"/>
      <c r="J244" s="135"/>
      <c r="K244" s="135"/>
      <c r="L244" s="135"/>
      <c r="M244" s="135"/>
      <c r="N244" s="135"/>
      <c r="O244" s="135"/>
      <c r="P244" s="135"/>
      <c r="Q244" s="189"/>
      <c r="R244" s="135"/>
      <c r="S244" s="135"/>
      <c r="T244" s="135"/>
      <c r="U244" s="135"/>
      <c r="V244" s="135"/>
    </row>
    <row r="245" customFormat="false" ht="15.75" hidden="false" customHeight="true" outlineLevel="0" collapsed="false">
      <c r="A245" s="135"/>
      <c r="B245" s="135"/>
      <c r="C245" s="182"/>
      <c r="D245" s="135"/>
      <c r="E245" s="135"/>
      <c r="F245" s="135"/>
      <c r="G245" s="135"/>
      <c r="H245" s="189"/>
      <c r="I245" s="135"/>
      <c r="J245" s="135"/>
      <c r="K245" s="135"/>
      <c r="L245" s="135"/>
      <c r="M245" s="135"/>
      <c r="N245" s="135"/>
      <c r="O245" s="135"/>
      <c r="P245" s="135"/>
      <c r="Q245" s="189"/>
      <c r="R245" s="135"/>
      <c r="S245" s="135"/>
      <c r="T245" s="135"/>
      <c r="U245" s="135"/>
      <c r="V245" s="135"/>
    </row>
    <row r="246" customFormat="false" ht="15.75" hidden="false" customHeight="true" outlineLevel="0" collapsed="false">
      <c r="A246" s="135"/>
      <c r="B246" s="135"/>
      <c r="C246" s="182"/>
      <c r="D246" s="135"/>
      <c r="E246" s="135"/>
      <c r="F246" s="135"/>
      <c r="G246" s="135"/>
      <c r="H246" s="189"/>
      <c r="I246" s="135"/>
      <c r="J246" s="135"/>
      <c r="K246" s="135"/>
      <c r="L246" s="135"/>
      <c r="M246" s="135"/>
      <c r="N246" s="135"/>
      <c r="O246" s="135"/>
      <c r="P246" s="135"/>
      <c r="Q246" s="189"/>
      <c r="R246" s="135"/>
      <c r="S246" s="135"/>
      <c r="T246" s="135"/>
      <c r="U246" s="135"/>
      <c r="V246" s="135"/>
    </row>
    <row r="247" customFormat="false" ht="15.75" hidden="false" customHeight="true" outlineLevel="0" collapsed="false">
      <c r="A247" s="135"/>
      <c r="B247" s="135"/>
      <c r="C247" s="182"/>
      <c r="D247" s="135"/>
      <c r="E247" s="135"/>
      <c r="F247" s="135"/>
      <c r="G247" s="135"/>
      <c r="H247" s="189"/>
      <c r="I247" s="135"/>
      <c r="J247" s="135"/>
      <c r="K247" s="135"/>
      <c r="L247" s="135"/>
      <c r="M247" s="135"/>
      <c r="N247" s="135"/>
      <c r="O247" s="135"/>
      <c r="P247" s="135"/>
      <c r="Q247" s="189"/>
      <c r="R247" s="135"/>
      <c r="S247" s="135"/>
      <c r="T247" s="135"/>
      <c r="U247" s="135"/>
      <c r="V247" s="135"/>
    </row>
    <row r="248" customFormat="false" ht="15.75" hidden="false" customHeight="true" outlineLevel="0" collapsed="false">
      <c r="A248" s="135"/>
      <c r="B248" s="135"/>
      <c r="C248" s="182"/>
      <c r="D248" s="135"/>
      <c r="E248" s="135"/>
      <c r="F248" s="135"/>
      <c r="G248" s="135"/>
      <c r="H248" s="189"/>
      <c r="I248" s="135"/>
      <c r="J248" s="135"/>
      <c r="K248" s="135"/>
      <c r="L248" s="135"/>
      <c r="M248" s="135"/>
      <c r="N248" s="135"/>
      <c r="O248" s="135"/>
      <c r="P248" s="135"/>
      <c r="Q248" s="189"/>
      <c r="R248" s="135"/>
      <c r="S248" s="135"/>
      <c r="T248" s="135"/>
      <c r="U248" s="135"/>
      <c r="V248" s="135"/>
    </row>
    <row r="249" customFormat="false" ht="15.75" hidden="false" customHeight="true" outlineLevel="0" collapsed="false">
      <c r="A249" s="135"/>
      <c r="B249" s="135"/>
      <c r="C249" s="182"/>
      <c r="D249" s="135"/>
      <c r="E249" s="135"/>
      <c r="F249" s="135"/>
      <c r="G249" s="135"/>
      <c r="H249" s="189"/>
      <c r="I249" s="135"/>
      <c r="J249" s="135"/>
      <c r="K249" s="135"/>
      <c r="L249" s="135"/>
      <c r="M249" s="135"/>
      <c r="N249" s="135"/>
      <c r="O249" s="135"/>
      <c r="P249" s="135"/>
      <c r="Q249" s="189"/>
      <c r="R249" s="135"/>
      <c r="S249" s="135"/>
      <c r="T249" s="135"/>
      <c r="U249" s="135"/>
      <c r="V249" s="135"/>
    </row>
    <row r="250" customFormat="false" ht="15.75" hidden="false" customHeight="true" outlineLevel="0" collapsed="false">
      <c r="A250" s="135"/>
      <c r="B250" s="135"/>
      <c r="C250" s="182"/>
      <c r="D250" s="135"/>
      <c r="E250" s="135"/>
      <c r="F250" s="135"/>
      <c r="G250" s="135"/>
      <c r="H250" s="189"/>
      <c r="I250" s="135"/>
      <c r="J250" s="135"/>
      <c r="K250" s="135"/>
      <c r="L250" s="135"/>
      <c r="M250" s="135"/>
      <c r="N250" s="135"/>
      <c r="O250" s="135"/>
      <c r="P250" s="135"/>
      <c r="Q250" s="189"/>
      <c r="R250" s="135"/>
      <c r="S250" s="135"/>
      <c r="T250" s="135"/>
      <c r="U250" s="135"/>
      <c r="V250" s="135"/>
    </row>
    <row r="251" customFormat="false" ht="15.75" hidden="false" customHeight="true" outlineLevel="0" collapsed="false">
      <c r="A251" s="135"/>
      <c r="B251" s="135"/>
      <c r="C251" s="182"/>
      <c r="D251" s="135"/>
      <c r="E251" s="135"/>
      <c r="F251" s="135"/>
      <c r="G251" s="135"/>
      <c r="H251" s="189"/>
      <c r="I251" s="135"/>
      <c r="J251" s="135"/>
      <c r="K251" s="135"/>
      <c r="L251" s="135"/>
      <c r="M251" s="135"/>
      <c r="N251" s="135"/>
      <c r="O251" s="135"/>
      <c r="P251" s="135"/>
      <c r="Q251" s="189"/>
      <c r="R251" s="135"/>
      <c r="S251" s="135"/>
      <c r="T251" s="135"/>
      <c r="U251" s="135"/>
      <c r="V251" s="135"/>
    </row>
    <row r="252" customFormat="false" ht="15.75" hidden="false" customHeight="true" outlineLevel="0" collapsed="false">
      <c r="A252" s="135"/>
      <c r="B252" s="135"/>
      <c r="C252" s="182"/>
      <c r="D252" s="135"/>
      <c r="E252" s="135"/>
      <c r="F252" s="135"/>
      <c r="G252" s="135"/>
      <c r="H252" s="189"/>
      <c r="I252" s="135"/>
      <c r="J252" s="135"/>
      <c r="K252" s="135"/>
      <c r="L252" s="135"/>
      <c r="M252" s="135"/>
      <c r="N252" s="135"/>
      <c r="O252" s="135"/>
      <c r="P252" s="135"/>
      <c r="Q252" s="189"/>
      <c r="R252" s="135"/>
      <c r="S252" s="135"/>
      <c r="T252" s="135"/>
      <c r="U252" s="135"/>
      <c r="V252" s="135"/>
    </row>
    <row r="253" customFormat="false" ht="15.75" hidden="false" customHeight="true" outlineLevel="0" collapsed="false">
      <c r="A253" s="135"/>
      <c r="B253" s="135"/>
      <c r="C253" s="182"/>
      <c r="D253" s="135"/>
      <c r="E253" s="135"/>
      <c r="F253" s="135"/>
      <c r="G253" s="135"/>
      <c r="H253" s="189"/>
      <c r="I253" s="135"/>
      <c r="J253" s="135"/>
      <c r="K253" s="135"/>
      <c r="L253" s="135"/>
      <c r="M253" s="135"/>
      <c r="N253" s="135"/>
      <c r="O253" s="135"/>
      <c r="P253" s="135"/>
      <c r="Q253" s="189"/>
      <c r="R253" s="135"/>
      <c r="S253" s="135"/>
      <c r="T253" s="135"/>
      <c r="U253" s="135"/>
      <c r="V253" s="135"/>
    </row>
    <row r="254" customFormat="false" ht="15.75" hidden="false" customHeight="true" outlineLevel="0" collapsed="false">
      <c r="A254" s="135"/>
      <c r="B254" s="135"/>
      <c r="C254" s="182"/>
      <c r="D254" s="135"/>
      <c r="E254" s="135"/>
      <c r="F254" s="135"/>
      <c r="G254" s="135"/>
      <c r="H254" s="189"/>
      <c r="I254" s="135"/>
      <c r="J254" s="135"/>
      <c r="K254" s="135"/>
      <c r="L254" s="135"/>
      <c r="M254" s="135"/>
      <c r="N254" s="135"/>
      <c r="O254" s="135"/>
      <c r="P254" s="135"/>
      <c r="Q254" s="189"/>
      <c r="R254" s="135"/>
      <c r="S254" s="135"/>
      <c r="T254" s="135"/>
      <c r="U254" s="135"/>
      <c r="V254" s="135"/>
    </row>
    <row r="255" customFormat="false" ht="15.75" hidden="false" customHeight="true" outlineLevel="0" collapsed="false">
      <c r="A255" s="135"/>
      <c r="B255" s="135"/>
      <c r="C255" s="182"/>
      <c r="D255" s="135"/>
      <c r="E255" s="135"/>
      <c r="F255" s="135"/>
      <c r="G255" s="135"/>
      <c r="H255" s="189"/>
      <c r="I255" s="135"/>
      <c r="J255" s="135"/>
      <c r="K255" s="135"/>
      <c r="L255" s="135"/>
      <c r="M255" s="135"/>
      <c r="N255" s="135"/>
      <c r="O255" s="135"/>
      <c r="P255" s="135"/>
      <c r="Q255" s="189"/>
      <c r="R255" s="135"/>
      <c r="S255" s="135"/>
      <c r="T255" s="135"/>
      <c r="U255" s="135"/>
      <c r="V255" s="135"/>
    </row>
    <row r="256" customFormat="false" ht="15.75" hidden="false" customHeight="true" outlineLevel="0" collapsed="false">
      <c r="A256" s="135"/>
      <c r="B256" s="135"/>
      <c r="C256" s="182"/>
      <c r="D256" s="135"/>
      <c r="E256" s="135"/>
      <c r="F256" s="135"/>
      <c r="G256" s="135"/>
      <c r="H256" s="189"/>
      <c r="I256" s="135"/>
      <c r="J256" s="135"/>
      <c r="K256" s="135"/>
      <c r="L256" s="135"/>
      <c r="M256" s="135"/>
      <c r="N256" s="135"/>
      <c r="O256" s="135"/>
      <c r="P256" s="135"/>
      <c r="Q256" s="189"/>
      <c r="R256" s="135"/>
      <c r="S256" s="135"/>
      <c r="T256" s="135"/>
      <c r="U256" s="135"/>
      <c r="V256" s="135"/>
    </row>
    <row r="257" customFormat="false" ht="15.75" hidden="false" customHeight="true" outlineLevel="0" collapsed="false">
      <c r="A257" s="135"/>
      <c r="B257" s="135"/>
      <c r="C257" s="182"/>
      <c r="D257" s="135"/>
      <c r="E257" s="135"/>
      <c r="F257" s="135"/>
      <c r="G257" s="135"/>
      <c r="H257" s="189"/>
      <c r="I257" s="135"/>
      <c r="J257" s="135"/>
      <c r="K257" s="135"/>
      <c r="L257" s="135"/>
      <c r="M257" s="135"/>
      <c r="N257" s="135"/>
      <c r="O257" s="135"/>
      <c r="P257" s="135"/>
      <c r="Q257" s="189"/>
      <c r="R257" s="135"/>
      <c r="S257" s="135"/>
      <c r="T257" s="135"/>
      <c r="U257" s="135"/>
      <c r="V257" s="135"/>
    </row>
    <row r="258" customFormat="false" ht="15.75" hidden="false" customHeight="true" outlineLevel="0" collapsed="false">
      <c r="A258" s="135"/>
      <c r="B258" s="135"/>
      <c r="C258" s="182"/>
      <c r="D258" s="135"/>
      <c r="E258" s="135"/>
      <c r="F258" s="135"/>
      <c r="G258" s="135"/>
      <c r="H258" s="189"/>
      <c r="I258" s="135"/>
      <c r="J258" s="135"/>
      <c r="K258" s="135"/>
      <c r="L258" s="135"/>
      <c r="M258" s="135"/>
      <c r="N258" s="135"/>
      <c r="O258" s="135"/>
      <c r="P258" s="135"/>
      <c r="Q258" s="189"/>
      <c r="R258" s="135"/>
      <c r="S258" s="135"/>
      <c r="T258" s="135"/>
      <c r="U258" s="135"/>
      <c r="V258" s="135"/>
    </row>
    <row r="259" customFormat="false" ht="15.75" hidden="false" customHeight="true" outlineLevel="0" collapsed="false">
      <c r="A259" s="135"/>
      <c r="B259" s="135"/>
      <c r="C259" s="182"/>
      <c r="D259" s="135"/>
      <c r="E259" s="135"/>
      <c r="F259" s="135"/>
      <c r="G259" s="135"/>
      <c r="H259" s="189"/>
      <c r="I259" s="135"/>
      <c r="J259" s="135"/>
      <c r="K259" s="135"/>
      <c r="L259" s="135"/>
      <c r="M259" s="135"/>
      <c r="N259" s="135"/>
      <c r="O259" s="135"/>
      <c r="P259" s="135"/>
      <c r="Q259" s="189"/>
      <c r="R259" s="135"/>
      <c r="S259" s="135"/>
      <c r="T259" s="135"/>
      <c r="U259" s="135"/>
      <c r="V259" s="135"/>
    </row>
    <row r="260" customFormat="false" ht="15.75" hidden="false" customHeight="true" outlineLevel="0" collapsed="false">
      <c r="A260" s="135"/>
      <c r="B260" s="135"/>
      <c r="C260" s="182"/>
      <c r="D260" s="135"/>
      <c r="E260" s="135"/>
      <c r="F260" s="135"/>
      <c r="G260" s="135"/>
      <c r="H260" s="189"/>
      <c r="I260" s="135"/>
      <c r="J260" s="135"/>
      <c r="K260" s="135"/>
      <c r="L260" s="135"/>
      <c r="M260" s="135"/>
      <c r="N260" s="135"/>
      <c r="O260" s="135"/>
      <c r="P260" s="135"/>
      <c r="Q260" s="189"/>
      <c r="R260" s="135"/>
      <c r="S260" s="135"/>
      <c r="T260" s="135"/>
      <c r="U260" s="135"/>
      <c r="V260" s="135"/>
    </row>
    <row r="261" customFormat="false" ht="15.75" hidden="false" customHeight="true" outlineLevel="0" collapsed="false">
      <c r="A261" s="135"/>
      <c r="B261" s="135"/>
      <c r="C261" s="182"/>
      <c r="D261" s="135"/>
      <c r="E261" s="135"/>
      <c r="F261" s="135"/>
      <c r="G261" s="135"/>
      <c r="H261" s="189"/>
      <c r="I261" s="135"/>
      <c r="J261" s="135"/>
      <c r="K261" s="135"/>
      <c r="L261" s="135"/>
      <c r="M261" s="135"/>
      <c r="N261" s="135"/>
      <c r="O261" s="135"/>
      <c r="P261" s="135"/>
      <c r="Q261" s="189"/>
      <c r="R261" s="135"/>
      <c r="S261" s="135"/>
      <c r="T261" s="135"/>
      <c r="U261" s="135"/>
      <c r="V261" s="135"/>
    </row>
    <row r="262" customFormat="false" ht="15.75" hidden="false" customHeight="true" outlineLevel="0" collapsed="false">
      <c r="A262" s="135"/>
      <c r="B262" s="135"/>
      <c r="C262" s="182"/>
      <c r="D262" s="135"/>
      <c r="E262" s="135"/>
      <c r="F262" s="135"/>
      <c r="G262" s="135"/>
      <c r="H262" s="189"/>
      <c r="I262" s="135"/>
      <c r="J262" s="135"/>
      <c r="K262" s="135"/>
      <c r="L262" s="135"/>
      <c r="M262" s="135"/>
      <c r="N262" s="135"/>
      <c r="O262" s="135"/>
      <c r="P262" s="135"/>
      <c r="Q262" s="189"/>
      <c r="R262" s="135"/>
      <c r="S262" s="135"/>
      <c r="T262" s="135"/>
      <c r="U262" s="135"/>
      <c r="V262" s="135"/>
    </row>
    <row r="263" customFormat="false" ht="15.75" hidden="false" customHeight="true" outlineLevel="0" collapsed="false">
      <c r="A263" s="135"/>
      <c r="B263" s="135"/>
      <c r="C263" s="182"/>
      <c r="D263" s="135"/>
      <c r="E263" s="135"/>
      <c r="F263" s="135"/>
      <c r="G263" s="135"/>
      <c r="H263" s="189"/>
      <c r="I263" s="135"/>
      <c r="J263" s="135"/>
      <c r="K263" s="135"/>
      <c r="L263" s="135"/>
      <c r="M263" s="135"/>
      <c r="N263" s="135"/>
      <c r="O263" s="135"/>
      <c r="P263" s="135"/>
      <c r="Q263" s="189"/>
      <c r="R263" s="135"/>
      <c r="S263" s="135"/>
      <c r="T263" s="135"/>
      <c r="U263" s="135"/>
      <c r="V263" s="135"/>
    </row>
    <row r="264" customFormat="false" ht="15.75" hidden="false" customHeight="true" outlineLevel="0" collapsed="false">
      <c r="A264" s="135"/>
      <c r="B264" s="135"/>
      <c r="C264" s="182"/>
      <c r="D264" s="135"/>
      <c r="E264" s="135"/>
      <c r="F264" s="135"/>
      <c r="G264" s="135"/>
      <c r="H264" s="189"/>
      <c r="I264" s="135"/>
      <c r="J264" s="135"/>
      <c r="K264" s="135"/>
      <c r="L264" s="135"/>
      <c r="M264" s="135"/>
      <c r="N264" s="135"/>
      <c r="O264" s="135"/>
      <c r="P264" s="135"/>
      <c r="Q264" s="189"/>
      <c r="R264" s="135"/>
      <c r="S264" s="135"/>
      <c r="T264" s="135"/>
      <c r="U264" s="135"/>
      <c r="V264" s="135"/>
    </row>
    <row r="265" customFormat="false" ht="15.75" hidden="false" customHeight="true" outlineLevel="0" collapsed="false">
      <c r="A265" s="135"/>
      <c r="B265" s="135"/>
      <c r="C265" s="182"/>
      <c r="D265" s="135"/>
      <c r="E265" s="135"/>
      <c r="F265" s="135"/>
      <c r="G265" s="135"/>
      <c r="H265" s="189"/>
      <c r="I265" s="135"/>
      <c r="J265" s="135"/>
      <c r="K265" s="135"/>
      <c r="L265" s="135"/>
      <c r="M265" s="135"/>
      <c r="N265" s="135"/>
      <c r="O265" s="135"/>
      <c r="P265" s="135"/>
      <c r="Q265" s="189"/>
      <c r="R265" s="135"/>
      <c r="S265" s="135"/>
      <c r="T265" s="135"/>
      <c r="U265" s="135"/>
      <c r="V265" s="135"/>
    </row>
    <row r="266" customFormat="false" ht="15.75" hidden="false" customHeight="true" outlineLevel="0" collapsed="false">
      <c r="A266" s="135"/>
      <c r="B266" s="135"/>
      <c r="C266" s="182"/>
      <c r="D266" s="135"/>
      <c r="E266" s="135"/>
      <c r="F266" s="135"/>
      <c r="G266" s="135"/>
      <c r="H266" s="189"/>
      <c r="I266" s="135"/>
      <c r="J266" s="135"/>
      <c r="K266" s="135"/>
      <c r="L266" s="135"/>
      <c r="M266" s="135"/>
      <c r="N266" s="135"/>
      <c r="O266" s="135"/>
      <c r="P266" s="135"/>
      <c r="Q266" s="189"/>
      <c r="R266" s="135"/>
      <c r="S266" s="135"/>
      <c r="T266" s="135"/>
      <c r="U266" s="135"/>
      <c r="V266" s="135"/>
    </row>
    <row r="267" customFormat="false" ht="15.75" hidden="false" customHeight="true" outlineLevel="0" collapsed="false">
      <c r="A267" s="135"/>
      <c r="B267" s="135"/>
      <c r="C267" s="182"/>
      <c r="D267" s="135"/>
      <c r="E267" s="135"/>
      <c r="F267" s="135"/>
      <c r="G267" s="135"/>
      <c r="H267" s="189"/>
      <c r="I267" s="135"/>
      <c r="J267" s="135"/>
      <c r="K267" s="135"/>
      <c r="L267" s="135"/>
      <c r="M267" s="135"/>
      <c r="N267" s="135"/>
      <c r="O267" s="135"/>
      <c r="P267" s="135"/>
      <c r="Q267" s="189"/>
      <c r="R267" s="135"/>
      <c r="S267" s="135"/>
      <c r="T267" s="135"/>
      <c r="U267" s="135"/>
      <c r="V267" s="135"/>
    </row>
    <row r="268" customFormat="false" ht="15.75" hidden="false" customHeight="true" outlineLevel="0" collapsed="false">
      <c r="A268" s="135"/>
      <c r="B268" s="135"/>
      <c r="C268" s="182"/>
      <c r="D268" s="135"/>
      <c r="E268" s="135"/>
      <c r="F268" s="135"/>
      <c r="G268" s="135"/>
      <c r="H268" s="189"/>
      <c r="I268" s="135"/>
      <c r="J268" s="135"/>
      <c r="K268" s="135"/>
      <c r="L268" s="135"/>
      <c r="M268" s="135"/>
      <c r="N268" s="135"/>
      <c r="O268" s="135"/>
      <c r="P268" s="135"/>
      <c r="Q268" s="189"/>
      <c r="R268" s="135"/>
      <c r="S268" s="135"/>
      <c r="T268" s="135"/>
      <c r="U268" s="135"/>
      <c r="V268" s="135"/>
    </row>
    <row r="269" customFormat="false" ht="15.75" hidden="false" customHeight="true" outlineLevel="0" collapsed="false">
      <c r="A269" s="135"/>
      <c r="B269" s="135"/>
      <c r="C269" s="182"/>
      <c r="D269" s="135"/>
      <c r="E269" s="135"/>
      <c r="F269" s="135"/>
      <c r="G269" s="135"/>
      <c r="H269" s="189"/>
      <c r="I269" s="135"/>
      <c r="J269" s="135"/>
      <c r="K269" s="135"/>
      <c r="L269" s="135"/>
      <c r="M269" s="135"/>
      <c r="N269" s="135"/>
      <c r="O269" s="135"/>
      <c r="P269" s="135"/>
      <c r="Q269" s="189"/>
      <c r="R269" s="135"/>
      <c r="S269" s="135"/>
      <c r="T269" s="135"/>
      <c r="U269" s="135"/>
      <c r="V269" s="135"/>
    </row>
    <row r="270" customFormat="false" ht="15.75" hidden="false" customHeight="true" outlineLevel="0" collapsed="false">
      <c r="A270" s="135"/>
      <c r="B270" s="135"/>
      <c r="C270" s="182"/>
      <c r="D270" s="135"/>
      <c r="E270" s="135"/>
      <c r="F270" s="135"/>
      <c r="G270" s="135"/>
      <c r="H270" s="189"/>
      <c r="I270" s="135"/>
      <c r="J270" s="135"/>
      <c r="K270" s="135"/>
      <c r="L270" s="135"/>
      <c r="M270" s="135"/>
      <c r="N270" s="135"/>
      <c r="O270" s="135"/>
      <c r="P270" s="135"/>
      <c r="Q270" s="189"/>
      <c r="R270" s="135"/>
      <c r="S270" s="135"/>
      <c r="T270" s="135"/>
      <c r="U270" s="135"/>
      <c r="V270" s="135"/>
    </row>
    <row r="271" customFormat="false" ht="15.75" hidden="false" customHeight="true" outlineLevel="0" collapsed="false">
      <c r="A271" s="135"/>
      <c r="B271" s="135"/>
      <c r="C271" s="182"/>
      <c r="D271" s="135"/>
      <c r="E271" s="135"/>
      <c r="F271" s="135"/>
      <c r="G271" s="135"/>
      <c r="H271" s="189"/>
      <c r="I271" s="135"/>
      <c r="J271" s="135"/>
      <c r="K271" s="135"/>
      <c r="L271" s="135"/>
      <c r="M271" s="135"/>
      <c r="N271" s="135"/>
      <c r="O271" s="135"/>
      <c r="P271" s="135"/>
      <c r="Q271" s="189"/>
      <c r="R271" s="135"/>
      <c r="S271" s="135"/>
      <c r="T271" s="135"/>
      <c r="U271" s="135"/>
      <c r="V271" s="135"/>
    </row>
    <row r="272" customFormat="false" ht="15.75" hidden="false" customHeight="true" outlineLevel="0" collapsed="false">
      <c r="A272" s="135"/>
      <c r="B272" s="135"/>
      <c r="C272" s="182"/>
      <c r="D272" s="135"/>
      <c r="E272" s="135"/>
      <c r="F272" s="135"/>
      <c r="G272" s="135"/>
      <c r="H272" s="189"/>
      <c r="I272" s="135"/>
      <c r="J272" s="135"/>
      <c r="K272" s="135"/>
      <c r="L272" s="135"/>
      <c r="M272" s="135"/>
      <c r="N272" s="135"/>
      <c r="O272" s="135"/>
      <c r="P272" s="135"/>
      <c r="Q272" s="189"/>
      <c r="R272" s="135"/>
      <c r="S272" s="135"/>
      <c r="T272" s="135"/>
      <c r="U272" s="135"/>
      <c r="V272" s="135"/>
    </row>
    <row r="273" customFormat="false" ht="15.75" hidden="false" customHeight="true" outlineLevel="0" collapsed="false">
      <c r="A273" s="135"/>
      <c r="B273" s="135"/>
      <c r="C273" s="182"/>
      <c r="D273" s="135"/>
      <c r="E273" s="135"/>
      <c r="F273" s="135"/>
      <c r="G273" s="135"/>
      <c r="H273" s="189"/>
      <c r="I273" s="135"/>
      <c r="J273" s="135"/>
      <c r="K273" s="135"/>
      <c r="L273" s="135"/>
      <c r="M273" s="135"/>
      <c r="N273" s="135"/>
      <c r="O273" s="135"/>
      <c r="P273" s="135"/>
      <c r="Q273" s="189"/>
      <c r="R273" s="135"/>
      <c r="S273" s="135"/>
      <c r="T273" s="135"/>
      <c r="U273" s="135"/>
      <c r="V273" s="135"/>
    </row>
    <row r="274" customFormat="false" ht="15.75" hidden="false" customHeight="true" outlineLevel="0" collapsed="false">
      <c r="A274" s="135"/>
      <c r="B274" s="135"/>
      <c r="C274" s="182"/>
      <c r="D274" s="135"/>
      <c r="E274" s="135"/>
      <c r="F274" s="135"/>
      <c r="G274" s="135"/>
      <c r="H274" s="189"/>
      <c r="I274" s="135"/>
      <c r="J274" s="135"/>
      <c r="K274" s="135"/>
      <c r="L274" s="135"/>
      <c r="M274" s="135"/>
      <c r="N274" s="135"/>
      <c r="O274" s="135"/>
      <c r="P274" s="135"/>
      <c r="Q274" s="189"/>
      <c r="R274" s="135"/>
      <c r="S274" s="135"/>
      <c r="T274" s="135"/>
      <c r="U274" s="135"/>
      <c r="V274" s="135"/>
    </row>
    <row r="275" customFormat="false" ht="15.75" hidden="false" customHeight="true" outlineLevel="0" collapsed="false">
      <c r="A275" s="135"/>
      <c r="B275" s="135"/>
      <c r="C275" s="182"/>
      <c r="D275" s="135"/>
      <c r="E275" s="135"/>
      <c r="F275" s="135"/>
      <c r="G275" s="135"/>
      <c r="H275" s="189"/>
      <c r="I275" s="135"/>
      <c r="J275" s="135"/>
      <c r="K275" s="135"/>
      <c r="L275" s="135"/>
      <c r="M275" s="135"/>
      <c r="N275" s="135"/>
      <c r="O275" s="135"/>
      <c r="P275" s="135"/>
      <c r="Q275" s="189"/>
      <c r="R275" s="135"/>
      <c r="S275" s="135"/>
      <c r="T275" s="135"/>
      <c r="U275" s="135"/>
      <c r="V275" s="135"/>
    </row>
    <row r="276" customFormat="false" ht="15.75" hidden="false" customHeight="true" outlineLevel="0" collapsed="false">
      <c r="A276" s="135"/>
      <c r="B276" s="135"/>
      <c r="C276" s="182"/>
      <c r="D276" s="135"/>
      <c r="E276" s="135"/>
      <c r="F276" s="135"/>
      <c r="G276" s="135"/>
      <c r="H276" s="189"/>
      <c r="I276" s="135"/>
      <c r="J276" s="135"/>
      <c r="K276" s="135"/>
      <c r="L276" s="135"/>
      <c r="M276" s="135"/>
      <c r="N276" s="135"/>
      <c r="O276" s="135"/>
      <c r="P276" s="135"/>
      <c r="Q276" s="189"/>
      <c r="R276" s="135"/>
      <c r="S276" s="135"/>
      <c r="T276" s="135"/>
      <c r="U276" s="135"/>
      <c r="V276" s="135"/>
    </row>
    <row r="277" customFormat="false" ht="15.75" hidden="false" customHeight="true" outlineLevel="0" collapsed="false">
      <c r="A277" s="135"/>
      <c r="B277" s="135"/>
      <c r="C277" s="182"/>
      <c r="D277" s="135"/>
      <c r="E277" s="135"/>
      <c r="F277" s="135"/>
      <c r="G277" s="135"/>
      <c r="H277" s="189"/>
      <c r="I277" s="135"/>
      <c r="J277" s="135"/>
      <c r="K277" s="135"/>
      <c r="L277" s="135"/>
      <c r="M277" s="135"/>
      <c r="N277" s="135"/>
      <c r="O277" s="135"/>
      <c r="P277" s="135"/>
      <c r="Q277" s="189"/>
      <c r="R277" s="135"/>
      <c r="S277" s="135"/>
      <c r="T277" s="135"/>
      <c r="U277" s="135"/>
      <c r="V277" s="135"/>
    </row>
    <row r="278" customFormat="false" ht="15.75" hidden="false" customHeight="true" outlineLevel="0" collapsed="false">
      <c r="A278" s="135"/>
      <c r="B278" s="135"/>
      <c r="C278" s="182"/>
      <c r="D278" s="135"/>
      <c r="E278" s="135"/>
      <c r="F278" s="135"/>
      <c r="G278" s="135"/>
      <c r="H278" s="189"/>
      <c r="I278" s="135"/>
      <c r="J278" s="135"/>
      <c r="K278" s="135"/>
      <c r="L278" s="135"/>
      <c r="M278" s="135"/>
      <c r="N278" s="135"/>
      <c r="O278" s="135"/>
      <c r="P278" s="135"/>
      <c r="Q278" s="189"/>
      <c r="R278" s="135"/>
      <c r="S278" s="135"/>
      <c r="T278" s="135"/>
      <c r="U278" s="135"/>
      <c r="V278" s="135"/>
    </row>
    <row r="279" customFormat="false" ht="15.75" hidden="false" customHeight="true" outlineLevel="0" collapsed="false">
      <c r="A279" s="135"/>
      <c r="B279" s="135"/>
      <c r="C279" s="182"/>
      <c r="D279" s="135"/>
      <c r="E279" s="135"/>
      <c r="F279" s="135"/>
      <c r="G279" s="135"/>
      <c r="H279" s="189"/>
      <c r="I279" s="135"/>
      <c r="J279" s="135"/>
      <c r="K279" s="135"/>
      <c r="L279" s="135"/>
      <c r="M279" s="135"/>
      <c r="N279" s="135"/>
      <c r="O279" s="135"/>
      <c r="P279" s="135"/>
      <c r="Q279" s="189"/>
      <c r="R279" s="135"/>
      <c r="S279" s="135"/>
      <c r="T279" s="135"/>
      <c r="U279" s="135"/>
      <c r="V279" s="135"/>
    </row>
    <row r="280" customFormat="false" ht="15.75" hidden="false" customHeight="true" outlineLevel="0" collapsed="false">
      <c r="A280" s="135"/>
      <c r="B280" s="135"/>
      <c r="C280" s="182"/>
      <c r="D280" s="135"/>
      <c r="E280" s="135"/>
      <c r="F280" s="135"/>
      <c r="G280" s="135"/>
      <c r="H280" s="189"/>
      <c r="I280" s="135"/>
      <c r="J280" s="135"/>
      <c r="K280" s="135"/>
      <c r="L280" s="135"/>
      <c r="M280" s="135"/>
      <c r="N280" s="135"/>
      <c r="O280" s="135"/>
      <c r="P280" s="135"/>
      <c r="Q280" s="189"/>
      <c r="R280" s="135"/>
      <c r="S280" s="135"/>
      <c r="T280" s="135"/>
      <c r="U280" s="135"/>
      <c r="V280" s="135"/>
    </row>
    <row r="281" customFormat="false" ht="15.75" hidden="false" customHeight="true" outlineLevel="0" collapsed="false">
      <c r="A281" s="135"/>
      <c r="B281" s="135"/>
      <c r="C281" s="182"/>
      <c r="D281" s="135"/>
      <c r="E281" s="135"/>
      <c r="F281" s="135"/>
      <c r="G281" s="135"/>
      <c r="H281" s="189"/>
      <c r="I281" s="135"/>
      <c r="J281" s="135"/>
      <c r="K281" s="135"/>
      <c r="L281" s="135"/>
      <c r="M281" s="135"/>
      <c r="N281" s="135"/>
      <c r="O281" s="135"/>
      <c r="P281" s="135"/>
      <c r="Q281" s="189"/>
      <c r="R281" s="135"/>
      <c r="S281" s="135"/>
      <c r="T281" s="135"/>
      <c r="U281" s="135"/>
      <c r="V281" s="135"/>
    </row>
    <row r="282" customFormat="false" ht="15.75" hidden="false" customHeight="true" outlineLevel="0" collapsed="false">
      <c r="A282" s="135"/>
      <c r="B282" s="135"/>
      <c r="C282" s="182"/>
      <c r="D282" s="135"/>
      <c r="E282" s="135"/>
      <c r="F282" s="135"/>
      <c r="G282" s="135"/>
      <c r="H282" s="189"/>
      <c r="I282" s="135"/>
      <c r="J282" s="135"/>
      <c r="K282" s="135"/>
      <c r="L282" s="135"/>
      <c r="M282" s="135"/>
      <c r="N282" s="135"/>
      <c r="O282" s="135"/>
      <c r="P282" s="135"/>
      <c r="Q282" s="189"/>
      <c r="R282" s="135"/>
      <c r="S282" s="135"/>
      <c r="T282" s="135"/>
      <c r="U282" s="135"/>
      <c r="V282" s="135"/>
    </row>
    <row r="283" customFormat="false" ht="15.75" hidden="false" customHeight="true" outlineLevel="0" collapsed="false">
      <c r="A283" s="135"/>
      <c r="B283" s="135"/>
      <c r="C283" s="182"/>
      <c r="D283" s="135"/>
      <c r="E283" s="135"/>
      <c r="F283" s="135"/>
      <c r="G283" s="135"/>
      <c r="H283" s="189"/>
      <c r="I283" s="135"/>
      <c r="J283" s="135"/>
      <c r="K283" s="135"/>
      <c r="L283" s="135"/>
      <c r="M283" s="135"/>
      <c r="N283" s="135"/>
      <c r="O283" s="135"/>
      <c r="P283" s="135"/>
      <c r="Q283" s="189"/>
      <c r="R283" s="135"/>
      <c r="S283" s="135"/>
      <c r="T283" s="135"/>
      <c r="U283" s="135"/>
      <c r="V283" s="135"/>
    </row>
    <row r="284" customFormat="false" ht="15.75" hidden="false" customHeight="true" outlineLevel="0" collapsed="false">
      <c r="A284" s="135"/>
      <c r="B284" s="135"/>
      <c r="C284" s="182"/>
      <c r="D284" s="135"/>
      <c r="E284" s="135"/>
      <c r="F284" s="135"/>
      <c r="G284" s="135"/>
      <c r="H284" s="189"/>
      <c r="I284" s="135"/>
      <c r="J284" s="135"/>
      <c r="K284" s="135"/>
      <c r="L284" s="135"/>
      <c r="M284" s="135"/>
      <c r="N284" s="135"/>
      <c r="O284" s="135"/>
      <c r="P284" s="135"/>
      <c r="Q284" s="189"/>
      <c r="R284" s="135"/>
      <c r="S284" s="135"/>
      <c r="T284" s="135"/>
      <c r="U284" s="135"/>
      <c r="V284" s="135"/>
    </row>
    <row r="285" customFormat="false" ht="15.75" hidden="false" customHeight="true" outlineLevel="0" collapsed="false">
      <c r="A285" s="135"/>
      <c r="B285" s="135"/>
      <c r="C285" s="182"/>
      <c r="D285" s="135"/>
      <c r="E285" s="135"/>
      <c r="F285" s="135"/>
      <c r="G285" s="135"/>
      <c r="H285" s="189"/>
      <c r="I285" s="135"/>
      <c r="J285" s="135"/>
      <c r="K285" s="135"/>
      <c r="L285" s="135"/>
      <c r="M285" s="135"/>
      <c r="N285" s="135"/>
      <c r="O285" s="135"/>
      <c r="P285" s="135"/>
      <c r="Q285" s="189"/>
      <c r="R285" s="135"/>
      <c r="S285" s="135"/>
      <c r="T285" s="135"/>
      <c r="U285" s="135"/>
      <c r="V285" s="135"/>
    </row>
    <row r="286" customFormat="false" ht="15.75" hidden="false" customHeight="true" outlineLevel="0" collapsed="false">
      <c r="A286" s="135"/>
      <c r="B286" s="135"/>
      <c r="C286" s="182"/>
      <c r="D286" s="135"/>
      <c r="E286" s="135"/>
      <c r="F286" s="135"/>
      <c r="G286" s="135"/>
      <c r="H286" s="189"/>
      <c r="I286" s="135"/>
      <c r="J286" s="135"/>
      <c r="K286" s="135"/>
      <c r="L286" s="135"/>
      <c r="M286" s="135"/>
      <c r="N286" s="135"/>
      <c r="O286" s="135"/>
      <c r="P286" s="135"/>
      <c r="Q286" s="189"/>
      <c r="R286" s="135"/>
      <c r="S286" s="135"/>
      <c r="T286" s="135"/>
      <c r="U286" s="135"/>
      <c r="V286" s="135"/>
    </row>
    <row r="287" customFormat="false" ht="15.75" hidden="false" customHeight="true" outlineLevel="0" collapsed="false">
      <c r="A287" s="135"/>
      <c r="B287" s="135"/>
      <c r="C287" s="182"/>
      <c r="D287" s="135"/>
      <c r="E287" s="135"/>
      <c r="F287" s="135"/>
      <c r="G287" s="135"/>
      <c r="H287" s="189"/>
      <c r="I287" s="135"/>
      <c r="J287" s="135"/>
      <c r="K287" s="135"/>
      <c r="L287" s="135"/>
      <c r="M287" s="135"/>
      <c r="N287" s="135"/>
      <c r="O287" s="135"/>
      <c r="P287" s="135"/>
      <c r="Q287" s="189"/>
      <c r="R287" s="135"/>
      <c r="S287" s="135"/>
      <c r="T287" s="135"/>
      <c r="U287" s="135"/>
      <c r="V287" s="135"/>
    </row>
    <row r="288" customFormat="false" ht="15.75" hidden="false" customHeight="true" outlineLevel="0" collapsed="false">
      <c r="A288" s="135"/>
      <c r="B288" s="135"/>
      <c r="C288" s="182"/>
      <c r="D288" s="135"/>
      <c r="E288" s="135"/>
      <c r="F288" s="135"/>
      <c r="G288" s="135"/>
      <c r="H288" s="189"/>
      <c r="I288" s="135"/>
      <c r="J288" s="135"/>
      <c r="K288" s="135"/>
      <c r="L288" s="135"/>
      <c r="M288" s="135"/>
      <c r="N288" s="135"/>
      <c r="O288" s="135"/>
      <c r="P288" s="135"/>
      <c r="Q288" s="189"/>
      <c r="R288" s="135"/>
      <c r="S288" s="135"/>
      <c r="T288" s="135"/>
      <c r="U288" s="135"/>
      <c r="V288" s="135"/>
    </row>
    <row r="289" customFormat="false" ht="15.75" hidden="false" customHeight="true" outlineLevel="0" collapsed="false">
      <c r="A289" s="135"/>
      <c r="B289" s="135"/>
      <c r="C289" s="182"/>
      <c r="D289" s="135"/>
      <c r="E289" s="135"/>
      <c r="F289" s="135"/>
      <c r="G289" s="135"/>
      <c r="H289" s="189"/>
      <c r="I289" s="135"/>
      <c r="J289" s="135"/>
      <c r="K289" s="135"/>
      <c r="L289" s="135"/>
      <c r="M289" s="135"/>
      <c r="N289" s="135"/>
      <c r="O289" s="135"/>
      <c r="P289" s="135"/>
      <c r="Q289" s="189"/>
      <c r="R289" s="135"/>
      <c r="S289" s="135"/>
      <c r="T289" s="135"/>
      <c r="U289" s="135"/>
      <c r="V289" s="135"/>
    </row>
    <row r="290" customFormat="false" ht="15.75" hidden="false" customHeight="true" outlineLevel="0" collapsed="false">
      <c r="A290" s="135"/>
      <c r="B290" s="135"/>
      <c r="C290" s="182"/>
      <c r="D290" s="135"/>
      <c r="E290" s="135"/>
      <c r="F290" s="135"/>
      <c r="G290" s="135"/>
      <c r="H290" s="189"/>
      <c r="I290" s="135"/>
      <c r="J290" s="135"/>
      <c r="K290" s="135"/>
      <c r="L290" s="135"/>
      <c r="M290" s="135"/>
      <c r="N290" s="135"/>
      <c r="O290" s="135"/>
      <c r="P290" s="135"/>
      <c r="Q290" s="189"/>
      <c r="R290" s="135"/>
      <c r="S290" s="135"/>
      <c r="T290" s="135"/>
      <c r="U290" s="135"/>
      <c r="V290" s="135"/>
    </row>
    <row r="291" customFormat="false" ht="15.75" hidden="false" customHeight="true" outlineLevel="0" collapsed="false">
      <c r="A291" s="135"/>
      <c r="B291" s="135"/>
      <c r="C291" s="182"/>
      <c r="D291" s="135"/>
      <c r="E291" s="135"/>
      <c r="F291" s="135"/>
      <c r="G291" s="135"/>
      <c r="H291" s="189"/>
      <c r="I291" s="135"/>
      <c r="J291" s="135"/>
      <c r="K291" s="135"/>
      <c r="L291" s="135"/>
      <c r="M291" s="135"/>
      <c r="N291" s="135"/>
      <c r="O291" s="135"/>
      <c r="P291" s="135"/>
      <c r="Q291" s="189"/>
      <c r="R291" s="135"/>
      <c r="S291" s="135"/>
      <c r="T291" s="135"/>
      <c r="U291" s="135"/>
      <c r="V291" s="135"/>
    </row>
    <row r="292" customFormat="false" ht="15.75" hidden="false" customHeight="true" outlineLevel="0" collapsed="false">
      <c r="A292" s="135"/>
      <c r="B292" s="135"/>
      <c r="C292" s="182"/>
      <c r="D292" s="135"/>
      <c r="E292" s="135"/>
      <c r="F292" s="135"/>
      <c r="G292" s="135"/>
      <c r="H292" s="189"/>
      <c r="I292" s="135"/>
      <c r="J292" s="135"/>
      <c r="K292" s="135"/>
      <c r="L292" s="135"/>
      <c r="M292" s="135"/>
      <c r="N292" s="135"/>
      <c r="O292" s="135"/>
      <c r="P292" s="135"/>
      <c r="Q292" s="189"/>
      <c r="R292" s="135"/>
      <c r="S292" s="135"/>
      <c r="T292" s="135"/>
      <c r="U292" s="135"/>
      <c r="V292" s="135"/>
    </row>
    <row r="293" customFormat="false" ht="15.75" hidden="false" customHeight="true" outlineLevel="0" collapsed="false">
      <c r="A293" s="135"/>
      <c r="B293" s="135"/>
      <c r="C293" s="182"/>
      <c r="D293" s="135"/>
      <c r="E293" s="135"/>
      <c r="F293" s="135"/>
      <c r="G293" s="135"/>
      <c r="H293" s="189"/>
      <c r="I293" s="135"/>
      <c r="J293" s="135"/>
      <c r="K293" s="135"/>
      <c r="L293" s="135"/>
      <c r="M293" s="135"/>
      <c r="N293" s="135"/>
      <c r="O293" s="135"/>
      <c r="P293" s="135"/>
      <c r="Q293" s="189"/>
      <c r="R293" s="135"/>
      <c r="S293" s="135"/>
      <c r="T293" s="135"/>
      <c r="U293" s="135"/>
      <c r="V293" s="135"/>
    </row>
    <row r="294" customFormat="false" ht="15.75" hidden="false" customHeight="true" outlineLevel="0" collapsed="false">
      <c r="A294" s="135"/>
      <c r="B294" s="135"/>
      <c r="C294" s="182"/>
      <c r="D294" s="135"/>
      <c r="E294" s="135"/>
      <c r="F294" s="135"/>
      <c r="G294" s="135"/>
      <c r="H294" s="189"/>
      <c r="I294" s="135"/>
      <c r="J294" s="135"/>
      <c r="K294" s="135"/>
      <c r="L294" s="135"/>
      <c r="M294" s="135"/>
      <c r="N294" s="135"/>
      <c r="O294" s="135"/>
      <c r="P294" s="135"/>
      <c r="Q294" s="189"/>
      <c r="R294" s="135"/>
      <c r="S294" s="135"/>
      <c r="T294" s="135"/>
      <c r="U294" s="135"/>
      <c r="V294" s="135"/>
    </row>
    <row r="295" customFormat="false" ht="15.75" hidden="false" customHeight="true" outlineLevel="0" collapsed="false">
      <c r="A295" s="135"/>
      <c r="B295" s="135"/>
      <c r="C295" s="182"/>
      <c r="D295" s="135"/>
      <c r="E295" s="135"/>
      <c r="F295" s="135"/>
      <c r="G295" s="135"/>
      <c r="H295" s="189"/>
      <c r="I295" s="135"/>
      <c r="J295" s="135"/>
      <c r="K295" s="135"/>
      <c r="L295" s="135"/>
      <c r="M295" s="135"/>
      <c r="N295" s="135"/>
      <c r="O295" s="135"/>
      <c r="P295" s="135"/>
      <c r="Q295" s="189"/>
      <c r="R295" s="135"/>
      <c r="S295" s="135"/>
      <c r="T295" s="135"/>
      <c r="U295" s="135"/>
      <c r="V295" s="135"/>
    </row>
    <row r="296" customFormat="false" ht="15.75" hidden="false" customHeight="true" outlineLevel="0" collapsed="false">
      <c r="A296" s="135"/>
      <c r="B296" s="135"/>
      <c r="C296" s="182"/>
      <c r="D296" s="135"/>
      <c r="E296" s="135"/>
      <c r="F296" s="135"/>
      <c r="G296" s="135"/>
      <c r="H296" s="189"/>
      <c r="I296" s="135"/>
      <c r="J296" s="135"/>
      <c r="K296" s="135"/>
      <c r="L296" s="135"/>
      <c r="M296" s="135"/>
      <c r="N296" s="135"/>
      <c r="O296" s="135"/>
      <c r="P296" s="135"/>
      <c r="Q296" s="189"/>
      <c r="R296" s="135"/>
      <c r="S296" s="135"/>
      <c r="T296" s="135"/>
      <c r="U296" s="135"/>
      <c r="V296" s="135"/>
    </row>
    <row r="297" customFormat="false" ht="15.75" hidden="false" customHeight="true" outlineLevel="0" collapsed="false">
      <c r="A297" s="135"/>
      <c r="B297" s="135"/>
      <c r="C297" s="182"/>
      <c r="D297" s="135"/>
      <c r="E297" s="135"/>
      <c r="F297" s="135"/>
      <c r="G297" s="135"/>
      <c r="H297" s="189"/>
      <c r="I297" s="135"/>
      <c r="J297" s="135"/>
      <c r="K297" s="135"/>
      <c r="L297" s="135"/>
      <c r="M297" s="135"/>
      <c r="N297" s="135"/>
      <c r="O297" s="135"/>
      <c r="P297" s="135"/>
      <c r="Q297" s="189"/>
      <c r="R297" s="135"/>
      <c r="S297" s="135"/>
      <c r="T297" s="135"/>
      <c r="U297" s="135"/>
      <c r="V297" s="135"/>
    </row>
    <row r="298" customFormat="false" ht="15.75" hidden="false" customHeight="true" outlineLevel="0" collapsed="false">
      <c r="A298" s="135"/>
      <c r="B298" s="135"/>
      <c r="C298" s="182"/>
      <c r="D298" s="135"/>
      <c r="E298" s="135"/>
      <c r="F298" s="135"/>
      <c r="G298" s="135"/>
      <c r="H298" s="189"/>
      <c r="I298" s="135"/>
      <c r="J298" s="135"/>
      <c r="K298" s="135"/>
      <c r="L298" s="135"/>
      <c r="M298" s="135"/>
      <c r="N298" s="135"/>
      <c r="O298" s="135"/>
      <c r="P298" s="135"/>
      <c r="Q298" s="189"/>
      <c r="R298" s="135"/>
      <c r="S298" s="135"/>
      <c r="T298" s="135"/>
      <c r="U298" s="135"/>
      <c r="V298" s="135"/>
    </row>
    <row r="299" customFormat="false" ht="15.75" hidden="false" customHeight="true" outlineLevel="0" collapsed="false">
      <c r="A299" s="135"/>
      <c r="B299" s="135"/>
      <c r="C299" s="182"/>
      <c r="D299" s="135"/>
      <c r="E299" s="135"/>
      <c r="F299" s="135"/>
      <c r="G299" s="135"/>
      <c r="H299" s="189"/>
      <c r="I299" s="135"/>
      <c r="J299" s="135"/>
      <c r="K299" s="135"/>
      <c r="L299" s="135"/>
      <c r="M299" s="135"/>
      <c r="N299" s="135"/>
      <c r="O299" s="135"/>
      <c r="P299" s="135"/>
      <c r="Q299" s="189"/>
      <c r="R299" s="135"/>
      <c r="S299" s="135"/>
      <c r="T299" s="135"/>
      <c r="U299" s="135"/>
      <c r="V299" s="135"/>
    </row>
    <row r="300" customFormat="false" ht="15.75" hidden="false" customHeight="true" outlineLevel="0" collapsed="false">
      <c r="A300" s="135"/>
      <c r="B300" s="135"/>
      <c r="C300" s="182"/>
      <c r="D300" s="135"/>
      <c r="E300" s="135"/>
      <c r="F300" s="135"/>
      <c r="G300" s="135"/>
      <c r="H300" s="189"/>
      <c r="I300" s="135"/>
      <c r="J300" s="135"/>
      <c r="K300" s="135"/>
      <c r="L300" s="135"/>
      <c r="M300" s="135"/>
      <c r="N300" s="135"/>
      <c r="O300" s="135"/>
      <c r="P300" s="135"/>
      <c r="Q300" s="189"/>
      <c r="R300" s="135"/>
      <c r="S300" s="135"/>
      <c r="T300" s="135"/>
      <c r="U300" s="135"/>
      <c r="V300" s="135"/>
    </row>
    <row r="301" customFormat="false" ht="15.75" hidden="false" customHeight="true" outlineLevel="0" collapsed="false">
      <c r="A301" s="135"/>
      <c r="B301" s="135"/>
      <c r="C301" s="182"/>
      <c r="D301" s="135"/>
      <c r="E301" s="135"/>
      <c r="F301" s="135"/>
      <c r="G301" s="135"/>
      <c r="H301" s="189"/>
      <c r="I301" s="135"/>
      <c r="J301" s="135"/>
      <c r="K301" s="135"/>
      <c r="L301" s="135"/>
      <c r="M301" s="135"/>
      <c r="N301" s="135"/>
      <c r="O301" s="135"/>
      <c r="P301" s="135"/>
      <c r="Q301" s="189"/>
      <c r="R301" s="135"/>
      <c r="S301" s="135"/>
      <c r="T301" s="135"/>
      <c r="U301" s="135"/>
      <c r="V301" s="135"/>
    </row>
    <row r="302" customFormat="false" ht="15.75" hidden="false" customHeight="true" outlineLevel="0" collapsed="false">
      <c r="A302" s="135"/>
      <c r="B302" s="135"/>
      <c r="C302" s="182"/>
      <c r="D302" s="135"/>
      <c r="E302" s="135"/>
      <c r="F302" s="135"/>
      <c r="G302" s="135"/>
      <c r="H302" s="189"/>
      <c r="I302" s="135"/>
      <c r="J302" s="135"/>
      <c r="K302" s="135"/>
      <c r="L302" s="135"/>
      <c r="M302" s="135"/>
      <c r="N302" s="135"/>
      <c r="O302" s="135"/>
      <c r="P302" s="135"/>
      <c r="Q302" s="189"/>
      <c r="R302" s="135"/>
      <c r="S302" s="135"/>
      <c r="T302" s="135"/>
      <c r="U302" s="135"/>
      <c r="V302" s="135"/>
    </row>
    <row r="303" customFormat="false" ht="15.75" hidden="false" customHeight="true" outlineLevel="0" collapsed="false">
      <c r="A303" s="135"/>
      <c r="B303" s="135"/>
      <c r="C303" s="182"/>
      <c r="D303" s="135"/>
      <c r="E303" s="135"/>
      <c r="F303" s="135"/>
      <c r="G303" s="135"/>
      <c r="H303" s="189"/>
      <c r="I303" s="135"/>
      <c r="J303" s="135"/>
      <c r="K303" s="135"/>
      <c r="L303" s="135"/>
      <c r="M303" s="135"/>
      <c r="N303" s="135"/>
      <c r="O303" s="135"/>
      <c r="P303" s="135"/>
      <c r="Q303" s="189"/>
      <c r="R303" s="135"/>
      <c r="S303" s="135"/>
      <c r="T303" s="135"/>
      <c r="U303" s="135"/>
      <c r="V303" s="135"/>
    </row>
    <row r="304" customFormat="false" ht="15.75" hidden="false" customHeight="true" outlineLevel="0" collapsed="false">
      <c r="A304" s="135"/>
      <c r="B304" s="135"/>
      <c r="C304" s="182"/>
      <c r="D304" s="135"/>
      <c r="E304" s="135"/>
      <c r="F304" s="135"/>
      <c r="G304" s="135"/>
      <c r="H304" s="189"/>
      <c r="I304" s="135"/>
      <c r="J304" s="135"/>
      <c r="K304" s="135"/>
      <c r="L304" s="135"/>
      <c r="M304" s="135"/>
      <c r="N304" s="135"/>
      <c r="O304" s="135"/>
      <c r="P304" s="135"/>
      <c r="Q304" s="189"/>
      <c r="R304" s="135"/>
      <c r="S304" s="135"/>
      <c r="T304" s="135"/>
      <c r="U304" s="135"/>
      <c r="V304" s="135"/>
    </row>
    <row r="305" customFormat="false" ht="15.75" hidden="false" customHeight="true" outlineLevel="0" collapsed="false">
      <c r="A305" s="135"/>
      <c r="B305" s="135"/>
      <c r="C305" s="182"/>
      <c r="D305" s="135"/>
      <c r="E305" s="135"/>
      <c r="F305" s="135"/>
      <c r="G305" s="135"/>
      <c r="H305" s="189"/>
      <c r="I305" s="135"/>
      <c r="J305" s="135"/>
      <c r="K305" s="135"/>
      <c r="L305" s="135"/>
      <c r="M305" s="135"/>
      <c r="N305" s="135"/>
      <c r="O305" s="135"/>
      <c r="P305" s="135"/>
      <c r="Q305" s="189"/>
      <c r="R305" s="135"/>
      <c r="S305" s="135"/>
      <c r="T305" s="135"/>
      <c r="U305" s="135"/>
      <c r="V305" s="135"/>
    </row>
    <row r="306" customFormat="false" ht="15.75" hidden="false" customHeight="true" outlineLevel="0" collapsed="false">
      <c r="A306" s="135"/>
      <c r="B306" s="135"/>
      <c r="C306" s="182"/>
      <c r="D306" s="135"/>
      <c r="E306" s="135"/>
      <c r="F306" s="135"/>
      <c r="G306" s="135"/>
      <c r="H306" s="189"/>
      <c r="I306" s="135"/>
      <c r="J306" s="135"/>
      <c r="K306" s="135"/>
      <c r="L306" s="135"/>
      <c r="M306" s="135"/>
      <c r="N306" s="135"/>
      <c r="O306" s="135"/>
      <c r="P306" s="135"/>
      <c r="Q306" s="189"/>
      <c r="R306" s="135"/>
      <c r="S306" s="135"/>
      <c r="T306" s="135"/>
      <c r="U306" s="135"/>
      <c r="V306" s="135"/>
    </row>
    <row r="307" customFormat="false" ht="15.75" hidden="false" customHeight="true" outlineLevel="0" collapsed="false">
      <c r="A307" s="135"/>
      <c r="B307" s="135"/>
      <c r="C307" s="182"/>
      <c r="D307" s="135"/>
      <c r="E307" s="135"/>
      <c r="F307" s="135"/>
      <c r="G307" s="135"/>
      <c r="H307" s="189"/>
      <c r="I307" s="135"/>
      <c r="J307" s="135"/>
      <c r="K307" s="135"/>
      <c r="L307" s="135"/>
      <c r="M307" s="135"/>
      <c r="N307" s="135"/>
      <c r="O307" s="135"/>
      <c r="P307" s="135"/>
      <c r="Q307" s="189"/>
      <c r="R307" s="135"/>
      <c r="S307" s="135"/>
      <c r="T307" s="135"/>
      <c r="U307" s="135"/>
      <c r="V307" s="135"/>
    </row>
    <row r="308" customFormat="false" ht="15.75" hidden="false" customHeight="true" outlineLevel="0" collapsed="false">
      <c r="A308" s="135"/>
      <c r="B308" s="135"/>
      <c r="C308" s="182"/>
      <c r="D308" s="135"/>
      <c r="E308" s="135"/>
      <c r="F308" s="135"/>
      <c r="G308" s="135"/>
      <c r="H308" s="189"/>
      <c r="I308" s="135"/>
      <c r="J308" s="135"/>
      <c r="K308" s="135"/>
      <c r="L308" s="135"/>
      <c r="M308" s="135"/>
      <c r="N308" s="135"/>
      <c r="O308" s="135"/>
      <c r="P308" s="135"/>
      <c r="Q308" s="189"/>
      <c r="R308" s="135"/>
      <c r="S308" s="135"/>
      <c r="T308" s="135"/>
      <c r="U308" s="135"/>
      <c r="V308" s="135"/>
    </row>
    <row r="309" customFormat="false" ht="15.75" hidden="false" customHeight="true" outlineLevel="0" collapsed="false">
      <c r="A309" s="135"/>
      <c r="B309" s="135"/>
      <c r="C309" s="182"/>
      <c r="D309" s="135"/>
      <c r="E309" s="135"/>
      <c r="F309" s="135"/>
      <c r="G309" s="135"/>
      <c r="H309" s="189"/>
      <c r="I309" s="135"/>
      <c r="J309" s="135"/>
      <c r="K309" s="135"/>
      <c r="L309" s="135"/>
      <c r="M309" s="135"/>
      <c r="N309" s="135"/>
      <c r="O309" s="135"/>
      <c r="P309" s="135"/>
      <c r="Q309" s="189"/>
      <c r="R309" s="135"/>
      <c r="S309" s="135"/>
      <c r="T309" s="135"/>
      <c r="U309" s="135"/>
      <c r="V309" s="135"/>
    </row>
    <row r="310" customFormat="false" ht="15.75" hidden="false" customHeight="true" outlineLevel="0" collapsed="false">
      <c r="A310" s="135"/>
      <c r="B310" s="135"/>
      <c r="C310" s="182"/>
      <c r="D310" s="135"/>
      <c r="E310" s="135"/>
      <c r="F310" s="135"/>
      <c r="G310" s="135"/>
      <c r="H310" s="189"/>
      <c r="I310" s="135"/>
      <c r="J310" s="135"/>
      <c r="K310" s="135"/>
      <c r="L310" s="135"/>
      <c r="M310" s="135"/>
      <c r="N310" s="135"/>
      <c r="O310" s="135"/>
      <c r="P310" s="135"/>
      <c r="Q310" s="189"/>
      <c r="R310" s="135"/>
      <c r="S310" s="135"/>
      <c r="T310" s="135"/>
      <c r="U310" s="135"/>
      <c r="V310" s="135"/>
    </row>
    <row r="311" customFormat="false" ht="15.75" hidden="false" customHeight="true" outlineLevel="0" collapsed="false">
      <c r="A311" s="135"/>
      <c r="B311" s="135"/>
      <c r="C311" s="182"/>
      <c r="D311" s="135"/>
      <c r="E311" s="135"/>
      <c r="F311" s="135"/>
      <c r="G311" s="135"/>
      <c r="H311" s="189"/>
      <c r="I311" s="135"/>
      <c r="J311" s="135"/>
      <c r="K311" s="135"/>
      <c r="L311" s="135"/>
      <c r="M311" s="135"/>
      <c r="N311" s="135"/>
      <c r="O311" s="135"/>
      <c r="P311" s="135"/>
      <c r="Q311" s="189"/>
      <c r="R311" s="135"/>
      <c r="S311" s="135"/>
      <c r="T311" s="135"/>
      <c r="U311" s="135"/>
      <c r="V311" s="135"/>
    </row>
    <row r="312" customFormat="false" ht="15.75" hidden="false" customHeight="true" outlineLevel="0" collapsed="false">
      <c r="A312" s="135"/>
      <c r="B312" s="135"/>
      <c r="C312" s="182"/>
      <c r="D312" s="135"/>
      <c r="E312" s="135"/>
      <c r="F312" s="135"/>
      <c r="G312" s="135"/>
      <c r="H312" s="189"/>
      <c r="I312" s="135"/>
      <c r="J312" s="135"/>
      <c r="K312" s="135"/>
      <c r="L312" s="135"/>
      <c r="M312" s="135"/>
      <c r="N312" s="135"/>
      <c r="O312" s="135"/>
      <c r="P312" s="135"/>
      <c r="Q312" s="189"/>
      <c r="R312" s="135"/>
      <c r="S312" s="135"/>
      <c r="T312" s="135"/>
      <c r="U312" s="135"/>
      <c r="V312" s="135"/>
    </row>
    <row r="313" customFormat="false" ht="15.75" hidden="false" customHeight="true" outlineLevel="0" collapsed="false">
      <c r="A313" s="135"/>
      <c r="B313" s="135"/>
      <c r="C313" s="182"/>
      <c r="D313" s="135"/>
      <c r="E313" s="135"/>
      <c r="F313" s="135"/>
      <c r="G313" s="135"/>
      <c r="H313" s="189"/>
      <c r="I313" s="135"/>
      <c r="J313" s="135"/>
      <c r="K313" s="135"/>
      <c r="L313" s="135"/>
      <c r="M313" s="135"/>
      <c r="N313" s="135"/>
      <c r="O313" s="135"/>
      <c r="P313" s="135"/>
      <c r="Q313" s="189"/>
      <c r="R313" s="135"/>
      <c r="S313" s="135"/>
      <c r="T313" s="135"/>
      <c r="U313" s="135"/>
      <c r="V313" s="135"/>
    </row>
    <row r="314" customFormat="false" ht="15.75" hidden="false" customHeight="true" outlineLevel="0" collapsed="false">
      <c r="A314" s="135"/>
      <c r="B314" s="135"/>
      <c r="C314" s="182"/>
      <c r="D314" s="135"/>
      <c r="E314" s="135"/>
      <c r="F314" s="135"/>
      <c r="G314" s="135"/>
      <c r="H314" s="189"/>
      <c r="I314" s="135"/>
      <c r="J314" s="135"/>
      <c r="K314" s="135"/>
      <c r="L314" s="135"/>
      <c r="M314" s="135"/>
      <c r="N314" s="135"/>
      <c r="O314" s="135"/>
      <c r="P314" s="135"/>
      <c r="Q314" s="189"/>
      <c r="R314" s="135"/>
      <c r="S314" s="135"/>
      <c r="T314" s="135"/>
      <c r="U314" s="135"/>
      <c r="V314" s="135"/>
    </row>
    <row r="315" customFormat="false" ht="15.75" hidden="false" customHeight="true" outlineLevel="0" collapsed="false">
      <c r="A315" s="135"/>
      <c r="B315" s="135"/>
      <c r="C315" s="182"/>
      <c r="D315" s="135"/>
      <c r="E315" s="135"/>
      <c r="F315" s="135"/>
      <c r="G315" s="135"/>
      <c r="H315" s="189"/>
      <c r="I315" s="135"/>
      <c r="J315" s="135"/>
      <c r="K315" s="135"/>
      <c r="L315" s="135"/>
      <c r="M315" s="135"/>
      <c r="N315" s="135"/>
      <c r="O315" s="135"/>
      <c r="P315" s="135"/>
      <c r="Q315" s="189"/>
      <c r="R315" s="135"/>
      <c r="S315" s="135"/>
      <c r="T315" s="135"/>
      <c r="U315" s="135"/>
      <c r="V315" s="135"/>
    </row>
    <row r="316" customFormat="false" ht="15.75" hidden="false" customHeight="true" outlineLevel="0" collapsed="false">
      <c r="A316" s="135"/>
      <c r="B316" s="135"/>
      <c r="C316" s="182"/>
      <c r="D316" s="135"/>
      <c r="E316" s="135"/>
      <c r="F316" s="135"/>
      <c r="G316" s="135"/>
      <c r="H316" s="189"/>
      <c r="I316" s="135"/>
      <c r="J316" s="135"/>
      <c r="K316" s="135"/>
      <c r="L316" s="135"/>
      <c r="M316" s="135"/>
      <c r="N316" s="135"/>
      <c r="O316" s="135"/>
      <c r="P316" s="135"/>
      <c r="Q316" s="189"/>
      <c r="R316" s="135"/>
      <c r="S316" s="135"/>
      <c r="T316" s="135"/>
      <c r="U316" s="135"/>
      <c r="V316" s="135"/>
    </row>
    <row r="317" customFormat="false" ht="15.75" hidden="false" customHeight="true" outlineLevel="0" collapsed="false">
      <c r="A317" s="135"/>
      <c r="B317" s="135"/>
      <c r="C317" s="182"/>
      <c r="D317" s="135"/>
      <c r="E317" s="135"/>
      <c r="F317" s="135"/>
      <c r="G317" s="135"/>
      <c r="H317" s="189"/>
      <c r="I317" s="135"/>
      <c r="J317" s="135"/>
      <c r="K317" s="135"/>
      <c r="L317" s="135"/>
      <c r="M317" s="135"/>
      <c r="N317" s="135"/>
      <c r="O317" s="135"/>
      <c r="P317" s="135"/>
      <c r="Q317" s="189"/>
      <c r="R317" s="135"/>
      <c r="S317" s="135"/>
      <c r="T317" s="135"/>
      <c r="U317" s="135"/>
      <c r="V317" s="135"/>
    </row>
    <row r="318" customFormat="false" ht="15.75" hidden="false" customHeight="true" outlineLevel="0" collapsed="false">
      <c r="A318" s="135"/>
      <c r="B318" s="135"/>
      <c r="C318" s="182"/>
      <c r="D318" s="135"/>
      <c r="E318" s="135"/>
      <c r="F318" s="135"/>
      <c r="G318" s="135"/>
      <c r="H318" s="189"/>
      <c r="I318" s="135"/>
      <c r="J318" s="135"/>
      <c r="K318" s="135"/>
      <c r="L318" s="135"/>
      <c r="M318" s="135"/>
      <c r="N318" s="135"/>
      <c r="O318" s="135"/>
      <c r="P318" s="135"/>
      <c r="Q318" s="189"/>
      <c r="R318" s="135"/>
      <c r="S318" s="135"/>
      <c r="T318" s="135"/>
      <c r="U318" s="135"/>
      <c r="V318" s="135"/>
    </row>
    <row r="319" customFormat="false" ht="15.75" hidden="false" customHeight="true" outlineLevel="0" collapsed="false">
      <c r="A319" s="135"/>
      <c r="B319" s="135"/>
      <c r="C319" s="182"/>
      <c r="D319" s="135"/>
      <c r="E319" s="135"/>
      <c r="F319" s="135"/>
      <c r="G319" s="135"/>
      <c r="H319" s="189"/>
      <c r="I319" s="135"/>
      <c r="J319" s="135"/>
      <c r="K319" s="135"/>
      <c r="L319" s="135"/>
      <c r="M319" s="135"/>
      <c r="N319" s="135"/>
      <c r="O319" s="135"/>
      <c r="P319" s="135"/>
      <c r="Q319" s="189"/>
      <c r="R319" s="135"/>
      <c r="S319" s="135"/>
      <c r="T319" s="135"/>
      <c r="U319" s="135"/>
      <c r="V319" s="135"/>
    </row>
    <row r="320" customFormat="false" ht="15.75" hidden="false" customHeight="true" outlineLevel="0" collapsed="false">
      <c r="A320" s="135"/>
      <c r="B320" s="135"/>
      <c r="C320" s="182"/>
      <c r="D320" s="135"/>
      <c r="E320" s="135"/>
      <c r="F320" s="135"/>
      <c r="G320" s="135"/>
      <c r="H320" s="189"/>
      <c r="I320" s="135"/>
      <c r="J320" s="135"/>
      <c r="K320" s="135"/>
      <c r="L320" s="135"/>
      <c r="M320" s="135"/>
      <c r="N320" s="135"/>
      <c r="O320" s="135"/>
      <c r="P320" s="135"/>
      <c r="Q320" s="189"/>
      <c r="R320" s="135"/>
      <c r="S320" s="135"/>
      <c r="T320" s="135"/>
      <c r="U320" s="135"/>
      <c r="V320" s="135"/>
    </row>
    <row r="321" customFormat="false" ht="15.75" hidden="false" customHeight="true" outlineLevel="0" collapsed="false">
      <c r="A321" s="135"/>
      <c r="B321" s="135"/>
      <c r="C321" s="182"/>
      <c r="D321" s="135"/>
      <c r="E321" s="135"/>
      <c r="F321" s="135"/>
      <c r="G321" s="135"/>
      <c r="H321" s="189"/>
      <c r="I321" s="135"/>
      <c r="J321" s="135"/>
      <c r="K321" s="135"/>
      <c r="L321" s="135"/>
      <c r="M321" s="135"/>
      <c r="N321" s="135"/>
      <c r="O321" s="135"/>
      <c r="P321" s="135"/>
      <c r="Q321" s="189"/>
      <c r="R321" s="135"/>
      <c r="S321" s="135"/>
      <c r="T321" s="135"/>
      <c r="U321" s="135"/>
      <c r="V321" s="135"/>
    </row>
    <row r="322" customFormat="false" ht="15.75" hidden="false" customHeight="true" outlineLevel="0" collapsed="false">
      <c r="A322" s="135"/>
      <c r="B322" s="135"/>
      <c r="C322" s="182"/>
      <c r="D322" s="135"/>
      <c r="E322" s="135"/>
      <c r="F322" s="135"/>
      <c r="G322" s="135"/>
      <c r="H322" s="189"/>
      <c r="I322" s="135"/>
      <c r="J322" s="135"/>
      <c r="K322" s="135"/>
      <c r="L322" s="135"/>
      <c r="M322" s="135"/>
      <c r="N322" s="135"/>
      <c r="O322" s="135"/>
      <c r="P322" s="135"/>
      <c r="Q322" s="189"/>
      <c r="R322" s="135"/>
      <c r="S322" s="135"/>
      <c r="T322" s="135"/>
      <c r="U322" s="135"/>
      <c r="V322" s="135"/>
    </row>
    <row r="323" customFormat="false" ht="15.75" hidden="false" customHeight="true" outlineLevel="0" collapsed="false">
      <c r="A323" s="135"/>
      <c r="B323" s="135"/>
      <c r="C323" s="182"/>
      <c r="D323" s="135"/>
      <c r="E323" s="135"/>
      <c r="F323" s="135"/>
      <c r="G323" s="135"/>
      <c r="H323" s="189"/>
      <c r="I323" s="135"/>
      <c r="J323" s="135"/>
      <c r="K323" s="135"/>
      <c r="L323" s="135"/>
      <c r="M323" s="135"/>
      <c r="N323" s="135"/>
      <c r="O323" s="135"/>
      <c r="P323" s="135"/>
      <c r="Q323" s="189"/>
      <c r="R323" s="135"/>
      <c r="S323" s="135"/>
      <c r="T323" s="135"/>
      <c r="U323" s="135"/>
      <c r="V323" s="135"/>
    </row>
    <row r="324" customFormat="false" ht="15.75" hidden="false" customHeight="true" outlineLevel="0" collapsed="false">
      <c r="A324" s="135"/>
      <c r="B324" s="135"/>
      <c r="C324" s="182"/>
      <c r="D324" s="135"/>
      <c r="E324" s="135"/>
      <c r="F324" s="135"/>
      <c r="G324" s="135"/>
      <c r="H324" s="189"/>
      <c r="I324" s="135"/>
      <c r="J324" s="135"/>
      <c r="K324" s="135"/>
      <c r="L324" s="135"/>
      <c r="M324" s="135"/>
      <c r="N324" s="135"/>
      <c r="O324" s="135"/>
      <c r="P324" s="135"/>
      <c r="Q324" s="189"/>
      <c r="R324" s="135"/>
      <c r="S324" s="135"/>
      <c r="T324" s="135"/>
      <c r="U324" s="135"/>
      <c r="V324" s="135"/>
    </row>
    <row r="325" customFormat="false" ht="15.75" hidden="false" customHeight="true" outlineLevel="0" collapsed="false">
      <c r="A325" s="135"/>
      <c r="B325" s="135"/>
      <c r="C325" s="182"/>
      <c r="D325" s="135"/>
      <c r="E325" s="135"/>
      <c r="F325" s="135"/>
      <c r="G325" s="135"/>
      <c r="H325" s="189"/>
      <c r="I325" s="135"/>
      <c r="J325" s="135"/>
      <c r="K325" s="135"/>
      <c r="L325" s="135"/>
      <c r="M325" s="135"/>
      <c r="N325" s="135"/>
      <c r="O325" s="135"/>
      <c r="P325" s="135"/>
      <c r="Q325" s="189"/>
      <c r="R325" s="135"/>
      <c r="S325" s="135"/>
      <c r="T325" s="135"/>
      <c r="U325" s="135"/>
      <c r="V325" s="135"/>
    </row>
    <row r="326" customFormat="false" ht="15.75" hidden="false" customHeight="true" outlineLevel="0" collapsed="false">
      <c r="A326" s="135"/>
      <c r="B326" s="135"/>
      <c r="C326" s="182"/>
      <c r="D326" s="135"/>
      <c r="E326" s="135"/>
      <c r="F326" s="135"/>
      <c r="G326" s="135"/>
      <c r="H326" s="189"/>
      <c r="I326" s="135"/>
      <c r="J326" s="135"/>
      <c r="K326" s="135"/>
      <c r="L326" s="135"/>
      <c r="M326" s="135"/>
      <c r="N326" s="135"/>
      <c r="O326" s="135"/>
      <c r="P326" s="135"/>
      <c r="Q326" s="189"/>
      <c r="R326" s="135"/>
      <c r="S326" s="135"/>
      <c r="T326" s="135"/>
      <c r="U326" s="135"/>
      <c r="V326" s="135"/>
    </row>
    <row r="327" customFormat="false" ht="15.75" hidden="false" customHeight="true" outlineLevel="0" collapsed="false">
      <c r="A327" s="135"/>
      <c r="B327" s="135"/>
      <c r="C327" s="182"/>
      <c r="D327" s="135"/>
      <c r="E327" s="135"/>
      <c r="F327" s="135"/>
      <c r="G327" s="135"/>
      <c r="H327" s="189"/>
      <c r="I327" s="135"/>
      <c r="J327" s="135"/>
      <c r="K327" s="135"/>
      <c r="L327" s="135"/>
      <c r="M327" s="135"/>
      <c r="N327" s="135"/>
      <c r="O327" s="135"/>
      <c r="P327" s="135"/>
      <c r="Q327" s="189"/>
      <c r="R327" s="135"/>
      <c r="S327" s="135"/>
      <c r="T327" s="135"/>
      <c r="U327" s="135"/>
      <c r="V327" s="135"/>
    </row>
    <row r="328" customFormat="false" ht="15.75" hidden="false" customHeight="true" outlineLevel="0" collapsed="false">
      <c r="A328" s="135"/>
      <c r="B328" s="135"/>
      <c r="C328" s="182"/>
      <c r="D328" s="135"/>
      <c r="E328" s="135"/>
      <c r="F328" s="135"/>
      <c r="G328" s="135"/>
      <c r="H328" s="189"/>
      <c r="I328" s="135"/>
      <c r="J328" s="135"/>
      <c r="K328" s="135"/>
      <c r="L328" s="135"/>
      <c r="M328" s="135"/>
      <c r="N328" s="135"/>
      <c r="O328" s="135"/>
      <c r="P328" s="135"/>
      <c r="Q328" s="189"/>
      <c r="R328" s="135"/>
      <c r="S328" s="135"/>
      <c r="T328" s="135"/>
      <c r="U328" s="135"/>
      <c r="V328" s="135"/>
    </row>
    <row r="329" customFormat="false" ht="15.75" hidden="false" customHeight="true" outlineLevel="0" collapsed="false">
      <c r="A329" s="135"/>
      <c r="B329" s="135"/>
      <c r="C329" s="182"/>
      <c r="D329" s="135"/>
      <c r="E329" s="135"/>
      <c r="F329" s="135"/>
      <c r="G329" s="135"/>
      <c r="H329" s="189"/>
      <c r="I329" s="135"/>
      <c r="J329" s="135"/>
      <c r="K329" s="135"/>
      <c r="L329" s="135"/>
      <c r="M329" s="135"/>
      <c r="N329" s="135"/>
      <c r="O329" s="135"/>
      <c r="P329" s="135"/>
      <c r="Q329" s="189"/>
      <c r="R329" s="135"/>
      <c r="S329" s="135"/>
      <c r="T329" s="135"/>
      <c r="U329" s="135"/>
      <c r="V329" s="135"/>
    </row>
    <row r="330" customFormat="false" ht="15.75" hidden="false" customHeight="true" outlineLevel="0" collapsed="false">
      <c r="A330" s="135"/>
      <c r="B330" s="135"/>
      <c r="C330" s="182"/>
      <c r="D330" s="135"/>
      <c r="E330" s="135"/>
      <c r="F330" s="135"/>
      <c r="G330" s="135"/>
      <c r="H330" s="189"/>
      <c r="I330" s="135"/>
      <c r="J330" s="135"/>
      <c r="K330" s="135"/>
      <c r="L330" s="135"/>
      <c r="M330" s="135"/>
      <c r="N330" s="135"/>
      <c r="O330" s="135"/>
      <c r="P330" s="135"/>
      <c r="Q330" s="189"/>
      <c r="R330" s="135"/>
      <c r="S330" s="135"/>
      <c r="T330" s="135"/>
      <c r="U330" s="135"/>
      <c r="V330" s="135"/>
    </row>
    <row r="331" customFormat="false" ht="15.75" hidden="false" customHeight="true" outlineLevel="0" collapsed="false">
      <c r="A331" s="135"/>
      <c r="B331" s="135"/>
      <c r="C331" s="182"/>
      <c r="D331" s="135"/>
      <c r="E331" s="135"/>
      <c r="F331" s="135"/>
      <c r="G331" s="135"/>
      <c r="H331" s="189"/>
      <c r="I331" s="135"/>
      <c r="J331" s="135"/>
      <c r="K331" s="135"/>
      <c r="L331" s="135"/>
      <c r="M331" s="135"/>
      <c r="N331" s="135"/>
      <c r="O331" s="135"/>
      <c r="P331" s="135"/>
      <c r="Q331" s="189"/>
      <c r="R331" s="135"/>
      <c r="S331" s="135"/>
      <c r="T331" s="135"/>
      <c r="U331" s="135"/>
      <c r="V331" s="135"/>
    </row>
    <row r="332" customFormat="false" ht="15.75" hidden="false" customHeight="true" outlineLevel="0" collapsed="false">
      <c r="A332" s="135"/>
      <c r="B332" s="135"/>
      <c r="C332" s="182"/>
      <c r="D332" s="135"/>
      <c r="E332" s="135"/>
      <c r="F332" s="135"/>
      <c r="G332" s="135"/>
      <c r="H332" s="189"/>
      <c r="I332" s="135"/>
      <c r="J332" s="135"/>
      <c r="K332" s="135"/>
      <c r="L332" s="135"/>
      <c r="M332" s="135"/>
      <c r="N332" s="135"/>
      <c r="O332" s="135"/>
      <c r="P332" s="135"/>
      <c r="Q332" s="189"/>
      <c r="R332" s="135"/>
      <c r="S332" s="135"/>
      <c r="T332" s="135"/>
      <c r="U332" s="135"/>
      <c r="V332" s="135"/>
    </row>
    <row r="333" customFormat="false" ht="15.75" hidden="false" customHeight="true" outlineLevel="0" collapsed="false">
      <c r="A333" s="135"/>
      <c r="B333" s="135"/>
      <c r="C333" s="182"/>
      <c r="D333" s="135"/>
      <c r="E333" s="135"/>
      <c r="F333" s="135"/>
      <c r="G333" s="135"/>
      <c r="H333" s="189"/>
      <c r="I333" s="135"/>
      <c r="J333" s="135"/>
      <c r="K333" s="135"/>
      <c r="L333" s="135"/>
      <c r="M333" s="135"/>
      <c r="N333" s="135"/>
      <c r="O333" s="135"/>
      <c r="P333" s="135"/>
      <c r="Q333" s="189"/>
      <c r="R333" s="135"/>
      <c r="S333" s="135"/>
      <c r="T333" s="135"/>
      <c r="U333" s="135"/>
      <c r="V333" s="135"/>
    </row>
    <row r="334" customFormat="false" ht="15.75" hidden="false" customHeight="true" outlineLevel="0" collapsed="false">
      <c r="A334" s="135"/>
      <c r="B334" s="135"/>
      <c r="C334" s="182"/>
      <c r="D334" s="135"/>
      <c r="E334" s="135"/>
      <c r="F334" s="135"/>
      <c r="G334" s="135"/>
      <c r="H334" s="189"/>
      <c r="I334" s="135"/>
      <c r="J334" s="135"/>
      <c r="K334" s="135"/>
      <c r="L334" s="135"/>
      <c r="M334" s="135"/>
      <c r="N334" s="135"/>
      <c r="O334" s="135"/>
      <c r="P334" s="135"/>
      <c r="Q334" s="189"/>
      <c r="R334" s="135"/>
      <c r="S334" s="135"/>
      <c r="T334" s="135"/>
      <c r="U334" s="135"/>
      <c r="V334" s="135"/>
    </row>
    <row r="335" customFormat="false" ht="15.75" hidden="false" customHeight="true" outlineLevel="0" collapsed="false">
      <c r="A335" s="135"/>
      <c r="B335" s="135"/>
      <c r="C335" s="182"/>
      <c r="D335" s="135"/>
      <c r="E335" s="135"/>
      <c r="F335" s="135"/>
      <c r="G335" s="135"/>
      <c r="H335" s="189"/>
      <c r="I335" s="135"/>
      <c r="J335" s="135"/>
      <c r="K335" s="135"/>
      <c r="L335" s="135"/>
      <c r="M335" s="135"/>
      <c r="N335" s="135"/>
      <c r="O335" s="135"/>
      <c r="P335" s="135"/>
      <c r="Q335" s="189"/>
      <c r="R335" s="135"/>
      <c r="S335" s="135"/>
      <c r="T335" s="135"/>
      <c r="U335" s="135"/>
      <c r="V335" s="135"/>
    </row>
    <row r="336" customFormat="false" ht="15.75" hidden="false" customHeight="true" outlineLevel="0" collapsed="false">
      <c r="A336" s="135"/>
      <c r="B336" s="135"/>
      <c r="C336" s="182"/>
      <c r="D336" s="135"/>
      <c r="E336" s="135"/>
      <c r="F336" s="135"/>
      <c r="G336" s="135"/>
      <c r="H336" s="189"/>
      <c r="I336" s="135"/>
      <c r="J336" s="135"/>
      <c r="K336" s="135"/>
      <c r="L336" s="135"/>
      <c r="M336" s="135"/>
      <c r="N336" s="135"/>
      <c r="O336" s="135"/>
      <c r="P336" s="135"/>
      <c r="Q336" s="189"/>
      <c r="R336" s="135"/>
      <c r="S336" s="135"/>
      <c r="T336" s="135"/>
      <c r="U336" s="135"/>
      <c r="V336" s="135"/>
    </row>
    <row r="337" customFormat="false" ht="15.75" hidden="false" customHeight="true" outlineLevel="0" collapsed="false">
      <c r="A337" s="135"/>
      <c r="B337" s="135"/>
      <c r="C337" s="182"/>
      <c r="D337" s="135"/>
      <c r="E337" s="135"/>
      <c r="F337" s="135"/>
      <c r="G337" s="135"/>
      <c r="H337" s="189"/>
      <c r="I337" s="135"/>
      <c r="J337" s="135"/>
      <c r="K337" s="135"/>
      <c r="L337" s="135"/>
      <c r="M337" s="135"/>
      <c r="N337" s="135"/>
      <c r="O337" s="135"/>
      <c r="P337" s="135"/>
      <c r="Q337" s="189"/>
      <c r="R337" s="135"/>
      <c r="S337" s="135"/>
      <c r="T337" s="135"/>
      <c r="U337" s="135"/>
      <c r="V337" s="135"/>
    </row>
    <row r="338" customFormat="false" ht="15.75" hidden="false" customHeight="true" outlineLevel="0" collapsed="false">
      <c r="A338" s="135"/>
      <c r="B338" s="135"/>
      <c r="C338" s="182"/>
      <c r="D338" s="135"/>
      <c r="E338" s="135"/>
      <c r="F338" s="135"/>
      <c r="G338" s="135"/>
      <c r="H338" s="189"/>
      <c r="I338" s="135"/>
      <c r="J338" s="135"/>
      <c r="K338" s="135"/>
      <c r="L338" s="135"/>
      <c r="M338" s="135"/>
      <c r="N338" s="135"/>
      <c r="O338" s="135"/>
      <c r="P338" s="135"/>
      <c r="Q338" s="189"/>
      <c r="R338" s="135"/>
      <c r="S338" s="135"/>
      <c r="T338" s="135"/>
      <c r="U338" s="135"/>
      <c r="V338" s="135"/>
    </row>
    <row r="339" customFormat="false" ht="15.75" hidden="false" customHeight="true" outlineLevel="0" collapsed="false">
      <c r="A339" s="135"/>
      <c r="B339" s="135"/>
      <c r="C339" s="182"/>
      <c r="D339" s="135"/>
      <c r="E339" s="135"/>
      <c r="F339" s="135"/>
      <c r="G339" s="135"/>
      <c r="H339" s="189"/>
      <c r="I339" s="135"/>
      <c r="J339" s="135"/>
      <c r="K339" s="135"/>
      <c r="L339" s="135"/>
      <c r="M339" s="135"/>
      <c r="N339" s="135"/>
      <c r="O339" s="135"/>
      <c r="P339" s="135"/>
      <c r="Q339" s="189"/>
      <c r="R339" s="135"/>
      <c r="S339" s="135"/>
      <c r="T339" s="135"/>
      <c r="U339" s="135"/>
      <c r="V339" s="135"/>
    </row>
    <row r="340" customFormat="false" ht="15.75" hidden="false" customHeight="true" outlineLevel="0" collapsed="false">
      <c r="A340" s="135"/>
      <c r="B340" s="135"/>
      <c r="C340" s="182"/>
      <c r="D340" s="135"/>
      <c r="E340" s="135"/>
      <c r="F340" s="135"/>
      <c r="G340" s="135"/>
      <c r="H340" s="189"/>
      <c r="I340" s="135"/>
      <c r="J340" s="135"/>
      <c r="K340" s="135"/>
      <c r="L340" s="135"/>
      <c r="M340" s="135"/>
      <c r="N340" s="135"/>
      <c r="O340" s="135"/>
      <c r="P340" s="135"/>
      <c r="Q340" s="189"/>
      <c r="R340" s="135"/>
      <c r="S340" s="135"/>
      <c r="T340" s="135"/>
      <c r="U340" s="135"/>
      <c r="V340" s="135"/>
    </row>
    <row r="341" customFormat="false" ht="15.75" hidden="false" customHeight="true" outlineLevel="0" collapsed="false">
      <c r="A341" s="135"/>
      <c r="B341" s="135"/>
      <c r="C341" s="182"/>
      <c r="D341" s="135"/>
      <c r="E341" s="135"/>
      <c r="F341" s="135"/>
      <c r="G341" s="135"/>
      <c r="H341" s="189"/>
      <c r="I341" s="135"/>
      <c r="J341" s="135"/>
      <c r="K341" s="135"/>
      <c r="L341" s="135"/>
      <c r="M341" s="135"/>
      <c r="N341" s="135"/>
      <c r="O341" s="135"/>
      <c r="P341" s="135"/>
      <c r="Q341" s="189"/>
      <c r="R341" s="135"/>
      <c r="S341" s="135"/>
      <c r="T341" s="135"/>
      <c r="U341" s="135"/>
      <c r="V341" s="135"/>
    </row>
    <row r="342" customFormat="false" ht="15.75" hidden="false" customHeight="true" outlineLevel="0" collapsed="false">
      <c r="A342" s="135"/>
      <c r="B342" s="135"/>
      <c r="C342" s="182"/>
      <c r="D342" s="135"/>
      <c r="E342" s="135"/>
      <c r="F342" s="135"/>
      <c r="G342" s="135"/>
      <c r="H342" s="189"/>
      <c r="I342" s="135"/>
      <c r="J342" s="135"/>
      <c r="K342" s="135"/>
      <c r="L342" s="135"/>
      <c r="M342" s="135"/>
      <c r="N342" s="135"/>
      <c r="O342" s="135"/>
      <c r="P342" s="135"/>
      <c r="Q342" s="189"/>
      <c r="R342" s="135"/>
      <c r="S342" s="135"/>
      <c r="T342" s="135"/>
      <c r="U342" s="135"/>
      <c r="V342" s="135"/>
    </row>
    <row r="343" customFormat="false" ht="15.75" hidden="false" customHeight="true" outlineLevel="0" collapsed="false">
      <c r="A343" s="135"/>
      <c r="B343" s="135"/>
      <c r="C343" s="182"/>
      <c r="D343" s="135"/>
      <c r="E343" s="135"/>
      <c r="F343" s="135"/>
      <c r="G343" s="135"/>
      <c r="H343" s="189"/>
      <c r="I343" s="135"/>
      <c r="J343" s="135"/>
      <c r="K343" s="135"/>
      <c r="L343" s="135"/>
      <c r="M343" s="135"/>
      <c r="N343" s="135"/>
      <c r="O343" s="135"/>
      <c r="P343" s="135"/>
      <c r="Q343" s="189"/>
      <c r="R343" s="135"/>
      <c r="S343" s="135"/>
      <c r="T343" s="135"/>
      <c r="U343" s="135"/>
      <c r="V343" s="135"/>
    </row>
    <row r="344" customFormat="false" ht="15.75" hidden="false" customHeight="true" outlineLevel="0" collapsed="false">
      <c r="A344" s="135"/>
      <c r="B344" s="135"/>
      <c r="C344" s="182"/>
      <c r="D344" s="135"/>
      <c r="E344" s="135"/>
      <c r="F344" s="135"/>
      <c r="G344" s="135"/>
      <c r="H344" s="189"/>
      <c r="I344" s="135"/>
      <c r="J344" s="135"/>
      <c r="K344" s="135"/>
      <c r="L344" s="135"/>
      <c r="M344" s="135"/>
      <c r="N344" s="135"/>
      <c r="O344" s="135"/>
      <c r="P344" s="135"/>
      <c r="Q344" s="189"/>
      <c r="R344" s="135"/>
      <c r="S344" s="135"/>
      <c r="T344" s="135"/>
      <c r="U344" s="135"/>
      <c r="V344" s="135"/>
    </row>
    <row r="345" customFormat="false" ht="15.75" hidden="false" customHeight="true" outlineLevel="0" collapsed="false">
      <c r="A345" s="135"/>
      <c r="B345" s="135"/>
      <c r="C345" s="182"/>
      <c r="D345" s="135"/>
      <c r="E345" s="135"/>
      <c r="F345" s="135"/>
      <c r="G345" s="135"/>
      <c r="H345" s="189"/>
      <c r="I345" s="135"/>
      <c r="J345" s="135"/>
      <c r="K345" s="135"/>
      <c r="L345" s="135"/>
      <c r="M345" s="135"/>
      <c r="N345" s="135"/>
      <c r="O345" s="135"/>
      <c r="P345" s="135"/>
      <c r="Q345" s="189"/>
      <c r="R345" s="135"/>
      <c r="S345" s="135"/>
      <c r="T345" s="135"/>
      <c r="U345" s="135"/>
      <c r="V345" s="135"/>
    </row>
    <row r="346" customFormat="false" ht="15.75" hidden="false" customHeight="true" outlineLevel="0" collapsed="false">
      <c r="A346" s="135"/>
      <c r="B346" s="135"/>
      <c r="C346" s="182"/>
      <c r="D346" s="135"/>
      <c r="E346" s="135"/>
      <c r="F346" s="135"/>
      <c r="G346" s="135"/>
      <c r="H346" s="189"/>
      <c r="I346" s="135"/>
      <c r="J346" s="135"/>
      <c r="K346" s="135"/>
      <c r="L346" s="135"/>
      <c r="M346" s="135"/>
      <c r="N346" s="135"/>
      <c r="O346" s="135"/>
      <c r="P346" s="135"/>
      <c r="Q346" s="189"/>
      <c r="R346" s="135"/>
      <c r="S346" s="135"/>
      <c r="T346" s="135"/>
      <c r="U346" s="135"/>
      <c r="V346" s="135"/>
    </row>
    <row r="347" customFormat="false" ht="15.75" hidden="false" customHeight="true" outlineLevel="0" collapsed="false">
      <c r="A347" s="135"/>
      <c r="B347" s="135"/>
      <c r="C347" s="182"/>
      <c r="D347" s="135"/>
      <c r="E347" s="135"/>
      <c r="F347" s="135"/>
      <c r="G347" s="135"/>
      <c r="H347" s="189"/>
      <c r="I347" s="135"/>
      <c r="J347" s="135"/>
      <c r="K347" s="135"/>
      <c r="L347" s="135"/>
      <c r="M347" s="135"/>
      <c r="N347" s="135"/>
      <c r="O347" s="135"/>
      <c r="P347" s="135"/>
      <c r="Q347" s="189"/>
      <c r="R347" s="135"/>
      <c r="S347" s="135"/>
      <c r="T347" s="135"/>
      <c r="U347" s="135"/>
      <c r="V347" s="135"/>
    </row>
    <row r="348" customFormat="false" ht="15.75" hidden="false" customHeight="true" outlineLevel="0" collapsed="false">
      <c r="A348" s="135"/>
      <c r="B348" s="135"/>
      <c r="C348" s="182"/>
      <c r="D348" s="135"/>
      <c r="E348" s="135"/>
      <c r="F348" s="135"/>
      <c r="G348" s="135"/>
      <c r="H348" s="189"/>
      <c r="I348" s="135"/>
      <c r="J348" s="135"/>
      <c r="K348" s="135"/>
      <c r="L348" s="135"/>
      <c r="M348" s="135"/>
      <c r="N348" s="135"/>
      <c r="O348" s="135"/>
      <c r="P348" s="135"/>
      <c r="Q348" s="189"/>
      <c r="R348" s="135"/>
      <c r="S348" s="135"/>
      <c r="T348" s="135"/>
      <c r="U348" s="135"/>
      <c r="V348" s="135"/>
    </row>
    <row r="349" customFormat="false" ht="15.75" hidden="false" customHeight="true" outlineLevel="0" collapsed="false">
      <c r="A349" s="135"/>
      <c r="B349" s="135"/>
      <c r="C349" s="182"/>
      <c r="D349" s="135"/>
      <c r="E349" s="135"/>
      <c r="F349" s="135"/>
      <c r="G349" s="135"/>
      <c r="H349" s="189"/>
      <c r="I349" s="135"/>
      <c r="J349" s="135"/>
      <c r="K349" s="135"/>
      <c r="L349" s="135"/>
      <c r="M349" s="135"/>
      <c r="N349" s="135"/>
      <c r="O349" s="135"/>
      <c r="P349" s="135"/>
      <c r="Q349" s="189"/>
      <c r="R349" s="135"/>
      <c r="S349" s="135"/>
      <c r="T349" s="135"/>
      <c r="U349" s="135"/>
      <c r="V349" s="135"/>
    </row>
    <row r="350" customFormat="false" ht="15.75" hidden="false" customHeight="true" outlineLevel="0" collapsed="false">
      <c r="A350" s="135"/>
      <c r="B350" s="135"/>
      <c r="C350" s="182"/>
      <c r="D350" s="135"/>
      <c r="E350" s="135"/>
      <c r="F350" s="135"/>
      <c r="G350" s="135"/>
      <c r="H350" s="189"/>
      <c r="I350" s="135"/>
      <c r="J350" s="135"/>
      <c r="K350" s="135"/>
      <c r="L350" s="135"/>
      <c r="M350" s="135"/>
      <c r="N350" s="135"/>
      <c r="O350" s="135"/>
      <c r="P350" s="135"/>
      <c r="Q350" s="189"/>
      <c r="R350" s="135"/>
      <c r="S350" s="135"/>
      <c r="T350" s="135"/>
      <c r="U350" s="135"/>
      <c r="V350" s="135"/>
    </row>
    <row r="351" customFormat="false" ht="15.75" hidden="false" customHeight="true" outlineLevel="0" collapsed="false">
      <c r="A351" s="135"/>
      <c r="B351" s="135"/>
      <c r="C351" s="182"/>
      <c r="D351" s="135"/>
      <c r="E351" s="135"/>
      <c r="F351" s="135"/>
      <c r="G351" s="135"/>
      <c r="H351" s="189"/>
      <c r="I351" s="135"/>
      <c r="J351" s="135"/>
      <c r="K351" s="135"/>
      <c r="L351" s="135"/>
      <c r="M351" s="135"/>
      <c r="N351" s="135"/>
      <c r="O351" s="135"/>
      <c r="P351" s="135"/>
      <c r="Q351" s="189"/>
      <c r="R351" s="135"/>
      <c r="S351" s="135"/>
      <c r="T351" s="135"/>
      <c r="U351" s="135"/>
      <c r="V351" s="135"/>
    </row>
    <row r="352" customFormat="false" ht="15.75" hidden="false" customHeight="true" outlineLevel="0" collapsed="false">
      <c r="A352" s="135"/>
      <c r="B352" s="135"/>
      <c r="C352" s="182"/>
      <c r="D352" s="135"/>
      <c r="E352" s="135"/>
      <c r="F352" s="135"/>
      <c r="G352" s="135"/>
      <c r="H352" s="189"/>
      <c r="I352" s="135"/>
      <c r="J352" s="135"/>
      <c r="K352" s="135"/>
      <c r="L352" s="135"/>
      <c r="M352" s="135"/>
      <c r="N352" s="135"/>
      <c r="O352" s="135"/>
      <c r="P352" s="135"/>
      <c r="Q352" s="189"/>
      <c r="R352" s="135"/>
      <c r="S352" s="135"/>
      <c r="T352" s="135"/>
      <c r="U352" s="135"/>
      <c r="V352" s="135"/>
    </row>
    <row r="353" customFormat="false" ht="15.75" hidden="false" customHeight="true" outlineLevel="0" collapsed="false">
      <c r="A353" s="135"/>
      <c r="B353" s="135"/>
      <c r="C353" s="182"/>
      <c r="D353" s="135"/>
      <c r="E353" s="135"/>
      <c r="F353" s="135"/>
      <c r="G353" s="135"/>
      <c r="H353" s="189"/>
      <c r="I353" s="135"/>
      <c r="J353" s="135"/>
      <c r="K353" s="135"/>
      <c r="L353" s="135"/>
      <c r="M353" s="135"/>
      <c r="N353" s="135"/>
      <c r="O353" s="135"/>
      <c r="P353" s="135"/>
      <c r="Q353" s="189"/>
      <c r="R353" s="135"/>
      <c r="S353" s="135"/>
      <c r="T353" s="135"/>
      <c r="U353" s="135"/>
      <c r="V353" s="135"/>
    </row>
    <row r="354" customFormat="false" ht="15.75" hidden="false" customHeight="true" outlineLevel="0" collapsed="false">
      <c r="A354" s="135"/>
      <c r="B354" s="135"/>
      <c r="C354" s="182"/>
      <c r="D354" s="135"/>
      <c r="E354" s="135"/>
      <c r="F354" s="135"/>
      <c r="G354" s="135"/>
      <c r="H354" s="189"/>
      <c r="I354" s="135"/>
      <c r="J354" s="135"/>
      <c r="K354" s="135"/>
      <c r="L354" s="135"/>
      <c r="M354" s="135"/>
      <c r="N354" s="135"/>
      <c r="O354" s="135"/>
      <c r="P354" s="135"/>
      <c r="Q354" s="189"/>
      <c r="R354" s="135"/>
      <c r="S354" s="135"/>
      <c r="T354" s="135"/>
      <c r="U354" s="135"/>
      <c r="V354" s="135"/>
    </row>
    <row r="355" customFormat="false" ht="15.75" hidden="false" customHeight="true" outlineLevel="0" collapsed="false">
      <c r="A355" s="135"/>
      <c r="B355" s="135"/>
      <c r="C355" s="182"/>
      <c r="D355" s="135"/>
      <c r="E355" s="135"/>
      <c r="F355" s="135"/>
      <c r="G355" s="135"/>
      <c r="H355" s="189"/>
      <c r="I355" s="135"/>
      <c r="J355" s="135"/>
      <c r="K355" s="135"/>
      <c r="L355" s="135"/>
      <c r="M355" s="135"/>
      <c r="N355" s="135"/>
      <c r="O355" s="135"/>
      <c r="P355" s="135"/>
      <c r="Q355" s="189"/>
      <c r="R355" s="135"/>
      <c r="S355" s="135"/>
      <c r="T355" s="135"/>
      <c r="U355" s="135"/>
      <c r="V355" s="135"/>
    </row>
    <row r="356" customFormat="false" ht="15.75" hidden="false" customHeight="true" outlineLevel="0" collapsed="false">
      <c r="A356" s="135"/>
      <c r="B356" s="135"/>
      <c r="C356" s="182"/>
      <c r="D356" s="135"/>
      <c r="E356" s="135"/>
      <c r="F356" s="135"/>
      <c r="G356" s="135"/>
      <c r="H356" s="189"/>
      <c r="I356" s="135"/>
      <c r="J356" s="135"/>
      <c r="K356" s="135"/>
      <c r="L356" s="135"/>
      <c r="M356" s="135"/>
      <c r="N356" s="135"/>
      <c r="O356" s="135"/>
      <c r="P356" s="135"/>
      <c r="Q356" s="189"/>
      <c r="R356" s="135"/>
      <c r="S356" s="135"/>
      <c r="T356" s="135"/>
      <c r="U356" s="135"/>
      <c r="V356" s="135"/>
    </row>
    <row r="357" customFormat="false" ht="15.75" hidden="false" customHeight="true" outlineLevel="0" collapsed="false">
      <c r="A357" s="135"/>
      <c r="B357" s="135"/>
      <c r="C357" s="182"/>
      <c r="D357" s="135"/>
      <c r="E357" s="135"/>
      <c r="F357" s="135"/>
      <c r="G357" s="135"/>
      <c r="H357" s="189"/>
      <c r="I357" s="135"/>
      <c r="J357" s="135"/>
      <c r="K357" s="135"/>
      <c r="L357" s="135"/>
      <c r="M357" s="135"/>
      <c r="N357" s="135"/>
      <c r="O357" s="135"/>
      <c r="P357" s="135"/>
      <c r="Q357" s="189"/>
      <c r="R357" s="135"/>
      <c r="S357" s="135"/>
      <c r="T357" s="135"/>
      <c r="U357" s="135"/>
      <c r="V357" s="135"/>
    </row>
    <row r="358" customFormat="false" ht="15.75" hidden="false" customHeight="true" outlineLevel="0" collapsed="false">
      <c r="A358" s="135"/>
      <c r="B358" s="135"/>
      <c r="C358" s="182"/>
      <c r="D358" s="135"/>
      <c r="E358" s="135"/>
      <c r="F358" s="135"/>
      <c r="G358" s="135"/>
      <c r="H358" s="189"/>
      <c r="I358" s="135"/>
      <c r="J358" s="135"/>
      <c r="K358" s="135"/>
      <c r="L358" s="135"/>
      <c r="M358" s="135"/>
      <c r="N358" s="135"/>
      <c r="O358" s="135"/>
      <c r="P358" s="135"/>
      <c r="Q358" s="189"/>
      <c r="R358" s="135"/>
      <c r="S358" s="135"/>
      <c r="T358" s="135"/>
      <c r="U358" s="135"/>
      <c r="V358" s="135"/>
    </row>
    <row r="359" customFormat="false" ht="15.75" hidden="false" customHeight="true" outlineLevel="0" collapsed="false">
      <c r="A359" s="135"/>
      <c r="B359" s="135"/>
      <c r="C359" s="182"/>
      <c r="D359" s="135"/>
      <c r="E359" s="135"/>
      <c r="F359" s="135"/>
      <c r="G359" s="135"/>
      <c r="H359" s="189"/>
      <c r="I359" s="135"/>
      <c r="J359" s="135"/>
      <c r="K359" s="135"/>
      <c r="L359" s="135"/>
      <c r="M359" s="135"/>
      <c r="N359" s="135"/>
      <c r="O359" s="135"/>
      <c r="P359" s="135"/>
      <c r="Q359" s="189"/>
      <c r="R359" s="135"/>
      <c r="S359" s="135"/>
      <c r="T359" s="135"/>
      <c r="U359" s="135"/>
      <c r="V359" s="135"/>
    </row>
    <row r="360" customFormat="false" ht="15.75" hidden="false" customHeight="true" outlineLevel="0" collapsed="false">
      <c r="A360" s="135"/>
      <c r="B360" s="135"/>
      <c r="C360" s="182"/>
      <c r="D360" s="135"/>
      <c r="E360" s="135"/>
      <c r="F360" s="135"/>
      <c r="G360" s="135"/>
      <c r="H360" s="189"/>
      <c r="I360" s="135"/>
      <c r="J360" s="135"/>
      <c r="K360" s="135"/>
      <c r="L360" s="135"/>
      <c r="M360" s="135"/>
      <c r="N360" s="135"/>
      <c r="O360" s="135"/>
      <c r="P360" s="135"/>
      <c r="Q360" s="189"/>
      <c r="R360" s="135"/>
      <c r="S360" s="135"/>
      <c r="T360" s="135"/>
      <c r="U360" s="135"/>
      <c r="V360" s="135"/>
    </row>
    <row r="361" customFormat="false" ht="15.75" hidden="false" customHeight="true" outlineLevel="0" collapsed="false">
      <c r="A361" s="135"/>
      <c r="B361" s="135"/>
      <c r="C361" s="182"/>
      <c r="D361" s="135"/>
      <c r="E361" s="135"/>
      <c r="F361" s="135"/>
      <c r="G361" s="135"/>
      <c r="H361" s="189"/>
      <c r="I361" s="135"/>
      <c r="J361" s="135"/>
      <c r="K361" s="135"/>
      <c r="L361" s="135"/>
      <c r="M361" s="135"/>
      <c r="N361" s="135"/>
      <c r="O361" s="135"/>
      <c r="P361" s="135"/>
      <c r="Q361" s="189"/>
      <c r="R361" s="135"/>
      <c r="S361" s="135"/>
      <c r="T361" s="135"/>
      <c r="U361" s="135"/>
      <c r="V361" s="135"/>
    </row>
    <row r="362" customFormat="false" ht="15.75" hidden="false" customHeight="true" outlineLevel="0" collapsed="false">
      <c r="A362" s="135"/>
      <c r="B362" s="135"/>
      <c r="C362" s="182"/>
      <c r="D362" s="135"/>
      <c r="E362" s="135"/>
      <c r="F362" s="135"/>
      <c r="G362" s="135"/>
      <c r="H362" s="189"/>
      <c r="I362" s="135"/>
      <c r="J362" s="135"/>
      <c r="K362" s="135"/>
      <c r="L362" s="135"/>
      <c r="M362" s="135"/>
      <c r="N362" s="135"/>
      <c r="O362" s="135"/>
      <c r="P362" s="135"/>
      <c r="Q362" s="189"/>
      <c r="R362" s="135"/>
      <c r="S362" s="135"/>
      <c r="T362" s="135"/>
      <c r="U362" s="135"/>
      <c r="V362" s="135"/>
    </row>
    <row r="363" customFormat="false" ht="15.75" hidden="false" customHeight="true" outlineLevel="0" collapsed="false">
      <c r="A363" s="135"/>
      <c r="B363" s="135"/>
      <c r="C363" s="182"/>
      <c r="D363" s="135"/>
      <c r="E363" s="135"/>
      <c r="F363" s="135"/>
      <c r="G363" s="135"/>
      <c r="H363" s="189"/>
      <c r="I363" s="135"/>
      <c r="J363" s="135"/>
      <c r="K363" s="135"/>
      <c r="L363" s="135"/>
      <c r="M363" s="135"/>
      <c r="N363" s="135"/>
      <c r="O363" s="135"/>
      <c r="P363" s="135"/>
      <c r="Q363" s="189"/>
      <c r="R363" s="135"/>
      <c r="S363" s="135"/>
      <c r="T363" s="135"/>
      <c r="U363" s="135"/>
      <c r="V363" s="135"/>
    </row>
    <row r="364" customFormat="false" ht="15.75" hidden="false" customHeight="true" outlineLevel="0" collapsed="false">
      <c r="A364" s="135"/>
      <c r="B364" s="135"/>
      <c r="C364" s="182"/>
      <c r="D364" s="135"/>
      <c r="E364" s="135"/>
      <c r="F364" s="135"/>
      <c r="G364" s="135"/>
      <c r="H364" s="189"/>
      <c r="I364" s="135"/>
      <c r="J364" s="135"/>
      <c r="K364" s="135"/>
      <c r="L364" s="135"/>
      <c r="M364" s="135"/>
      <c r="N364" s="135"/>
      <c r="O364" s="135"/>
      <c r="P364" s="135"/>
      <c r="Q364" s="189"/>
      <c r="R364" s="135"/>
      <c r="S364" s="135"/>
      <c r="T364" s="135"/>
      <c r="U364" s="135"/>
      <c r="V364" s="135"/>
    </row>
    <row r="365" customFormat="false" ht="15.75" hidden="false" customHeight="true" outlineLevel="0" collapsed="false">
      <c r="A365" s="135"/>
      <c r="B365" s="135"/>
      <c r="C365" s="182"/>
      <c r="D365" s="135"/>
      <c r="E365" s="135"/>
      <c r="F365" s="135"/>
      <c r="G365" s="135"/>
      <c r="H365" s="189"/>
      <c r="I365" s="135"/>
      <c r="J365" s="135"/>
      <c r="K365" s="135"/>
      <c r="L365" s="135"/>
      <c r="M365" s="135"/>
      <c r="N365" s="135"/>
      <c r="O365" s="135"/>
      <c r="P365" s="135"/>
      <c r="Q365" s="189"/>
      <c r="R365" s="135"/>
      <c r="S365" s="135"/>
      <c r="T365" s="135"/>
      <c r="U365" s="135"/>
      <c r="V365" s="135"/>
    </row>
    <row r="366" customFormat="false" ht="15.75" hidden="false" customHeight="true" outlineLevel="0" collapsed="false">
      <c r="A366" s="135"/>
      <c r="B366" s="135"/>
      <c r="C366" s="182"/>
      <c r="D366" s="135"/>
      <c r="E366" s="135"/>
      <c r="F366" s="135"/>
      <c r="G366" s="135"/>
      <c r="H366" s="189"/>
      <c r="I366" s="135"/>
      <c r="J366" s="135"/>
      <c r="K366" s="135"/>
      <c r="L366" s="135"/>
      <c r="M366" s="135"/>
      <c r="N366" s="135"/>
      <c r="O366" s="135"/>
      <c r="P366" s="135"/>
      <c r="Q366" s="189"/>
      <c r="R366" s="135"/>
      <c r="S366" s="135"/>
      <c r="T366" s="135"/>
      <c r="U366" s="135"/>
      <c r="V366" s="135"/>
    </row>
    <row r="367" customFormat="false" ht="15.75" hidden="false" customHeight="true" outlineLevel="0" collapsed="false">
      <c r="A367" s="135"/>
      <c r="B367" s="135"/>
      <c r="C367" s="182"/>
      <c r="D367" s="135"/>
      <c r="E367" s="135"/>
      <c r="F367" s="135"/>
      <c r="G367" s="135"/>
      <c r="H367" s="189"/>
      <c r="I367" s="135"/>
      <c r="J367" s="135"/>
      <c r="K367" s="135"/>
      <c r="L367" s="135"/>
      <c r="M367" s="135"/>
      <c r="N367" s="135"/>
      <c r="O367" s="135"/>
      <c r="P367" s="135"/>
      <c r="Q367" s="189"/>
      <c r="R367" s="135"/>
      <c r="S367" s="135"/>
      <c r="T367" s="135"/>
      <c r="U367" s="135"/>
      <c r="V367" s="135"/>
    </row>
    <row r="368" customFormat="false" ht="15.75" hidden="false" customHeight="true" outlineLevel="0" collapsed="false">
      <c r="A368" s="135"/>
      <c r="B368" s="135"/>
      <c r="C368" s="182"/>
      <c r="D368" s="135"/>
      <c r="E368" s="135"/>
      <c r="F368" s="135"/>
      <c r="G368" s="135"/>
      <c r="H368" s="189"/>
      <c r="I368" s="135"/>
      <c r="J368" s="135"/>
      <c r="K368" s="135"/>
      <c r="L368" s="135"/>
      <c r="M368" s="135"/>
      <c r="N368" s="135"/>
      <c r="O368" s="135"/>
      <c r="P368" s="135"/>
      <c r="Q368" s="189"/>
      <c r="R368" s="135"/>
      <c r="S368" s="135"/>
      <c r="T368" s="135"/>
      <c r="U368" s="135"/>
      <c r="V368" s="135"/>
    </row>
    <row r="369" customFormat="false" ht="15.75" hidden="false" customHeight="true" outlineLevel="0" collapsed="false">
      <c r="A369" s="135"/>
      <c r="B369" s="135"/>
      <c r="C369" s="182"/>
      <c r="D369" s="135"/>
      <c r="E369" s="135"/>
      <c r="F369" s="135"/>
      <c r="G369" s="135"/>
      <c r="H369" s="189"/>
      <c r="I369" s="135"/>
      <c r="J369" s="135"/>
      <c r="K369" s="135"/>
      <c r="L369" s="135"/>
      <c r="M369" s="135"/>
      <c r="N369" s="135"/>
      <c r="O369" s="135"/>
      <c r="P369" s="135"/>
      <c r="Q369" s="189"/>
      <c r="R369" s="135"/>
      <c r="S369" s="135"/>
      <c r="T369" s="135"/>
      <c r="U369" s="135"/>
      <c r="V369" s="135"/>
    </row>
    <row r="370" customFormat="false" ht="15.75" hidden="false" customHeight="true" outlineLevel="0" collapsed="false">
      <c r="A370" s="135"/>
      <c r="B370" s="135"/>
      <c r="C370" s="182"/>
      <c r="D370" s="135"/>
      <c r="E370" s="135"/>
      <c r="F370" s="135"/>
      <c r="G370" s="135"/>
      <c r="H370" s="189"/>
      <c r="I370" s="135"/>
      <c r="J370" s="135"/>
      <c r="K370" s="135"/>
      <c r="L370" s="135"/>
      <c r="M370" s="135"/>
      <c r="N370" s="135"/>
      <c r="O370" s="135"/>
      <c r="P370" s="135"/>
      <c r="Q370" s="189"/>
      <c r="R370" s="135"/>
      <c r="S370" s="135"/>
      <c r="T370" s="135"/>
      <c r="U370" s="135"/>
      <c r="V370" s="135"/>
    </row>
    <row r="371" customFormat="false" ht="15.75" hidden="false" customHeight="true" outlineLevel="0" collapsed="false">
      <c r="A371" s="135"/>
      <c r="B371" s="135"/>
      <c r="C371" s="182"/>
      <c r="D371" s="135"/>
      <c r="E371" s="135"/>
      <c r="F371" s="135"/>
      <c r="G371" s="135"/>
      <c r="H371" s="189"/>
      <c r="I371" s="135"/>
      <c r="J371" s="135"/>
      <c r="K371" s="135"/>
      <c r="L371" s="135"/>
      <c r="M371" s="135"/>
      <c r="N371" s="135"/>
      <c r="O371" s="135"/>
      <c r="P371" s="135"/>
      <c r="Q371" s="189"/>
      <c r="R371" s="135"/>
      <c r="S371" s="135"/>
      <c r="T371" s="135"/>
      <c r="U371" s="135"/>
      <c r="V371" s="135"/>
    </row>
    <row r="372" customFormat="false" ht="15.75" hidden="false" customHeight="true" outlineLevel="0" collapsed="false">
      <c r="A372" s="135"/>
      <c r="B372" s="135"/>
      <c r="C372" s="182"/>
      <c r="D372" s="135"/>
      <c r="E372" s="135"/>
      <c r="F372" s="135"/>
      <c r="G372" s="135"/>
      <c r="H372" s="189"/>
      <c r="I372" s="135"/>
      <c r="J372" s="135"/>
      <c r="K372" s="135"/>
      <c r="L372" s="135"/>
      <c r="M372" s="135"/>
      <c r="N372" s="135"/>
      <c r="O372" s="135"/>
      <c r="P372" s="135"/>
      <c r="Q372" s="189"/>
      <c r="R372" s="135"/>
      <c r="S372" s="135"/>
      <c r="T372" s="135"/>
      <c r="U372" s="135"/>
      <c r="V372" s="135"/>
    </row>
    <row r="373" customFormat="false" ht="15.75" hidden="false" customHeight="true" outlineLevel="0" collapsed="false">
      <c r="A373" s="135"/>
      <c r="B373" s="135"/>
      <c r="C373" s="182"/>
      <c r="D373" s="135"/>
      <c r="E373" s="135"/>
      <c r="F373" s="135"/>
      <c r="G373" s="135"/>
      <c r="H373" s="189"/>
      <c r="I373" s="135"/>
      <c r="J373" s="135"/>
      <c r="K373" s="135"/>
      <c r="L373" s="135"/>
      <c r="M373" s="135"/>
      <c r="N373" s="135"/>
      <c r="O373" s="135"/>
      <c r="P373" s="135"/>
      <c r="Q373" s="189"/>
      <c r="R373" s="135"/>
      <c r="S373" s="135"/>
      <c r="T373" s="135"/>
      <c r="U373" s="135"/>
      <c r="V373" s="135"/>
    </row>
    <row r="374" customFormat="false" ht="15.75" hidden="false" customHeight="true" outlineLevel="0" collapsed="false">
      <c r="A374" s="135"/>
      <c r="B374" s="135"/>
      <c r="C374" s="182"/>
      <c r="D374" s="135"/>
      <c r="E374" s="135"/>
      <c r="F374" s="135"/>
      <c r="G374" s="135"/>
      <c r="H374" s="189"/>
      <c r="I374" s="135"/>
      <c r="J374" s="135"/>
      <c r="K374" s="135"/>
      <c r="L374" s="135"/>
      <c r="M374" s="135"/>
      <c r="N374" s="135"/>
      <c r="O374" s="135"/>
      <c r="P374" s="135"/>
      <c r="Q374" s="189"/>
      <c r="R374" s="135"/>
      <c r="S374" s="135"/>
      <c r="T374" s="135"/>
      <c r="U374" s="135"/>
      <c r="V374" s="135"/>
    </row>
    <row r="375" customFormat="false" ht="15.75" hidden="false" customHeight="true" outlineLevel="0" collapsed="false">
      <c r="A375" s="135"/>
      <c r="B375" s="135"/>
      <c r="C375" s="182"/>
      <c r="D375" s="135"/>
      <c r="E375" s="135"/>
      <c r="F375" s="135"/>
      <c r="G375" s="135"/>
      <c r="H375" s="189"/>
      <c r="I375" s="135"/>
      <c r="J375" s="135"/>
      <c r="K375" s="135"/>
      <c r="L375" s="135"/>
      <c r="M375" s="135"/>
      <c r="N375" s="135"/>
      <c r="O375" s="135"/>
      <c r="P375" s="135"/>
      <c r="Q375" s="189"/>
      <c r="R375" s="135"/>
      <c r="S375" s="135"/>
      <c r="T375" s="135"/>
      <c r="U375" s="135"/>
      <c r="V375" s="135"/>
    </row>
    <row r="376" customFormat="false" ht="15.75" hidden="false" customHeight="true" outlineLevel="0" collapsed="false">
      <c r="A376" s="135"/>
      <c r="B376" s="135"/>
      <c r="C376" s="182"/>
      <c r="D376" s="135"/>
      <c r="E376" s="135"/>
      <c r="F376" s="135"/>
      <c r="G376" s="135"/>
      <c r="H376" s="189"/>
      <c r="I376" s="135"/>
      <c r="J376" s="135"/>
      <c r="K376" s="135"/>
      <c r="L376" s="135"/>
      <c r="M376" s="135"/>
      <c r="N376" s="135"/>
      <c r="O376" s="135"/>
      <c r="P376" s="135"/>
      <c r="Q376" s="189"/>
      <c r="R376" s="135"/>
      <c r="S376" s="135"/>
      <c r="T376" s="135"/>
      <c r="U376" s="135"/>
      <c r="V376" s="135"/>
    </row>
    <row r="377" customFormat="false" ht="15.75" hidden="false" customHeight="true" outlineLevel="0" collapsed="false">
      <c r="A377" s="135"/>
      <c r="B377" s="135"/>
      <c r="C377" s="182"/>
      <c r="D377" s="135"/>
      <c r="E377" s="135"/>
      <c r="F377" s="135"/>
      <c r="G377" s="135"/>
      <c r="H377" s="189"/>
      <c r="I377" s="135"/>
      <c r="J377" s="135"/>
      <c r="K377" s="135"/>
      <c r="L377" s="135"/>
      <c r="M377" s="135"/>
      <c r="N377" s="135"/>
      <c r="O377" s="135"/>
      <c r="P377" s="135"/>
      <c r="Q377" s="189"/>
      <c r="R377" s="135"/>
      <c r="S377" s="135"/>
      <c r="T377" s="135"/>
      <c r="U377" s="135"/>
      <c r="V377" s="135"/>
    </row>
    <row r="378" customFormat="false" ht="15.75" hidden="false" customHeight="true" outlineLevel="0" collapsed="false">
      <c r="A378" s="135"/>
      <c r="B378" s="135"/>
      <c r="C378" s="182"/>
      <c r="D378" s="135"/>
      <c r="E378" s="135"/>
      <c r="F378" s="135"/>
      <c r="G378" s="135"/>
      <c r="H378" s="189"/>
      <c r="I378" s="135"/>
      <c r="J378" s="135"/>
      <c r="K378" s="135"/>
      <c r="L378" s="135"/>
      <c r="M378" s="135"/>
      <c r="N378" s="135"/>
      <c r="O378" s="135"/>
      <c r="P378" s="135"/>
      <c r="Q378" s="189"/>
      <c r="R378" s="135"/>
      <c r="S378" s="135"/>
      <c r="T378" s="135"/>
      <c r="U378" s="135"/>
      <c r="V378" s="135"/>
    </row>
    <row r="379" customFormat="false" ht="15.75" hidden="false" customHeight="true" outlineLevel="0" collapsed="false">
      <c r="A379" s="135"/>
      <c r="B379" s="135"/>
      <c r="C379" s="182"/>
      <c r="D379" s="135"/>
      <c r="E379" s="135"/>
      <c r="F379" s="135"/>
      <c r="G379" s="135"/>
      <c r="H379" s="189"/>
      <c r="I379" s="135"/>
      <c r="J379" s="135"/>
      <c r="K379" s="135"/>
      <c r="L379" s="135"/>
      <c r="M379" s="135"/>
      <c r="N379" s="135"/>
      <c r="O379" s="135"/>
      <c r="P379" s="135"/>
      <c r="Q379" s="189"/>
      <c r="R379" s="135"/>
      <c r="S379" s="135"/>
      <c r="T379" s="135"/>
      <c r="U379" s="135"/>
      <c r="V379" s="135"/>
    </row>
    <row r="380" customFormat="false" ht="15.75" hidden="false" customHeight="true" outlineLevel="0" collapsed="false">
      <c r="A380" s="135"/>
      <c r="B380" s="135"/>
      <c r="C380" s="182"/>
      <c r="D380" s="135"/>
      <c r="E380" s="135"/>
      <c r="F380" s="135"/>
      <c r="G380" s="135"/>
      <c r="H380" s="189"/>
      <c r="I380" s="135"/>
      <c r="J380" s="135"/>
      <c r="K380" s="135"/>
      <c r="L380" s="135"/>
      <c r="M380" s="135"/>
      <c r="N380" s="135"/>
      <c r="O380" s="135"/>
      <c r="P380" s="135"/>
      <c r="Q380" s="189"/>
      <c r="R380" s="135"/>
      <c r="S380" s="135"/>
      <c r="T380" s="135"/>
      <c r="U380" s="135"/>
      <c r="V380" s="135"/>
    </row>
    <row r="381" customFormat="false" ht="15.75" hidden="false" customHeight="true" outlineLevel="0" collapsed="false">
      <c r="A381" s="135"/>
      <c r="B381" s="135"/>
      <c r="C381" s="182"/>
      <c r="D381" s="135"/>
      <c r="E381" s="135"/>
      <c r="F381" s="135"/>
      <c r="G381" s="135"/>
      <c r="H381" s="189"/>
      <c r="I381" s="135"/>
      <c r="J381" s="135"/>
      <c r="K381" s="135"/>
      <c r="L381" s="135"/>
      <c r="M381" s="135"/>
      <c r="N381" s="135"/>
      <c r="O381" s="135"/>
      <c r="P381" s="135"/>
      <c r="Q381" s="189"/>
      <c r="R381" s="135"/>
      <c r="S381" s="135"/>
      <c r="T381" s="135"/>
      <c r="U381" s="135"/>
      <c r="V381" s="135"/>
    </row>
    <row r="382" customFormat="false" ht="15.75" hidden="false" customHeight="true" outlineLevel="0" collapsed="false">
      <c r="A382" s="135"/>
      <c r="B382" s="135"/>
      <c r="C382" s="182"/>
      <c r="D382" s="135"/>
      <c r="E382" s="135"/>
      <c r="F382" s="135"/>
      <c r="G382" s="135"/>
      <c r="H382" s="189"/>
      <c r="I382" s="135"/>
      <c r="J382" s="135"/>
      <c r="K382" s="135"/>
      <c r="L382" s="135"/>
      <c r="M382" s="135"/>
      <c r="N382" s="135"/>
      <c r="O382" s="135"/>
      <c r="P382" s="135"/>
      <c r="Q382" s="189"/>
      <c r="R382" s="135"/>
      <c r="S382" s="135"/>
      <c r="T382" s="135"/>
      <c r="U382" s="135"/>
      <c r="V382" s="135"/>
    </row>
    <row r="383" customFormat="false" ht="15.75" hidden="false" customHeight="true" outlineLevel="0" collapsed="false">
      <c r="A383" s="135"/>
      <c r="B383" s="135"/>
      <c r="C383" s="182"/>
      <c r="D383" s="135"/>
      <c r="E383" s="135"/>
      <c r="F383" s="135"/>
      <c r="G383" s="135"/>
      <c r="H383" s="189"/>
      <c r="I383" s="135"/>
      <c r="J383" s="135"/>
      <c r="K383" s="135"/>
      <c r="L383" s="135"/>
      <c r="M383" s="135"/>
      <c r="N383" s="135"/>
      <c r="O383" s="135"/>
      <c r="P383" s="135"/>
      <c r="Q383" s="189"/>
      <c r="R383" s="135"/>
      <c r="S383" s="135"/>
      <c r="T383" s="135"/>
      <c r="U383" s="135"/>
      <c r="V383" s="135"/>
    </row>
    <row r="384" customFormat="false" ht="15.75" hidden="false" customHeight="true" outlineLevel="0" collapsed="false">
      <c r="A384" s="135"/>
      <c r="B384" s="135"/>
      <c r="C384" s="182"/>
      <c r="D384" s="135"/>
      <c r="E384" s="135"/>
      <c r="F384" s="135"/>
      <c r="G384" s="135"/>
      <c r="H384" s="189"/>
      <c r="I384" s="135"/>
      <c r="J384" s="135"/>
      <c r="K384" s="135"/>
      <c r="L384" s="135"/>
      <c r="M384" s="135"/>
      <c r="N384" s="135"/>
      <c r="O384" s="135"/>
      <c r="P384" s="135"/>
      <c r="Q384" s="189"/>
      <c r="R384" s="135"/>
      <c r="S384" s="135"/>
      <c r="T384" s="135"/>
      <c r="U384" s="135"/>
      <c r="V384" s="135"/>
    </row>
    <row r="385" customFormat="false" ht="15.75" hidden="false" customHeight="true" outlineLevel="0" collapsed="false">
      <c r="A385" s="135"/>
      <c r="B385" s="135"/>
      <c r="C385" s="182"/>
      <c r="D385" s="135"/>
      <c r="E385" s="135"/>
      <c r="F385" s="135"/>
      <c r="G385" s="135"/>
      <c r="H385" s="189"/>
      <c r="I385" s="135"/>
      <c r="J385" s="135"/>
      <c r="K385" s="135"/>
      <c r="L385" s="135"/>
      <c r="M385" s="135"/>
      <c r="N385" s="135"/>
      <c r="O385" s="135"/>
      <c r="P385" s="135"/>
      <c r="Q385" s="189"/>
      <c r="R385" s="135"/>
      <c r="S385" s="135"/>
      <c r="T385" s="135"/>
      <c r="U385" s="135"/>
      <c r="V385" s="135"/>
    </row>
    <row r="386" customFormat="false" ht="15.75" hidden="false" customHeight="true" outlineLevel="0" collapsed="false">
      <c r="A386" s="135"/>
      <c r="B386" s="135"/>
      <c r="C386" s="182"/>
      <c r="D386" s="135"/>
      <c r="E386" s="135"/>
      <c r="F386" s="135"/>
      <c r="G386" s="135"/>
      <c r="H386" s="189"/>
      <c r="I386" s="135"/>
      <c r="J386" s="135"/>
      <c r="K386" s="135"/>
      <c r="L386" s="135"/>
      <c r="M386" s="135"/>
      <c r="N386" s="135"/>
      <c r="O386" s="135"/>
      <c r="P386" s="135"/>
      <c r="Q386" s="189"/>
      <c r="R386" s="135"/>
      <c r="S386" s="135"/>
      <c r="T386" s="135"/>
      <c r="U386" s="135"/>
      <c r="V386" s="135"/>
    </row>
    <row r="387" customFormat="false" ht="15.75" hidden="false" customHeight="true" outlineLevel="0" collapsed="false">
      <c r="A387" s="135"/>
      <c r="B387" s="135"/>
      <c r="C387" s="182"/>
      <c r="D387" s="135"/>
      <c r="E387" s="135"/>
      <c r="F387" s="135"/>
      <c r="G387" s="135"/>
      <c r="H387" s="189"/>
      <c r="I387" s="135"/>
      <c r="J387" s="135"/>
      <c r="K387" s="135"/>
      <c r="L387" s="135"/>
      <c r="M387" s="135"/>
      <c r="N387" s="135"/>
      <c r="O387" s="135"/>
      <c r="P387" s="135"/>
      <c r="Q387" s="189"/>
      <c r="R387" s="135"/>
      <c r="S387" s="135"/>
      <c r="T387" s="135"/>
      <c r="U387" s="135"/>
      <c r="V387" s="135"/>
    </row>
    <row r="388" customFormat="false" ht="15.75" hidden="false" customHeight="true" outlineLevel="0" collapsed="false">
      <c r="A388" s="135"/>
      <c r="B388" s="135"/>
      <c r="C388" s="182"/>
      <c r="D388" s="135"/>
      <c r="E388" s="135"/>
      <c r="F388" s="135"/>
      <c r="G388" s="135"/>
      <c r="H388" s="189"/>
      <c r="I388" s="135"/>
      <c r="J388" s="135"/>
      <c r="K388" s="135"/>
      <c r="L388" s="135"/>
      <c r="M388" s="135"/>
      <c r="N388" s="135"/>
      <c r="O388" s="135"/>
      <c r="P388" s="135"/>
      <c r="Q388" s="189"/>
      <c r="R388" s="135"/>
      <c r="S388" s="135"/>
      <c r="T388" s="135"/>
      <c r="U388" s="135"/>
      <c r="V388" s="135"/>
    </row>
    <row r="389" customFormat="false" ht="15.75" hidden="false" customHeight="true" outlineLevel="0" collapsed="false">
      <c r="A389" s="135"/>
      <c r="B389" s="135"/>
      <c r="C389" s="182"/>
      <c r="D389" s="135"/>
      <c r="E389" s="135"/>
      <c r="F389" s="135"/>
      <c r="G389" s="135"/>
      <c r="H389" s="189"/>
      <c r="I389" s="135"/>
      <c r="J389" s="135"/>
      <c r="K389" s="135"/>
      <c r="L389" s="135"/>
      <c r="M389" s="135"/>
      <c r="N389" s="135"/>
      <c r="O389" s="135"/>
      <c r="P389" s="135"/>
      <c r="Q389" s="189"/>
      <c r="R389" s="135"/>
      <c r="S389" s="135"/>
      <c r="T389" s="135"/>
      <c r="U389" s="135"/>
      <c r="V389" s="135"/>
    </row>
    <row r="390" customFormat="false" ht="15.75" hidden="false" customHeight="true" outlineLevel="0" collapsed="false">
      <c r="A390" s="135"/>
      <c r="B390" s="135"/>
      <c r="C390" s="182"/>
      <c r="D390" s="135"/>
      <c r="E390" s="135"/>
      <c r="F390" s="135"/>
      <c r="G390" s="135"/>
      <c r="H390" s="189"/>
      <c r="I390" s="135"/>
      <c r="J390" s="135"/>
      <c r="K390" s="135"/>
      <c r="L390" s="135"/>
      <c r="M390" s="135"/>
      <c r="N390" s="135"/>
      <c r="O390" s="135"/>
      <c r="P390" s="135"/>
      <c r="Q390" s="189"/>
      <c r="R390" s="135"/>
      <c r="S390" s="135"/>
      <c r="T390" s="135"/>
      <c r="U390" s="135"/>
      <c r="V390" s="135"/>
    </row>
    <row r="391" customFormat="false" ht="15.75" hidden="false" customHeight="true" outlineLevel="0" collapsed="false">
      <c r="A391" s="135"/>
      <c r="B391" s="135"/>
      <c r="C391" s="182"/>
      <c r="D391" s="135"/>
      <c r="E391" s="135"/>
      <c r="F391" s="135"/>
      <c r="G391" s="135"/>
      <c r="H391" s="189"/>
      <c r="I391" s="135"/>
      <c r="J391" s="135"/>
      <c r="K391" s="135"/>
      <c r="L391" s="135"/>
      <c r="M391" s="135"/>
      <c r="N391" s="135"/>
      <c r="O391" s="135"/>
      <c r="P391" s="135"/>
      <c r="Q391" s="189"/>
      <c r="R391" s="135"/>
      <c r="S391" s="135"/>
      <c r="T391" s="135"/>
      <c r="U391" s="135"/>
      <c r="V391" s="135"/>
    </row>
    <row r="392" customFormat="false" ht="15.75" hidden="false" customHeight="true" outlineLevel="0" collapsed="false">
      <c r="A392" s="135"/>
      <c r="B392" s="135"/>
      <c r="C392" s="182"/>
      <c r="D392" s="135"/>
      <c r="E392" s="135"/>
      <c r="F392" s="135"/>
      <c r="G392" s="135"/>
      <c r="H392" s="189"/>
      <c r="I392" s="135"/>
      <c r="J392" s="135"/>
      <c r="K392" s="135"/>
      <c r="L392" s="135"/>
      <c r="M392" s="135"/>
      <c r="N392" s="135"/>
      <c r="O392" s="135"/>
      <c r="P392" s="135"/>
      <c r="Q392" s="189"/>
      <c r="R392" s="135"/>
      <c r="S392" s="135"/>
      <c r="T392" s="135"/>
      <c r="U392" s="135"/>
      <c r="V392" s="135"/>
    </row>
    <row r="393" customFormat="false" ht="15.75" hidden="false" customHeight="true" outlineLevel="0" collapsed="false">
      <c r="A393" s="135"/>
      <c r="B393" s="135"/>
      <c r="C393" s="182"/>
      <c r="D393" s="135"/>
      <c r="E393" s="135"/>
      <c r="F393" s="135"/>
      <c r="G393" s="135"/>
      <c r="H393" s="189"/>
      <c r="I393" s="135"/>
      <c r="J393" s="135"/>
      <c r="K393" s="135"/>
      <c r="L393" s="135"/>
      <c r="M393" s="135"/>
      <c r="N393" s="135"/>
      <c r="O393" s="135"/>
      <c r="P393" s="135"/>
      <c r="Q393" s="189"/>
      <c r="R393" s="135"/>
      <c r="S393" s="135"/>
      <c r="T393" s="135"/>
      <c r="U393" s="135"/>
      <c r="V393" s="135"/>
    </row>
    <row r="394" customFormat="false" ht="15.75" hidden="false" customHeight="true" outlineLevel="0" collapsed="false">
      <c r="A394" s="135"/>
      <c r="B394" s="135"/>
      <c r="C394" s="182"/>
      <c r="D394" s="135"/>
      <c r="E394" s="135"/>
      <c r="F394" s="135"/>
      <c r="G394" s="135"/>
      <c r="H394" s="189"/>
      <c r="I394" s="135"/>
      <c r="J394" s="135"/>
      <c r="K394" s="135"/>
      <c r="L394" s="135"/>
      <c r="M394" s="135"/>
      <c r="N394" s="135"/>
      <c r="O394" s="135"/>
      <c r="P394" s="135"/>
      <c r="Q394" s="189"/>
      <c r="R394" s="135"/>
      <c r="S394" s="135"/>
      <c r="T394" s="135"/>
      <c r="U394" s="135"/>
      <c r="V394" s="135"/>
    </row>
    <row r="395" customFormat="false" ht="15.75" hidden="false" customHeight="true" outlineLevel="0" collapsed="false">
      <c r="A395" s="135"/>
      <c r="B395" s="135"/>
      <c r="C395" s="182"/>
      <c r="D395" s="135"/>
      <c r="E395" s="135"/>
      <c r="F395" s="135"/>
      <c r="G395" s="135"/>
      <c r="H395" s="189"/>
      <c r="I395" s="135"/>
      <c r="J395" s="135"/>
      <c r="K395" s="135"/>
      <c r="L395" s="135"/>
      <c r="M395" s="135"/>
      <c r="N395" s="135"/>
      <c r="O395" s="135"/>
      <c r="P395" s="135"/>
      <c r="Q395" s="189"/>
      <c r="R395" s="135"/>
      <c r="S395" s="135"/>
      <c r="T395" s="135"/>
      <c r="U395" s="135"/>
      <c r="V395" s="135"/>
    </row>
    <row r="396" customFormat="false" ht="15.75" hidden="false" customHeight="true" outlineLevel="0" collapsed="false">
      <c r="A396" s="135"/>
      <c r="B396" s="135"/>
      <c r="C396" s="182"/>
      <c r="D396" s="135"/>
      <c r="E396" s="135"/>
      <c r="F396" s="135"/>
      <c r="G396" s="135"/>
      <c r="H396" s="189"/>
      <c r="I396" s="135"/>
      <c r="J396" s="135"/>
      <c r="K396" s="135"/>
      <c r="L396" s="135"/>
      <c r="M396" s="135"/>
      <c r="N396" s="135"/>
      <c r="O396" s="135"/>
      <c r="P396" s="135"/>
      <c r="Q396" s="189"/>
      <c r="R396" s="135"/>
      <c r="S396" s="135"/>
      <c r="T396" s="135"/>
      <c r="U396" s="135"/>
      <c r="V396" s="135"/>
    </row>
    <row r="397" customFormat="false" ht="15.75" hidden="false" customHeight="true" outlineLevel="0" collapsed="false">
      <c r="A397" s="135"/>
      <c r="B397" s="135"/>
      <c r="C397" s="182"/>
      <c r="D397" s="135"/>
      <c r="E397" s="135"/>
      <c r="F397" s="135"/>
      <c r="G397" s="135"/>
      <c r="H397" s="189"/>
      <c r="I397" s="135"/>
      <c r="J397" s="135"/>
      <c r="K397" s="135"/>
      <c r="L397" s="135"/>
      <c r="M397" s="135"/>
      <c r="N397" s="135"/>
      <c r="O397" s="135"/>
      <c r="P397" s="135"/>
      <c r="Q397" s="189"/>
      <c r="R397" s="135"/>
      <c r="S397" s="135"/>
      <c r="T397" s="135"/>
      <c r="U397" s="135"/>
      <c r="V397" s="135"/>
    </row>
    <row r="398" customFormat="false" ht="15.75" hidden="false" customHeight="true" outlineLevel="0" collapsed="false">
      <c r="A398" s="135"/>
      <c r="B398" s="135"/>
      <c r="C398" s="182"/>
      <c r="D398" s="135"/>
      <c r="E398" s="135"/>
      <c r="F398" s="135"/>
      <c r="G398" s="135"/>
      <c r="H398" s="189"/>
      <c r="I398" s="135"/>
      <c r="J398" s="135"/>
      <c r="K398" s="135"/>
      <c r="L398" s="135"/>
      <c r="M398" s="135"/>
      <c r="N398" s="135"/>
      <c r="O398" s="135"/>
      <c r="P398" s="135"/>
      <c r="Q398" s="189"/>
      <c r="R398" s="135"/>
      <c r="S398" s="135"/>
      <c r="T398" s="135"/>
      <c r="U398" s="135"/>
      <c r="V398" s="135"/>
    </row>
    <row r="399" customFormat="false" ht="15.75" hidden="false" customHeight="true" outlineLevel="0" collapsed="false">
      <c r="A399" s="135"/>
      <c r="B399" s="135"/>
      <c r="C399" s="182"/>
      <c r="D399" s="135"/>
      <c r="E399" s="135"/>
      <c r="F399" s="135"/>
      <c r="G399" s="135"/>
      <c r="H399" s="189"/>
      <c r="I399" s="135"/>
      <c r="J399" s="135"/>
      <c r="K399" s="135"/>
      <c r="L399" s="135"/>
      <c r="M399" s="135"/>
      <c r="N399" s="135"/>
      <c r="O399" s="135"/>
      <c r="P399" s="135"/>
      <c r="Q399" s="189"/>
      <c r="R399" s="135"/>
      <c r="S399" s="135"/>
      <c r="T399" s="135"/>
      <c r="U399" s="135"/>
      <c r="V399" s="135"/>
    </row>
    <row r="400" customFormat="false" ht="15.75" hidden="false" customHeight="true" outlineLevel="0" collapsed="false">
      <c r="A400" s="135"/>
      <c r="B400" s="135"/>
      <c r="C400" s="182"/>
      <c r="D400" s="135"/>
      <c r="E400" s="135"/>
      <c r="F400" s="135"/>
      <c r="G400" s="135"/>
      <c r="H400" s="189"/>
      <c r="I400" s="135"/>
      <c r="J400" s="135"/>
      <c r="K400" s="135"/>
      <c r="L400" s="135"/>
      <c r="M400" s="135"/>
      <c r="N400" s="135"/>
      <c r="O400" s="135"/>
      <c r="P400" s="135"/>
      <c r="Q400" s="189"/>
      <c r="R400" s="135"/>
      <c r="S400" s="135"/>
      <c r="T400" s="135"/>
      <c r="U400" s="135"/>
      <c r="V400" s="135"/>
    </row>
    <row r="401" customFormat="false" ht="15.75" hidden="false" customHeight="true" outlineLevel="0" collapsed="false">
      <c r="A401" s="135"/>
      <c r="B401" s="135"/>
      <c r="C401" s="182"/>
      <c r="D401" s="135"/>
      <c r="E401" s="135"/>
      <c r="F401" s="135"/>
      <c r="G401" s="135"/>
      <c r="H401" s="189"/>
      <c r="I401" s="135"/>
      <c r="J401" s="135"/>
      <c r="K401" s="135"/>
      <c r="L401" s="135"/>
      <c r="M401" s="135"/>
      <c r="N401" s="135"/>
      <c r="O401" s="135"/>
      <c r="P401" s="135"/>
      <c r="Q401" s="189"/>
      <c r="R401" s="135"/>
      <c r="S401" s="135"/>
      <c r="T401" s="135"/>
      <c r="U401" s="135"/>
      <c r="V401" s="135"/>
    </row>
    <row r="402" customFormat="false" ht="15.75" hidden="false" customHeight="true" outlineLevel="0" collapsed="false">
      <c r="A402" s="135"/>
      <c r="B402" s="135"/>
      <c r="C402" s="182"/>
      <c r="D402" s="135"/>
      <c r="E402" s="135"/>
      <c r="F402" s="135"/>
      <c r="G402" s="135"/>
      <c r="H402" s="189"/>
      <c r="I402" s="135"/>
      <c r="J402" s="135"/>
      <c r="K402" s="135"/>
      <c r="L402" s="135"/>
      <c r="M402" s="135"/>
      <c r="N402" s="135"/>
      <c r="O402" s="135"/>
      <c r="P402" s="135"/>
      <c r="Q402" s="189"/>
      <c r="R402" s="135"/>
      <c r="S402" s="135"/>
      <c r="T402" s="135"/>
      <c r="U402" s="135"/>
      <c r="V402" s="135"/>
    </row>
    <row r="403" customFormat="false" ht="15.75" hidden="false" customHeight="true" outlineLevel="0" collapsed="false">
      <c r="A403" s="135"/>
      <c r="B403" s="135"/>
      <c r="C403" s="182"/>
      <c r="D403" s="135"/>
      <c r="E403" s="135"/>
      <c r="F403" s="135"/>
      <c r="G403" s="135"/>
      <c r="H403" s="189"/>
      <c r="I403" s="135"/>
      <c r="J403" s="135"/>
      <c r="K403" s="135"/>
      <c r="L403" s="135"/>
      <c r="M403" s="135"/>
      <c r="N403" s="135"/>
      <c r="O403" s="135"/>
      <c r="P403" s="135"/>
      <c r="Q403" s="189"/>
      <c r="R403" s="135"/>
      <c r="S403" s="135"/>
      <c r="T403" s="135"/>
      <c r="U403" s="135"/>
      <c r="V403" s="135"/>
    </row>
    <row r="404" customFormat="false" ht="15.75" hidden="false" customHeight="true" outlineLevel="0" collapsed="false">
      <c r="A404" s="135"/>
      <c r="B404" s="135"/>
      <c r="C404" s="182"/>
      <c r="D404" s="135"/>
      <c r="E404" s="135"/>
      <c r="F404" s="135"/>
      <c r="G404" s="135"/>
      <c r="H404" s="189"/>
      <c r="I404" s="135"/>
      <c r="J404" s="135"/>
      <c r="K404" s="135"/>
      <c r="L404" s="135"/>
      <c r="M404" s="135"/>
      <c r="N404" s="135"/>
      <c r="O404" s="135"/>
      <c r="P404" s="135"/>
      <c r="Q404" s="189"/>
      <c r="R404" s="135"/>
      <c r="S404" s="135"/>
      <c r="T404" s="135"/>
      <c r="U404" s="135"/>
      <c r="V404" s="135"/>
    </row>
    <row r="405" customFormat="false" ht="15.75" hidden="false" customHeight="true" outlineLevel="0" collapsed="false">
      <c r="A405" s="135"/>
      <c r="B405" s="135"/>
      <c r="C405" s="182"/>
      <c r="D405" s="135"/>
      <c r="E405" s="135"/>
      <c r="F405" s="135"/>
      <c r="G405" s="135"/>
      <c r="H405" s="189"/>
      <c r="I405" s="135"/>
      <c r="J405" s="135"/>
      <c r="K405" s="135"/>
      <c r="L405" s="135"/>
      <c r="M405" s="135"/>
      <c r="N405" s="135"/>
      <c r="O405" s="135"/>
      <c r="P405" s="135"/>
      <c r="Q405" s="189"/>
      <c r="R405" s="135"/>
      <c r="S405" s="135"/>
      <c r="T405" s="135"/>
      <c r="U405" s="135"/>
      <c r="V405" s="135"/>
    </row>
    <row r="406" customFormat="false" ht="15.75" hidden="false" customHeight="true" outlineLevel="0" collapsed="false">
      <c r="A406" s="135"/>
      <c r="B406" s="135"/>
      <c r="C406" s="182"/>
      <c r="D406" s="135"/>
      <c r="E406" s="135"/>
      <c r="F406" s="135"/>
      <c r="G406" s="135"/>
      <c r="H406" s="189"/>
      <c r="I406" s="135"/>
      <c r="J406" s="135"/>
      <c r="K406" s="135"/>
      <c r="L406" s="135"/>
      <c r="M406" s="135"/>
      <c r="N406" s="135"/>
      <c r="O406" s="135"/>
      <c r="P406" s="135"/>
      <c r="Q406" s="189"/>
      <c r="R406" s="135"/>
      <c r="S406" s="135"/>
      <c r="T406" s="135"/>
      <c r="U406" s="135"/>
      <c r="V406" s="135"/>
    </row>
    <row r="407" customFormat="false" ht="15.75" hidden="false" customHeight="true" outlineLevel="0" collapsed="false">
      <c r="A407" s="135"/>
      <c r="B407" s="135"/>
      <c r="C407" s="182"/>
      <c r="D407" s="135"/>
      <c r="E407" s="135"/>
      <c r="F407" s="135"/>
      <c r="G407" s="135"/>
      <c r="H407" s="189"/>
      <c r="I407" s="135"/>
      <c r="J407" s="135"/>
      <c r="K407" s="135"/>
      <c r="L407" s="135"/>
      <c r="M407" s="135"/>
      <c r="N407" s="135"/>
      <c r="O407" s="135"/>
      <c r="P407" s="135"/>
      <c r="Q407" s="189"/>
      <c r="R407" s="135"/>
      <c r="S407" s="135"/>
      <c r="T407" s="135"/>
      <c r="U407" s="135"/>
      <c r="V407" s="135"/>
    </row>
    <row r="408" customFormat="false" ht="15.75" hidden="false" customHeight="true" outlineLevel="0" collapsed="false">
      <c r="A408" s="135"/>
      <c r="B408" s="135"/>
      <c r="C408" s="182"/>
      <c r="D408" s="135"/>
      <c r="E408" s="135"/>
      <c r="F408" s="135"/>
      <c r="G408" s="135"/>
      <c r="H408" s="189"/>
      <c r="I408" s="135"/>
      <c r="J408" s="135"/>
      <c r="K408" s="135"/>
      <c r="L408" s="135"/>
      <c r="M408" s="135"/>
      <c r="N408" s="135"/>
      <c r="O408" s="135"/>
      <c r="P408" s="135"/>
      <c r="Q408" s="189"/>
      <c r="R408" s="135"/>
      <c r="S408" s="135"/>
      <c r="T408" s="135"/>
      <c r="U408" s="135"/>
      <c r="V408" s="135"/>
    </row>
    <row r="409" customFormat="false" ht="15.75" hidden="false" customHeight="true" outlineLevel="0" collapsed="false">
      <c r="A409" s="135"/>
      <c r="B409" s="135"/>
      <c r="C409" s="182"/>
      <c r="D409" s="135"/>
      <c r="E409" s="135"/>
      <c r="F409" s="135"/>
      <c r="G409" s="135"/>
      <c r="H409" s="189"/>
      <c r="I409" s="135"/>
      <c r="J409" s="135"/>
      <c r="K409" s="135"/>
      <c r="L409" s="135"/>
      <c r="M409" s="135"/>
      <c r="N409" s="135"/>
      <c r="O409" s="135"/>
      <c r="P409" s="135"/>
      <c r="Q409" s="189"/>
      <c r="R409" s="135"/>
      <c r="S409" s="135"/>
      <c r="T409" s="135"/>
      <c r="U409" s="135"/>
      <c r="V409" s="135"/>
    </row>
    <row r="410" customFormat="false" ht="15.75" hidden="false" customHeight="true" outlineLevel="0" collapsed="false">
      <c r="A410" s="135"/>
      <c r="B410" s="135"/>
      <c r="C410" s="182"/>
      <c r="D410" s="135"/>
      <c r="E410" s="135"/>
      <c r="F410" s="135"/>
      <c r="G410" s="135"/>
      <c r="H410" s="189"/>
      <c r="I410" s="135"/>
      <c r="J410" s="135"/>
      <c r="K410" s="135"/>
      <c r="L410" s="135"/>
      <c r="M410" s="135"/>
      <c r="N410" s="135"/>
      <c r="O410" s="135"/>
      <c r="P410" s="135"/>
      <c r="Q410" s="189"/>
      <c r="R410" s="135"/>
      <c r="S410" s="135"/>
      <c r="T410" s="135"/>
      <c r="U410" s="135"/>
      <c r="V410" s="135"/>
    </row>
    <row r="411" customFormat="false" ht="15.75" hidden="false" customHeight="true" outlineLevel="0" collapsed="false">
      <c r="A411" s="135"/>
      <c r="B411" s="135"/>
      <c r="C411" s="182"/>
      <c r="D411" s="135"/>
      <c r="E411" s="135"/>
      <c r="F411" s="135"/>
      <c r="G411" s="135"/>
      <c r="H411" s="189"/>
      <c r="I411" s="135"/>
      <c r="J411" s="135"/>
      <c r="K411" s="135"/>
      <c r="L411" s="135"/>
      <c r="M411" s="135"/>
      <c r="N411" s="135"/>
      <c r="O411" s="135"/>
      <c r="P411" s="135"/>
      <c r="Q411" s="189"/>
      <c r="R411" s="135"/>
      <c r="S411" s="135"/>
      <c r="T411" s="135"/>
      <c r="U411" s="135"/>
      <c r="V411" s="135"/>
    </row>
    <row r="412" customFormat="false" ht="15.75" hidden="false" customHeight="true" outlineLevel="0" collapsed="false">
      <c r="A412" s="135"/>
      <c r="B412" s="135"/>
      <c r="C412" s="182"/>
      <c r="D412" s="135"/>
      <c r="E412" s="135"/>
      <c r="F412" s="135"/>
      <c r="G412" s="135"/>
      <c r="H412" s="189"/>
      <c r="I412" s="135"/>
      <c r="J412" s="135"/>
      <c r="K412" s="135"/>
      <c r="L412" s="135"/>
      <c r="M412" s="135"/>
      <c r="N412" s="135"/>
      <c r="O412" s="135"/>
      <c r="P412" s="135"/>
      <c r="Q412" s="189"/>
      <c r="R412" s="135"/>
      <c r="S412" s="135"/>
      <c r="T412" s="135"/>
      <c r="U412" s="135"/>
      <c r="V412" s="135"/>
    </row>
    <row r="413" customFormat="false" ht="15.75" hidden="false" customHeight="true" outlineLevel="0" collapsed="false">
      <c r="A413" s="135"/>
      <c r="B413" s="135"/>
      <c r="C413" s="182"/>
      <c r="D413" s="135"/>
      <c r="E413" s="135"/>
      <c r="F413" s="135"/>
      <c r="G413" s="135"/>
      <c r="H413" s="189"/>
      <c r="I413" s="135"/>
      <c r="J413" s="135"/>
      <c r="K413" s="135"/>
      <c r="L413" s="135"/>
      <c r="M413" s="135"/>
      <c r="N413" s="135"/>
      <c r="O413" s="135"/>
      <c r="P413" s="135"/>
      <c r="Q413" s="189"/>
      <c r="R413" s="135"/>
      <c r="S413" s="135"/>
      <c r="T413" s="135"/>
      <c r="U413" s="135"/>
      <c r="V413" s="135"/>
    </row>
    <row r="414" customFormat="false" ht="15.75" hidden="false" customHeight="true" outlineLevel="0" collapsed="false">
      <c r="A414" s="135"/>
      <c r="B414" s="135"/>
      <c r="C414" s="182"/>
      <c r="D414" s="135"/>
      <c r="E414" s="135"/>
      <c r="F414" s="135"/>
      <c r="G414" s="135"/>
      <c r="H414" s="189"/>
      <c r="I414" s="135"/>
      <c r="J414" s="135"/>
      <c r="K414" s="135"/>
      <c r="L414" s="135"/>
      <c r="M414" s="135"/>
      <c r="N414" s="135"/>
      <c r="O414" s="135"/>
      <c r="P414" s="135"/>
      <c r="Q414" s="189"/>
      <c r="R414" s="135"/>
      <c r="S414" s="135"/>
      <c r="T414" s="135"/>
      <c r="U414" s="135"/>
      <c r="V414" s="135"/>
    </row>
    <row r="415" customFormat="false" ht="15.75" hidden="false" customHeight="true" outlineLevel="0" collapsed="false">
      <c r="A415" s="135"/>
      <c r="B415" s="135"/>
      <c r="C415" s="182"/>
      <c r="D415" s="135"/>
      <c r="E415" s="135"/>
      <c r="F415" s="135"/>
      <c r="G415" s="135"/>
      <c r="H415" s="189"/>
      <c r="I415" s="135"/>
      <c r="J415" s="135"/>
      <c r="K415" s="135"/>
      <c r="L415" s="135"/>
      <c r="M415" s="135"/>
      <c r="N415" s="135"/>
      <c r="O415" s="135"/>
      <c r="P415" s="135"/>
      <c r="Q415" s="189"/>
      <c r="R415" s="135"/>
      <c r="S415" s="135"/>
      <c r="T415" s="135"/>
      <c r="U415" s="135"/>
      <c r="V415" s="135"/>
    </row>
    <row r="416" customFormat="false" ht="15.75" hidden="false" customHeight="true" outlineLevel="0" collapsed="false">
      <c r="A416" s="135"/>
      <c r="B416" s="135"/>
      <c r="C416" s="182"/>
      <c r="D416" s="135"/>
      <c r="E416" s="135"/>
      <c r="F416" s="135"/>
      <c r="G416" s="135"/>
      <c r="H416" s="189"/>
      <c r="I416" s="135"/>
      <c r="J416" s="135"/>
      <c r="K416" s="135"/>
      <c r="L416" s="135"/>
      <c r="M416" s="135"/>
      <c r="N416" s="135"/>
      <c r="O416" s="135"/>
      <c r="P416" s="135"/>
      <c r="Q416" s="189"/>
      <c r="R416" s="135"/>
      <c r="S416" s="135"/>
      <c r="T416" s="135"/>
      <c r="U416" s="135"/>
      <c r="V416" s="135"/>
    </row>
    <row r="417" customFormat="false" ht="15.75" hidden="false" customHeight="true" outlineLevel="0" collapsed="false">
      <c r="A417" s="135"/>
      <c r="B417" s="135"/>
      <c r="C417" s="182"/>
      <c r="D417" s="135"/>
      <c r="E417" s="135"/>
      <c r="F417" s="135"/>
      <c r="G417" s="135"/>
      <c r="H417" s="189"/>
      <c r="I417" s="135"/>
      <c r="J417" s="135"/>
      <c r="K417" s="135"/>
      <c r="L417" s="135"/>
      <c r="M417" s="135"/>
      <c r="N417" s="135"/>
      <c r="O417" s="135"/>
      <c r="P417" s="135"/>
      <c r="Q417" s="189"/>
      <c r="R417" s="135"/>
      <c r="S417" s="135"/>
      <c r="T417" s="135"/>
      <c r="U417" s="135"/>
      <c r="V417" s="135"/>
    </row>
    <row r="418" customFormat="false" ht="15.75" hidden="false" customHeight="true" outlineLevel="0" collapsed="false">
      <c r="A418" s="135"/>
      <c r="B418" s="135"/>
      <c r="C418" s="182"/>
      <c r="D418" s="135"/>
      <c r="E418" s="135"/>
      <c r="F418" s="135"/>
      <c r="G418" s="135"/>
      <c r="H418" s="189"/>
      <c r="I418" s="135"/>
      <c r="J418" s="135"/>
      <c r="K418" s="135"/>
      <c r="L418" s="135"/>
      <c r="M418" s="135"/>
      <c r="N418" s="135"/>
      <c r="O418" s="135"/>
      <c r="P418" s="135"/>
      <c r="Q418" s="189"/>
      <c r="R418" s="135"/>
      <c r="S418" s="135"/>
      <c r="T418" s="135"/>
      <c r="U418" s="135"/>
      <c r="V418" s="135"/>
    </row>
    <row r="419" customFormat="false" ht="15.75" hidden="false" customHeight="true" outlineLevel="0" collapsed="false">
      <c r="A419" s="135"/>
      <c r="B419" s="135"/>
      <c r="C419" s="182"/>
      <c r="D419" s="135"/>
      <c r="E419" s="135"/>
      <c r="F419" s="135"/>
      <c r="G419" s="135"/>
      <c r="H419" s="189"/>
      <c r="I419" s="135"/>
      <c r="J419" s="135"/>
      <c r="K419" s="135"/>
      <c r="L419" s="135"/>
      <c r="M419" s="135"/>
      <c r="N419" s="135"/>
      <c r="O419" s="135"/>
      <c r="P419" s="135"/>
      <c r="Q419" s="189"/>
      <c r="R419" s="135"/>
      <c r="S419" s="135"/>
      <c r="T419" s="135"/>
      <c r="U419" s="135"/>
      <c r="V419" s="135"/>
    </row>
    <row r="420" customFormat="false" ht="15.75" hidden="false" customHeight="true" outlineLevel="0" collapsed="false">
      <c r="A420" s="135"/>
      <c r="B420" s="135"/>
      <c r="C420" s="182"/>
      <c r="D420" s="135"/>
      <c r="E420" s="135"/>
      <c r="F420" s="135"/>
      <c r="G420" s="135"/>
      <c r="H420" s="189"/>
      <c r="I420" s="135"/>
      <c r="J420" s="135"/>
      <c r="K420" s="135"/>
      <c r="L420" s="135"/>
      <c r="M420" s="135"/>
      <c r="N420" s="135"/>
      <c r="O420" s="135"/>
      <c r="P420" s="135"/>
      <c r="Q420" s="189"/>
      <c r="R420" s="135"/>
      <c r="S420" s="135"/>
      <c r="T420" s="135"/>
      <c r="U420" s="135"/>
      <c r="V420" s="135"/>
    </row>
    <row r="421" customFormat="false" ht="15.75" hidden="false" customHeight="true" outlineLevel="0" collapsed="false">
      <c r="A421" s="135"/>
      <c r="B421" s="135"/>
      <c r="C421" s="182"/>
      <c r="D421" s="135"/>
      <c r="E421" s="135"/>
      <c r="F421" s="135"/>
      <c r="G421" s="135"/>
      <c r="H421" s="189"/>
      <c r="I421" s="135"/>
      <c r="J421" s="135"/>
      <c r="K421" s="135"/>
      <c r="L421" s="135"/>
      <c r="M421" s="135"/>
      <c r="N421" s="135"/>
      <c r="O421" s="135"/>
      <c r="P421" s="135"/>
      <c r="Q421" s="189"/>
      <c r="R421" s="135"/>
      <c r="S421" s="135"/>
      <c r="T421" s="135"/>
      <c r="U421" s="135"/>
      <c r="V421" s="135"/>
    </row>
    <row r="422" customFormat="false" ht="15.75" hidden="false" customHeight="true" outlineLevel="0" collapsed="false">
      <c r="A422" s="135"/>
      <c r="B422" s="135"/>
      <c r="C422" s="182"/>
      <c r="D422" s="135"/>
      <c r="E422" s="135"/>
      <c r="F422" s="135"/>
      <c r="G422" s="135"/>
      <c r="H422" s="189"/>
      <c r="I422" s="135"/>
      <c r="J422" s="135"/>
      <c r="K422" s="135"/>
      <c r="L422" s="135"/>
      <c r="M422" s="135"/>
      <c r="N422" s="135"/>
      <c r="O422" s="135"/>
      <c r="P422" s="135"/>
      <c r="Q422" s="189"/>
      <c r="R422" s="135"/>
      <c r="S422" s="135"/>
      <c r="T422" s="135"/>
      <c r="U422" s="135"/>
      <c r="V422" s="135"/>
    </row>
    <row r="423" customFormat="false" ht="15.75" hidden="false" customHeight="true" outlineLevel="0" collapsed="false">
      <c r="A423" s="135"/>
      <c r="B423" s="135"/>
      <c r="C423" s="182"/>
      <c r="D423" s="135"/>
      <c r="E423" s="135"/>
      <c r="F423" s="135"/>
      <c r="G423" s="135"/>
      <c r="H423" s="189"/>
      <c r="I423" s="135"/>
      <c r="J423" s="135"/>
      <c r="K423" s="135"/>
      <c r="L423" s="135"/>
      <c r="M423" s="135"/>
      <c r="N423" s="135"/>
      <c r="O423" s="135"/>
      <c r="P423" s="135"/>
      <c r="Q423" s="189"/>
      <c r="R423" s="135"/>
      <c r="S423" s="135"/>
      <c r="T423" s="135"/>
      <c r="U423" s="135"/>
      <c r="V423" s="135"/>
    </row>
    <row r="424" customFormat="false" ht="15.75" hidden="false" customHeight="true" outlineLevel="0" collapsed="false">
      <c r="A424" s="135"/>
      <c r="B424" s="135"/>
      <c r="C424" s="182"/>
      <c r="D424" s="135"/>
      <c r="E424" s="135"/>
      <c r="F424" s="135"/>
      <c r="G424" s="135"/>
      <c r="H424" s="189"/>
      <c r="I424" s="135"/>
      <c r="J424" s="135"/>
      <c r="K424" s="135"/>
      <c r="L424" s="135"/>
      <c r="M424" s="135"/>
      <c r="N424" s="135"/>
      <c r="O424" s="135"/>
      <c r="P424" s="135"/>
      <c r="Q424" s="189"/>
      <c r="R424" s="135"/>
      <c r="S424" s="135"/>
      <c r="T424" s="135"/>
      <c r="U424" s="135"/>
      <c r="V424" s="135"/>
    </row>
    <row r="425" customFormat="false" ht="15.75" hidden="false" customHeight="true" outlineLevel="0" collapsed="false">
      <c r="A425" s="135"/>
      <c r="B425" s="135"/>
      <c r="C425" s="182"/>
      <c r="D425" s="135"/>
      <c r="E425" s="135"/>
      <c r="F425" s="135"/>
      <c r="G425" s="135"/>
      <c r="H425" s="189"/>
      <c r="I425" s="135"/>
      <c r="J425" s="135"/>
      <c r="K425" s="135"/>
      <c r="L425" s="135"/>
      <c r="M425" s="135"/>
      <c r="N425" s="135"/>
      <c r="O425" s="135"/>
      <c r="P425" s="135"/>
      <c r="Q425" s="189"/>
      <c r="R425" s="135"/>
      <c r="S425" s="135"/>
      <c r="T425" s="135"/>
      <c r="U425" s="135"/>
      <c r="V425" s="135"/>
    </row>
    <row r="426" customFormat="false" ht="15.75" hidden="false" customHeight="true" outlineLevel="0" collapsed="false">
      <c r="A426" s="135"/>
      <c r="B426" s="135"/>
      <c r="C426" s="182"/>
      <c r="D426" s="135"/>
      <c r="E426" s="135"/>
      <c r="F426" s="135"/>
      <c r="G426" s="135"/>
      <c r="H426" s="189"/>
      <c r="I426" s="135"/>
      <c r="J426" s="135"/>
      <c r="K426" s="135"/>
      <c r="L426" s="135"/>
      <c r="M426" s="135"/>
      <c r="N426" s="135"/>
      <c r="O426" s="135"/>
      <c r="P426" s="135"/>
      <c r="Q426" s="189"/>
      <c r="R426" s="135"/>
      <c r="S426" s="135"/>
      <c r="T426" s="135"/>
      <c r="U426" s="135"/>
      <c r="V426" s="135"/>
    </row>
    <row r="427" customFormat="false" ht="15.75" hidden="false" customHeight="true" outlineLevel="0" collapsed="false">
      <c r="A427" s="135"/>
      <c r="B427" s="135"/>
      <c r="C427" s="182"/>
      <c r="D427" s="135"/>
      <c r="E427" s="135"/>
      <c r="F427" s="135"/>
      <c r="G427" s="135"/>
      <c r="H427" s="189"/>
      <c r="I427" s="135"/>
      <c r="J427" s="135"/>
      <c r="K427" s="135"/>
      <c r="L427" s="135"/>
      <c r="M427" s="135"/>
      <c r="N427" s="135"/>
      <c r="O427" s="135"/>
      <c r="P427" s="135"/>
      <c r="Q427" s="189"/>
      <c r="R427" s="135"/>
      <c r="S427" s="135"/>
      <c r="T427" s="135"/>
      <c r="U427" s="135"/>
      <c r="V427" s="135"/>
    </row>
    <row r="428" customFormat="false" ht="15.75" hidden="false" customHeight="true" outlineLevel="0" collapsed="false">
      <c r="A428" s="135"/>
      <c r="B428" s="135"/>
      <c r="C428" s="182"/>
      <c r="D428" s="135"/>
      <c r="E428" s="135"/>
      <c r="F428" s="135"/>
      <c r="G428" s="135"/>
      <c r="H428" s="189"/>
      <c r="I428" s="135"/>
      <c r="J428" s="135"/>
      <c r="K428" s="135"/>
      <c r="L428" s="135"/>
      <c r="M428" s="135"/>
      <c r="N428" s="135"/>
      <c r="O428" s="135"/>
      <c r="P428" s="135"/>
      <c r="Q428" s="189"/>
      <c r="R428" s="135"/>
      <c r="S428" s="135"/>
      <c r="T428" s="135"/>
      <c r="U428" s="135"/>
      <c r="V428" s="135"/>
    </row>
    <row r="429" customFormat="false" ht="15.75" hidden="false" customHeight="true" outlineLevel="0" collapsed="false">
      <c r="A429" s="135"/>
      <c r="B429" s="135"/>
      <c r="C429" s="182"/>
      <c r="D429" s="135"/>
      <c r="E429" s="135"/>
      <c r="F429" s="135"/>
      <c r="G429" s="135"/>
      <c r="H429" s="189"/>
      <c r="I429" s="135"/>
      <c r="J429" s="135"/>
      <c r="K429" s="135"/>
      <c r="L429" s="135"/>
      <c r="M429" s="135"/>
      <c r="N429" s="135"/>
      <c r="O429" s="135"/>
      <c r="P429" s="135"/>
      <c r="Q429" s="189"/>
      <c r="R429" s="135"/>
      <c r="S429" s="135"/>
      <c r="T429" s="135"/>
      <c r="U429" s="135"/>
      <c r="V429" s="135"/>
    </row>
    <row r="430" customFormat="false" ht="15.75" hidden="false" customHeight="true" outlineLevel="0" collapsed="false">
      <c r="A430" s="135"/>
      <c r="B430" s="135"/>
      <c r="C430" s="182"/>
      <c r="D430" s="135"/>
      <c r="E430" s="135"/>
      <c r="F430" s="135"/>
      <c r="G430" s="135"/>
      <c r="H430" s="189"/>
      <c r="I430" s="135"/>
      <c r="J430" s="135"/>
      <c r="K430" s="135"/>
      <c r="L430" s="135"/>
      <c r="M430" s="135"/>
      <c r="N430" s="135"/>
      <c r="O430" s="135"/>
      <c r="P430" s="135"/>
      <c r="Q430" s="189"/>
      <c r="R430" s="135"/>
      <c r="S430" s="135"/>
      <c r="T430" s="135"/>
      <c r="U430" s="135"/>
      <c r="V430" s="135"/>
    </row>
    <row r="431" customFormat="false" ht="15.75" hidden="false" customHeight="true" outlineLevel="0" collapsed="false">
      <c r="A431" s="135"/>
      <c r="B431" s="135"/>
      <c r="C431" s="182"/>
      <c r="D431" s="135"/>
      <c r="E431" s="135"/>
      <c r="F431" s="135"/>
      <c r="G431" s="135"/>
      <c r="H431" s="189"/>
      <c r="I431" s="135"/>
      <c r="J431" s="135"/>
      <c r="K431" s="135"/>
      <c r="L431" s="135"/>
      <c r="M431" s="135"/>
      <c r="N431" s="135"/>
      <c r="O431" s="135"/>
      <c r="P431" s="135"/>
      <c r="Q431" s="189"/>
      <c r="R431" s="135"/>
      <c r="S431" s="135"/>
      <c r="T431" s="135"/>
      <c r="U431" s="135"/>
      <c r="V431" s="135"/>
    </row>
    <row r="432" customFormat="false" ht="15.75" hidden="false" customHeight="true" outlineLevel="0" collapsed="false">
      <c r="A432" s="135"/>
      <c r="B432" s="135"/>
      <c r="C432" s="182"/>
      <c r="D432" s="135"/>
      <c r="E432" s="135"/>
      <c r="F432" s="135"/>
      <c r="G432" s="135"/>
      <c r="H432" s="189"/>
      <c r="I432" s="135"/>
      <c r="J432" s="135"/>
      <c r="K432" s="135"/>
      <c r="L432" s="135"/>
      <c r="M432" s="135"/>
      <c r="N432" s="135"/>
      <c r="O432" s="135"/>
      <c r="P432" s="135"/>
      <c r="Q432" s="189"/>
      <c r="R432" s="135"/>
      <c r="S432" s="135"/>
      <c r="T432" s="135"/>
      <c r="U432" s="135"/>
      <c r="V432" s="135"/>
    </row>
    <row r="433" customFormat="false" ht="15.75" hidden="false" customHeight="true" outlineLevel="0" collapsed="false">
      <c r="A433" s="135"/>
      <c r="B433" s="135"/>
      <c r="C433" s="182"/>
      <c r="D433" s="135"/>
      <c r="E433" s="135"/>
      <c r="F433" s="135"/>
      <c r="G433" s="135"/>
      <c r="H433" s="189"/>
      <c r="I433" s="135"/>
      <c r="J433" s="135"/>
      <c r="K433" s="135"/>
      <c r="L433" s="135"/>
      <c r="M433" s="135"/>
      <c r="N433" s="135"/>
      <c r="O433" s="135"/>
      <c r="P433" s="135"/>
      <c r="Q433" s="189"/>
      <c r="R433" s="135"/>
      <c r="S433" s="135"/>
      <c r="T433" s="135"/>
      <c r="U433" s="135"/>
      <c r="V433" s="135"/>
    </row>
    <row r="434" customFormat="false" ht="15.75" hidden="false" customHeight="true" outlineLevel="0" collapsed="false">
      <c r="A434" s="135"/>
      <c r="B434" s="135"/>
      <c r="C434" s="182"/>
      <c r="D434" s="135"/>
      <c r="E434" s="135"/>
      <c r="F434" s="135"/>
      <c r="G434" s="135"/>
      <c r="H434" s="189"/>
      <c r="I434" s="135"/>
      <c r="J434" s="135"/>
      <c r="K434" s="135"/>
      <c r="L434" s="135"/>
      <c r="M434" s="135"/>
      <c r="N434" s="135"/>
      <c r="O434" s="135"/>
      <c r="P434" s="135"/>
      <c r="Q434" s="189"/>
      <c r="R434" s="135"/>
      <c r="S434" s="135"/>
      <c r="T434" s="135"/>
      <c r="U434" s="135"/>
      <c r="V434" s="135"/>
    </row>
    <row r="435" customFormat="false" ht="15.75" hidden="false" customHeight="true" outlineLevel="0" collapsed="false">
      <c r="A435" s="135"/>
      <c r="B435" s="135"/>
      <c r="C435" s="182"/>
      <c r="D435" s="135"/>
      <c r="E435" s="135"/>
      <c r="F435" s="135"/>
      <c r="G435" s="135"/>
      <c r="H435" s="189"/>
      <c r="I435" s="135"/>
      <c r="J435" s="135"/>
      <c r="K435" s="135"/>
      <c r="L435" s="135"/>
      <c r="M435" s="135"/>
      <c r="N435" s="135"/>
      <c r="O435" s="135"/>
      <c r="P435" s="135"/>
      <c r="Q435" s="189"/>
      <c r="R435" s="135"/>
      <c r="S435" s="135"/>
      <c r="T435" s="135"/>
      <c r="U435" s="135"/>
      <c r="V435" s="135"/>
    </row>
    <row r="436" customFormat="false" ht="15.75" hidden="false" customHeight="true" outlineLevel="0" collapsed="false">
      <c r="A436" s="135"/>
      <c r="B436" s="135"/>
      <c r="C436" s="182"/>
      <c r="D436" s="135"/>
      <c r="E436" s="135"/>
      <c r="F436" s="135"/>
      <c r="G436" s="135"/>
      <c r="H436" s="189"/>
      <c r="I436" s="135"/>
      <c r="J436" s="135"/>
      <c r="K436" s="135"/>
      <c r="L436" s="135"/>
      <c r="M436" s="135"/>
      <c r="N436" s="135"/>
      <c r="O436" s="135"/>
      <c r="P436" s="135"/>
      <c r="Q436" s="189"/>
      <c r="R436" s="135"/>
      <c r="S436" s="135"/>
      <c r="T436" s="135"/>
      <c r="U436" s="135"/>
      <c r="V436" s="135"/>
    </row>
    <row r="437" customFormat="false" ht="15.75" hidden="false" customHeight="true" outlineLevel="0" collapsed="false">
      <c r="A437" s="135"/>
      <c r="B437" s="135"/>
      <c r="C437" s="182"/>
      <c r="D437" s="135"/>
      <c r="E437" s="135"/>
      <c r="F437" s="135"/>
      <c r="G437" s="135"/>
      <c r="H437" s="189"/>
      <c r="I437" s="135"/>
      <c r="J437" s="135"/>
      <c r="K437" s="135"/>
      <c r="L437" s="135"/>
      <c r="M437" s="135"/>
      <c r="N437" s="135"/>
      <c r="O437" s="135"/>
      <c r="P437" s="135"/>
      <c r="Q437" s="189"/>
      <c r="R437" s="135"/>
      <c r="S437" s="135"/>
      <c r="T437" s="135"/>
      <c r="U437" s="135"/>
      <c r="V437" s="135"/>
    </row>
    <row r="438" customFormat="false" ht="15.75" hidden="false" customHeight="true" outlineLevel="0" collapsed="false">
      <c r="A438" s="135"/>
      <c r="B438" s="135"/>
      <c r="C438" s="182"/>
      <c r="D438" s="135"/>
      <c r="E438" s="135"/>
      <c r="F438" s="135"/>
      <c r="G438" s="135"/>
      <c r="H438" s="189"/>
      <c r="I438" s="135"/>
      <c r="J438" s="135"/>
      <c r="K438" s="135"/>
      <c r="L438" s="135"/>
      <c r="M438" s="135"/>
      <c r="N438" s="135"/>
      <c r="O438" s="135"/>
      <c r="P438" s="135"/>
      <c r="Q438" s="189"/>
      <c r="R438" s="135"/>
      <c r="S438" s="135"/>
      <c r="T438" s="135"/>
      <c r="U438" s="135"/>
      <c r="V438" s="135"/>
    </row>
    <row r="439" customFormat="false" ht="15.75" hidden="false" customHeight="true" outlineLevel="0" collapsed="false">
      <c r="A439" s="135"/>
      <c r="B439" s="135"/>
      <c r="C439" s="182"/>
      <c r="D439" s="135"/>
      <c r="E439" s="135"/>
      <c r="F439" s="135"/>
      <c r="G439" s="135"/>
      <c r="H439" s="189"/>
      <c r="I439" s="135"/>
      <c r="J439" s="135"/>
      <c r="K439" s="135"/>
      <c r="L439" s="135"/>
      <c r="M439" s="135"/>
      <c r="N439" s="135"/>
      <c r="O439" s="135"/>
      <c r="P439" s="135"/>
      <c r="Q439" s="189"/>
      <c r="R439" s="135"/>
      <c r="S439" s="135"/>
      <c r="T439" s="135"/>
      <c r="U439" s="135"/>
      <c r="V439" s="135"/>
    </row>
    <row r="440" customFormat="false" ht="15.75" hidden="false" customHeight="true" outlineLevel="0" collapsed="false">
      <c r="A440" s="135"/>
      <c r="B440" s="135"/>
      <c r="C440" s="182"/>
      <c r="D440" s="135"/>
      <c r="E440" s="135"/>
      <c r="F440" s="135"/>
      <c r="G440" s="135"/>
      <c r="H440" s="189"/>
      <c r="I440" s="135"/>
      <c r="J440" s="135"/>
      <c r="K440" s="135"/>
      <c r="L440" s="135"/>
      <c r="M440" s="135"/>
      <c r="N440" s="135"/>
      <c r="O440" s="135"/>
      <c r="P440" s="135"/>
      <c r="Q440" s="189"/>
      <c r="R440" s="135"/>
      <c r="S440" s="135"/>
      <c r="T440" s="135"/>
      <c r="U440" s="135"/>
      <c r="V440" s="135"/>
    </row>
    <row r="441" customFormat="false" ht="15.75" hidden="false" customHeight="true" outlineLevel="0" collapsed="false">
      <c r="A441" s="135"/>
      <c r="B441" s="135"/>
      <c r="C441" s="182"/>
      <c r="D441" s="135"/>
      <c r="E441" s="135"/>
      <c r="F441" s="135"/>
      <c r="G441" s="135"/>
      <c r="H441" s="189"/>
      <c r="I441" s="135"/>
      <c r="J441" s="135"/>
      <c r="K441" s="135"/>
      <c r="L441" s="135"/>
      <c r="M441" s="135"/>
      <c r="N441" s="135"/>
      <c r="O441" s="135"/>
      <c r="P441" s="135"/>
      <c r="Q441" s="189"/>
      <c r="R441" s="135"/>
      <c r="S441" s="135"/>
      <c r="T441" s="135"/>
      <c r="U441" s="135"/>
      <c r="V441" s="135"/>
    </row>
    <row r="442" customFormat="false" ht="15.75" hidden="false" customHeight="true" outlineLevel="0" collapsed="false">
      <c r="A442" s="135"/>
      <c r="B442" s="135"/>
      <c r="C442" s="182"/>
      <c r="D442" s="135"/>
      <c r="E442" s="135"/>
      <c r="F442" s="135"/>
      <c r="G442" s="135"/>
      <c r="H442" s="189"/>
      <c r="I442" s="135"/>
      <c r="J442" s="135"/>
      <c r="K442" s="135"/>
      <c r="L442" s="135"/>
      <c r="M442" s="135"/>
      <c r="N442" s="135"/>
      <c r="O442" s="135"/>
      <c r="P442" s="135"/>
      <c r="Q442" s="189"/>
      <c r="R442" s="135"/>
      <c r="S442" s="135"/>
      <c r="T442" s="135"/>
      <c r="U442" s="135"/>
      <c r="V442" s="135"/>
    </row>
    <row r="443" customFormat="false" ht="15.75" hidden="false" customHeight="true" outlineLevel="0" collapsed="false">
      <c r="A443" s="135"/>
      <c r="B443" s="135"/>
      <c r="C443" s="182"/>
      <c r="D443" s="135"/>
      <c r="E443" s="135"/>
      <c r="F443" s="135"/>
      <c r="G443" s="135"/>
      <c r="H443" s="189"/>
      <c r="I443" s="135"/>
      <c r="J443" s="135"/>
      <c r="K443" s="135"/>
      <c r="L443" s="135"/>
      <c r="M443" s="135"/>
      <c r="N443" s="135"/>
      <c r="O443" s="135"/>
      <c r="P443" s="135"/>
      <c r="Q443" s="189"/>
      <c r="R443" s="135"/>
      <c r="S443" s="135"/>
      <c r="T443" s="135"/>
      <c r="U443" s="135"/>
      <c r="V443" s="135"/>
    </row>
    <row r="444" customFormat="false" ht="15.75" hidden="false" customHeight="true" outlineLevel="0" collapsed="false">
      <c r="A444" s="135"/>
      <c r="B444" s="135"/>
      <c r="C444" s="182"/>
      <c r="D444" s="135"/>
      <c r="E444" s="135"/>
      <c r="F444" s="135"/>
      <c r="G444" s="135"/>
      <c r="H444" s="189"/>
      <c r="I444" s="135"/>
      <c r="J444" s="135"/>
      <c r="K444" s="135"/>
      <c r="L444" s="135"/>
      <c r="M444" s="135"/>
      <c r="N444" s="135"/>
      <c r="O444" s="135"/>
      <c r="P444" s="135"/>
      <c r="Q444" s="189"/>
      <c r="R444" s="135"/>
      <c r="S444" s="135"/>
      <c r="T444" s="135"/>
      <c r="U444" s="135"/>
      <c r="V444" s="135"/>
    </row>
    <row r="445" customFormat="false" ht="15.75" hidden="false" customHeight="true" outlineLevel="0" collapsed="false">
      <c r="A445" s="135"/>
      <c r="B445" s="135"/>
      <c r="C445" s="182"/>
      <c r="D445" s="135"/>
      <c r="E445" s="135"/>
      <c r="F445" s="135"/>
      <c r="G445" s="135"/>
      <c r="H445" s="189"/>
      <c r="I445" s="135"/>
      <c r="J445" s="135"/>
      <c r="K445" s="135"/>
      <c r="L445" s="135"/>
      <c r="M445" s="135"/>
      <c r="N445" s="135"/>
      <c r="O445" s="135"/>
      <c r="P445" s="135"/>
      <c r="Q445" s="189"/>
      <c r="R445" s="135"/>
      <c r="S445" s="135"/>
      <c r="T445" s="135"/>
      <c r="U445" s="135"/>
      <c r="V445" s="135"/>
    </row>
    <row r="446" customFormat="false" ht="15.75" hidden="false" customHeight="true" outlineLevel="0" collapsed="false">
      <c r="A446" s="135"/>
      <c r="B446" s="135"/>
      <c r="C446" s="182"/>
      <c r="D446" s="135"/>
      <c r="E446" s="135"/>
      <c r="F446" s="135"/>
      <c r="G446" s="135"/>
      <c r="H446" s="189"/>
      <c r="I446" s="135"/>
      <c r="J446" s="135"/>
      <c r="K446" s="135"/>
      <c r="L446" s="135"/>
      <c r="M446" s="135"/>
      <c r="N446" s="135"/>
      <c r="O446" s="135"/>
      <c r="P446" s="135"/>
      <c r="Q446" s="189"/>
      <c r="R446" s="135"/>
      <c r="S446" s="135"/>
      <c r="T446" s="135"/>
      <c r="U446" s="135"/>
      <c r="V446" s="135"/>
    </row>
    <row r="447" customFormat="false" ht="15.75" hidden="false" customHeight="true" outlineLevel="0" collapsed="false">
      <c r="A447" s="135"/>
      <c r="B447" s="135"/>
      <c r="C447" s="182"/>
      <c r="D447" s="135"/>
      <c r="E447" s="135"/>
      <c r="F447" s="135"/>
      <c r="G447" s="135"/>
      <c r="H447" s="189"/>
      <c r="I447" s="135"/>
      <c r="J447" s="135"/>
      <c r="K447" s="135"/>
      <c r="L447" s="135"/>
      <c r="M447" s="135"/>
      <c r="N447" s="135"/>
      <c r="O447" s="135"/>
      <c r="P447" s="135"/>
      <c r="Q447" s="189"/>
      <c r="R447" s="135"/>
      <c r="S447" s="135"/>
      <c r="T447" s="135"/>
      <c r="U447" s="135"/>
      <c r="V447" s="135"/>
    </row>
    <row r="448" customFormat="false" ht="15.75" hidden="false" customHeight="true" outlineLevel="0" collapsed="false">
      <c r="A448" s="135"/>
      <c r="B448" s="135"/>
      <c r="C448" s="182"/>
      <c r="D448" s="135"/>
      <c r="E448" s="135"/>
      <c r="F448" s="135"/>
      <c r="G448" s="135"/>
      <c r="H448" s="189"/>
      <c r="I448" s="135"/>
      <c r="J448" s="135"/>
      <c r="K448" s="135"/>
      <c r="L448" s="135"/>
      <c r="M448" s="135"/>
      <c r="N448" s="135"/>
      <c r="O448" s="135"/>
      <c r="P448" s="135"/>
      <c r="Q448" s="189"/>
      <c r="R448" s="135"/>
      <c r="S448" s="135"/>
      <c r="T448" s="135"/>
      <c r="U448" s="135"/>
      <c r="V448" s="135"/>
    </row>
    <row r="449" customFormat="false" ht="15.75" hidden="false" customHeight="true" outlineLevel="0" collapsed="false">
      <c r="A449" s="135"/>
      <c r="B449" s="135"/>
      <c r="C449" s="182"/>
      <c r="D449" s="135"/>
      <c r="E449" s="135"/>
      <c r="F449" s="135"/>
      <c r="G449" s="135"/>
      <c r="H449" s="189"/>
      <c r="I449" s="135"/>
      <c r="J449" s="135"/>
      <c r="K449" s="135"/>
      <c r="L449" s="135"/>
      <c r="M449" s="135"/>
      <c r="N449" s="135"/>
      <c r="O449" s="135"/>
      <c r="P449" s="135"/>
      <c r="Q449" s="189"/>
      <c r="R449" s="135"/>
      <c r="S449" s="135"/>
      <c r="T449" s="135"/>
      <c r="U449" s="135"/>
      <c r="V449" s="135"/>
    </row>
    <row r="450" customFormat="false" ht="15.75" hidden="false" customHeight="true" outlineLevel="0" collapsed="false">
      <c r="A450" s="135"/>
      <c r="B450" s="135"/>
      <c r="C450" s="182"/>
      <c r="D450" s="135"/>
      <c r="E450" s="135"/>
      <c r="F450" s="135"/>
      <c r="G450" s="135"/>
      <c r="H450" s="189"/>
      <c r="I450" s="135"/>
      <c r="J450" s="135"/>
      <c r="K450" s="135"/>
      <c r="L450" s="135"/>
      <c r="M450" s="135"/>
      <c r="N450" s="135"/>
      <c r="O450" s="135"/>
      <c r="P450" s="135"/>
      <c r="Q450" s="189"/>
      <c r="R450" s="135"/>
      <c r="S450" s="135"/>
      <c r="T450" s="135"/>
      <c r="U450" s="135"/>
      <c r="V450" s="135"/>
    </row>
    <row r="451" customFormat="false" ht="15.75" hidden="false" customHeight="true" outlineLevel="0" collapsed="false">
      <c r="A451" s="135"/>
      <c r="B451" s="135"/>
      <c r="C451" s="182"/>
      <c r="D451" s="135"/>
      <c r="E451" s="135"/>
      <c r="F451" s="135"/>
      <c r="G451" s="135"/>
      <c r="H451" s="189"/>
      <c r="I451" s="135"/>
      <c r="J451" s="135"/>
      <c r="K451" s="135"/>
      <c r="L451" s="135"/>
      <c r="M451" s="135"/>
      <c r="N451" s="135"/>
      <c r="O451" s="135"/>
      <c r="P451" s="135"/>
      <c r="Q451" s="189"/>
      <c r="R451" s="135"/>
      <c r="S451" s="135"/>
      <c r="T451" s="135"/>
      <c r="U451" s="135"/>
      <c r="V451" s="135"/>
    </row>
    <row r="452" customFormat="false" ht="15.75" hidden="false" customHeight="true" outlineLevel="0" collapsed="false">
      <c r="A452" s="135"/>
      <c r="B452" s="135"/>
      <c r="C452" s="182"/>
      <c r="D452" s="135"/>
      <c r="E452" s="135"/>
      <c r="F452" s="135"/>
      <c r="G452" s="135"/>
      <c r="H452" s="189"/>
      <c r="I452" s="135"/>
      <c r="J452" s="135"/>
      <c r="K452" s="135"/>
      <c r="L452" s="135"/>
      <c r="M452" s="135"/>
      <c r="N452" s="135"/>
      <c r="O452" s="135"/>
      <c r="P452" s="135"/>
      <c r="Q452" s="189"/>
      <c r="R452" s="135"/>
      <c r="S452" s="135"/>
      <c r="T452" s="135"/>
      <c r="U452" s="135"/>
      <c r="V452" s="135"/>
    </row>
    <row r="453" customFormat="false" ht="15.75" hidden="false" customHeight="true" outlineLevel="0" collapsed="false">
      <c r="A453" s="135"/>
      <c r="B453" s="135"/>
      <c r="C453" s="182"/>
      <c r="D453" s="135"/>
      <c r="E453" s="135"/>
      <c r="F453" s="135"/>
      <c r="G453" s="135"/>
      <c r="H453" s="189"/>
      <c r="I453" s="135"/>
      <c r="J453" s="135"/>
      <c r="K453" s="135"/>
      <c r="L453" s="135"/>
      <c r="M453" s="135"/>
      <c r="N453" s="135"/>
      <c r="O453" s="135"/>
      <c r="P453" s="135"/>
      <c r="Q453" s="189"/>
      <c r="R453" s="135"/>
      <c r="S453" s="135"/>
      <c r="T453" s="135"/>
      <c r="U453" s="135"/>
      <c r="V453" s="135"/>
    </row>
    <row r="454" customFormat="false" ht="15.75" hidden="false" customHeight="true" outlineLevel="0" collapsed="false">
      <c r="A454" s="135"/>
      <c r="B454" s="135"/>
      <c r="C454" s="182"/>
      <c r="D454" s="135"/>
      <c r="E454" s="135"/>
      <c r="F454" s="135"/>
      <c r="G454" s="135"/>
      <c r="H454" s="189"/>
      <c r="I454" s="135"/>
      <c r="J454" s="135"/>
      <c r="K454" s="135"/>
      <c r="L454" s="135"/>
      <c r="M454" s="135"/>
      <c r="N454" s="135"/>
      <c r="O454" s="135"/>
      <c r="P454" s="135"/>
      <c r="Q454" s="189"/>
      <c r="R454" s="135"/>
      <c r="S454" s="135"/>
      <c r="T454" s="135"/>
      <c r="U454" s="135"/>
      <c r="V454" s="135"/>
    </row>
    <row r="455" customFormat="false" ht="15.75" hidden="false" customHeight="true" outlineLevel="0" collapsed="false">
      <c r="A455" s="135"/>
      <c r="B455" s="135"/>
      <c r="C455" s="182"/>
      <c r="D455" s="135"/>
      <c r="E455" s="135"/>
      <c r="F455" s="135"/>
      <c r="G455" s="135"/>
      <c r="H455" s="189"/>
      <c r="I455" s="135"/>
      <c r="J455" s="135"/>
      <c r="K455" s="135"/>
      <c r="L455" s="135"/>
      <c r="M455" s="135"/>
      <c r="N455" s="135"/>
      <c r="O455" s="135"/>
      <c r="P455" s="135"/>
      <c r="Q455" s="189"/>
      <c r="R455" s="135"/>
      <c r="S455" s="135"/>
      <c r="T455" s="135"/>
      <c r="U455" s="135"/>
      <c r="V455" s="135"/>
    </row>
    <row r="456" customFormat="false" ht="15.75" hidden="false" customHeight="true" outlineLevel="0" collapsed="false">
      <c r="A456" s="135"/>
      <c r="B456" s="135"/>
      <c r="C456" s="182"/>
      <c r="D456" s="135"/>
      <c r="E456" s="135"/>
      <c r="F456" s="135"/>
      <c r="G456" s="135"/>
      <c r="H456" s="189"/>
      <c r="I456" s="135"/>
      <c r="J456" s="135"/>
      <c r="K456" s="135"/>
      <c r="L456" s="135"/>
      <c r="M456" s="135"/>
      <c r="N456" s="135"/>
      <c r="O456" s="135"/>
      <c r="P456" s="135"/>
      <c r="Q456" s="189"/>
      <c r="R456" s="135"/>
      <c r="S456" s="135"/>
      <c r="T456" s="135"/>
      <c r="U456" s="135"/>
      <c r="V456" s="135"/>
    </row>
    <row r="457" customFormat="false" ht="15.75" hidden="false" customHeight="true" outlineLevel="0" collapsed="false">
      <c r="A457" s="135"/>
      <c r="B457" s="135"/>
      <c r="C457" s="182"/>
      <c r="D457" s="135"/>
      <c r="E457" s="135"/>
      <c r="F457" s="135"/>
      <c r="G457" s="135"/>
      <c r="H457" s="189"/>
      <c r="I457" s="135"/>
      <c r="J457" s="135"/>
      <c r="K457" s="135"/>
      <c r="L457" s="135"/>
      <c r="M457" s="135"/>
      <c r="N457" s="135"/>
      <c r="O457" s="135"/>
      <c r="P457" s="135"/>
      <c r="Q457" s="189"/>
      <c r="R457" s="135"/>
      <c r="S457" s="135"/>
      <c r="T457" s="135"/>
      <c r="U457" s="135"/>
      <c r="V457" s="135"/>
    </row>
    <row r="458" customFormat="false" ht="15.75" hidden="false" customHeight="true" outlineLevel="0" collapsed="false">
      <c r="A458" s="135"/>
      <c r="B458" s="135"/>
      <c r="C458" s="182"/>
      <c r="D458" s="135"/>
      <c r="E458" s="135"/>
      <c r="F458" s="135"/>
      <c r="G458" s="135"/>
      <c r="H458" s="189"/>
      <c r="I458" s="135"/>
      <c r="J458" s="135"/>
      <c r="K458" s="135"/>
      <c r="L458" s="135"/>
      <c r="M458" s="135"/>
      <c r="N458" s="135"/>
      <c r="O458" s="135"/>
      <c r="P458" s="135"/>
      <c r="Q458" s="189"/>
      <c r="R458" s="135"/>
      <c r="S458" s="135"/>
      <c r="T458" s="135"/>
      <c r="U458" s="135"/>
      <c r="V458" s="135"/>
    </row>
    <row r="459" customFormat="false" ht="15.75" hidden="false" customHeight="true" outlineLevel="0" collapsed="false">
      <c r="A459" s="135"/>
      <c r="B459" s="135"/>
      <c r="C459" s="182"/>
      <c r="D459" s="135"/>
      <c r="E459" s="135"/>
      <c r="F459" s="135"/>
      <c r="G459" s="135"/>
      <c r="H459" s="189"/>
      <c r="I459" s="135"/>
      <c r="J459" s="135"/>
      <c r="K459" s="135"/>
      <c r="L459" s="135"/>
      <c r="M459" s="135"/>
      <c r="N459" s="135"/>
      <c r="O459" s="135"/>
      <c r="P459" s="135"/>
      <c r="Q459" s="189"/>
      <c r="R459" s="135"/>
      <c r="S459" s="135"/>
      <c r="T459" s="135"/>
      <c r="U459" s="135"/>
      <c r="V459" s="135"/>
    </row>
    <row r="460" customFormat="false" ht="15.75" hidden="false" customHeight="true" outlineLevel="0" collapsed="false">
      <c r="A460" s="135"/>
      <c r="B460" s="135"/>
      <c r="C460" s="182"/>
      <c r="D460" s="135"/>
      <c r="E460" s="135"/>
      <c r="F460" s="135"/>
      <c r="G460" s="135"/>
      <c r="H460" s="189"/>
      <c r="I460" s="135"/>
      <c r="J460" s="135"/>
      <c r="K460" s="135"/>
      <c r="L460" s="135"/>
      <c r="M460" s="135"/>
      <c r="N460" s="135"/>
      <c r="O460" s="135"/>
      <c r="P460" s="135"/>
      <c r="Q460" s="189"/>
      <c r="R460" s="135"/>
      <c r="S460" s="135"/>
      <c r="T460" s="135"/>
      <c r="U460" s="135"/>
      <c r="V460" s="135"/>
    </row>
    <row r="461" customFormat="false" ht="15.75" hidden="false" customHeight="true" outlineLevel="0" collapsed="false">
      <c r="A461" s="135"/>
      <c r="B461" s="135"/>
      <c r="C461" s="182"/>
      <c r="D461" s="135"/>
      <c r="E461" s="135"/>
      <c r="F461" s="135"/>
      <c r="G461" s="135"/>
      <c r="H461" s="189"/>
      <c r="I461" s="135"/>
      <c r="J461" s="135"/>
      <c r="K461" s="135"/>
      <c r="L461" s="135"/>
      <c r="M461" s="135"/>
      <c r="N461" s="135"/>
      <c r="O461" s="135"/>
      <c r="P461" s="135"/>
      <c r="Q461" s="189"/>
      <c r="R461" s="135"/>
      <c r="S461" s="135"/>
      <c r="T461" s="135"/>
      <c r="U461" s="135"/>
      <c r="V461" s="135"/>
    </row>
    <row r="462" customFormat="false" ht="15.75" hidden="false" customHeight="true" outlineLevel="0" collapsed="false">
      <c r="A462" s="135"/>
      <c r="B462" s="135"/>
      <c r="C462" s="182"/>
      <c r="D462" s="135"/>
      <c r="E462" s="135"/>
      <c r="F462" s="135"/>
      <c r="G462" s="135"/>
      <c r="H462" s="189"/>
      <c r="I462" s="135"/>
      <c r="J462" s="135"/>
      <c r="K462" s="135"/>
      <c r="L462" s="135"/>
      <c r="M462" s="135"/>
      <c r="N462" s="135"/>
      <c r="O462" s="135"/>
      <c r="P462" s="135"/>
      <c r="Q462" s="189"/>
      <c r="R462" s="135"/>
      <c r="S462" s="135"/>
      <c r="T462" s="135"/>
      <c r="U462" s="135"/>
      <c r="V462" s="135"/>
    </row>
    <row r="463" customFormat="false" ht="15.75" hidden="false" customHeight="true" outlineLevel="0" collapsed="false">
      <c r="A463" s="135"/>
      <c r="B463" s="135"/>
      <c r="C463" s="182"/>
      <c r="D463" s="135"/>
      <c r="E463" s="135"/>
      <c r="F463" s="135"/>
      <c r="G463" s="135"/>
      <c r="H463" s="189"/>
      <c r="I463" s="135"/>
      <c r="J463" s="135"/>
      <c r="K463" s="135"/>
      <c r="L463" s="135"/>
      <c r="M463" s="135"/>
      <c r="N463" s="135"/>
      <c r="O463" s="135"/>
      <c r="P463" s="135"/>
      <c r="Q463" s="189"/>
      <c r="R463" s="135"/>
      <c r="S463" s="135"/>
      <c r="T463" s="135"/>
      <c r="U463" s="135"/>
      <c r="V463" s="135"/>
    </row>
    <row r="464" customFormat="false" ht="15.75" hidden="false" customHeight="true" outlineLevel="0" collapsed="false">
      <c r="A464" s="135"/>
      <c r="B464" s="135"/>
      <c r="C464" s="182"/>
      <c r="D464" s="135"/>
      <c r="E464" s="135"/>
      <c r="F464" s="135"/>
      <c r="G464" s="135"/>
      <c r="H464" s="189"/>
      <c r="I464" s="135"/>
      <c r="J464" s="135"/>
      <c r="K464" s="135"/>
      <c r="L464" s="135"/>
      <c r="M464" s="135"/>
      <c r="N464" s="135"/>
      <c r="O464" s="135"/>
      <c r="P464" s="135"/>
      <c r="Q464" s="189"/>
      <c r="R464" s="135"/>
      <c r="S464" s="135"/>
      <c r="T464" s="135"/>
      <c r="U464" s="135"/>
      <c r="V464" s="135"/>
    </row>
    <row r="465" customFormat="false" ht="15.75" hidden="false" customHeight="true" outlineLevel="0" collapsed="false">
      <c r="A465" s="135"/>
      <c r="B465" s="135"/>
      <c r="C465" s="182"/>
      <c r="D465" s="135"/>
      <c r="E465" s="135"/>
      <c r="F465" s="135"/>
      <c r="G465" s="135"/>
      <c r="H465" s="189"/>
      <c r="I465" s="135"/>
      <c r="J465" s="135"/>
      <c r="K465" s="135"/>
      <c r="L465" s="135"/>
      <c r="M465" s="135"/>
      <c r="N465" s="135"/>
      <c r="O465" s="135"/>
      <c r="P465" s="135"/>
      <c r="Q465" s="189"/>
      <c r="R465" s="135"/>
      <c r="S465" s="135"/>
      <c r="T465" s="135"/>
      <c r="U465" s="135"/>
      <c r="V465" s="135"/>
    </row>
    <row r="466" customFormat="false" ht="15.75" hidden="false" customHeight="true" outlineLevel="0" collapsed="false">
      <c r="A466" s="135"/>
      <c r="B466" s="135"/>
      <c r="C466" s="182"/>
      <c r="D466" s="135"/>
      <c r="E466" s="135"/>
      <c r="F466" s="135"/>
      <c r="G466" s="135"/>
      <c r="H466" s="189"/>
      <c r="I466" s="135"/>
      <c r="J466" s="135"/>
      <c r="K466" s="135"/>
      <c r="L466" s="135"/>
      <c r="M466" s="135"/>
      <c r="N466" s="135"/>
      <c r="O466" s="135"/>
      <c r="P466" s="135"/>
      <c r="Q466" s="189"/>
      <c r="R466" s="135"/>
      <c r="S466" s="135"/>
      <c r="T466" s="135"/>
      <c r="U466" s="135"/>
      <c r="V466" s="135"/>
    </row>
    <row r="467" customFormat="false" ht="15.75" hidden="false" customHeight="true" outlineLevel="0" collapsed="false">
      <c r="A467" s="135"/>
      <c r="B467" s="135"/>
      <c r="C467" s="182"/>
      <c r="D467" s="135"/>
      <c r="E467" s="135"/>
      <c r="F467" s="135"/>
      <c r="G467" s="135"/>
      <c r="H467" s="189"/>
      <c r="I467" s="135"/>
      <c r="J467" s="135"/>
      <c r="K467" s="135"/>
      <c r="L467" s="135"/>
      <c r="M467" s="135"/>
      <c r="N467" s="135"/>
      <c r="O467" s="135"/>
      <c r="P467" s="135"/>
      <c r="Q467" s="189"/>
      <c r="R467" s="135"/>
      <c r="S467" s="135"/>
      <c r="T467" s="135"/>
      <c r="U467" s="135"/>
      <c r="V467" s="135"/>
    </row>
    <row r="468" customFormat="false" ht="15.75" hidden="false" customHeight="true" outlineLevel="0" collapsed="false">
      <c r="A468" s="135"/>
      <c r="B468" s="135"/>
      <c r="C468" s="182"/>
      <c r="D468" s="135"/>
      <c r="E468" s="135"/>
      <c r="F468" s="135"/>
      <c r="G468" s="135"/>
      <c r="H468" s="189"/>
      <c r="I468" s="135"/>
      <c r="J468" s="135"/>
      <c r="K468" s="135"/>
      <c r="L468" s="135"/>
      <c r="M468" s="135"/>
      <c r="N468" s="135"/>
      <c r="O468" s="135"/>
      <c r="P468" s="135"/>
      <c r="Q468" s="189"/>
      <c r="R468" s="135"/>
      <c r="S468" s="135"/>
      <c r="T468" s="135"/>
      <c r="U468" s="135"/>
      <c r="V468" s="135"/>
    </row>
    <row r="469" customFormat="false" ht="15.75" hidden="false" customHeight="true" outlineLevel="0" collapsed="false">
      <c r="A469" s="135"/>
      <c r="B469" s="135"/>
      <c r="C469" s="182"/>
      <c r="D469" s="135"/>
      <c r="E469" s="135"/>
      <c r="F469" s="135"/>
      <c r="G469" s="135"/>
      <c r="H469" s="189"/>
      <c r="I469" s="135"/>
      <c r="J469" s="135"/>
      <c r="K469" s="135"/>
      <c r="L469" s="135"/>
      <c r="M469" s="135"/>
      <c r="N469" s="135"/>
      <c r="O469" s="135"/>
      <c r="P469" s="135"/>
      <c r="Q469" s="189"/>
      <c r="R469" s="135"/>
      <c r="S469" s="135"/>
      <c r="T469" s="135"/>
      <c r="U469" s="135"/>
      <c r="V469" s="135"/>
    </row>
    <row r="470" customFormat="false" ht="15.75" hidden="false" customHeight="true" outlineLevel="0" collapsed="false">
      <c r="A470" s="135"/>
      <c r="B470" s="135"/>
      <c r="C470" s="182"/>
      <c r="D470" s="135"/>
      <c r="E470" s="135"/>
      <c r="F470" s="135"/>
      <c r="G470" s="135"/>
      <c r="H470" s="189"/>
      <c r="I470" s="135"/>
      <c r="J470" s="135"/>
      <c r="K470" s="135"/>
      <c r="L470" s="135"/>
      <c r="M470" s="135"/>
      <c r="N470" s="135"/>
      <c r="O470" s="135"/>
      <c r="P470" s="135"/>
      <c r="Q470" s="189"/>
      <c r="R470" s="135"/>
      <c r="S470" s="135"/>
      <c r="T470" s="135"/>
      <c r="U470" s="135"/>
      <c r="V470" s="135"/>
    </row>
    <row r="471" customFormat="false" ht="15.75" hidden="false" customHeight="true" outlineLevel="0" collapsed="false">
      <c r="A471" s="135"/>
      <c r="B471" s="135"/>
      <c r="C471" s="182"/>
      <c r="D471" s="135"/>
      <c r="E471" s="135"/>
      <c r="F471" s="135"/>
      <c r="G471" s="135"/>
      <c r="H471" s="189"/>
      <c r="I471" s="135"/>
      <c r="J471" s="135"/>
      <c r="K471" s="135"/>
      <c r="L471" s="135"/>
      <c r="M471" s="135"/>
      <c r="N471" s="135"/>
      <c r="O471" s="135"/>
      <c r="P471" s="135"/>
      <c r="Q471" s="189"/>
      <c r="R471" s="135"/>
      <c r="S471" s="135"/>
      <c r="T471" s="135"/>
      <c r="U471" s="135"/>
      <c r="V471" s="135"/>
    </row>
    <row r="472" customFormat="false" ht="15.75" hidden="false" customHeight="true" outlineLevel="0" collapsed="false">
      <c r="A472" s="135"/>
      <c r="B472" s="135"/>
      <c r="C472" s="182"/>
      <c r="D472" s="135"/>
      <c r="E472" s="135"/>
      <c r="F472" s="135"/>
      <c r="G472" s="135"/>
      <c r="H472" s="189"/>
      <c r="I472" s="135"/>
      <c r="J472" s="135"/>
      <c r="K472" s="135"/>
      <c r="L472" s="135"/>
      <c r="M472" s="135"/>
      <c r="N472" s="135"/>
      <c r="O472" s="135"/>
      <c r="P472" s="135"/>
      <c r="Q472" s="189"/>
      <c r="R472" s="135"/>
      <c r="S472" s="135"/>
      <c r="T472" s="135"/>
      <c r="U472" s="135"/>
      <c r="V472" s="135"/>
    </row>
    <row r="473" customFormat="false" ht="15.75" hidden="false" customHeight="true" outlineLevel="0" collapsed="false">
      <c r="A473" s="135"/>
      <c r="B473" s="135"/>
      <c r="C473" s="182"/>
      <c r="D473" s="135"/>
      <c r="E473" s="135"/>
      <c r="F473" s="135"/>
      <c r="G473" s="135"/>
      <c r="H473" s="189"/>
      <c r="I473" s="135"/>
      <c r="J473" s="135"/>
      <c r="K473" s="135"/>
      <c r="L473" s="135"/>
      <c r="M473" s="135"/>
      <c r="N473" s="135"/>
      <c r="O473" s="135"/>
      <c r="P473" s="135"/>
      <c r="Q473" s="189"/>
      <c r="R473" s="135"/>
      <c r="S473" s="135"/>
      <c r="T473" s="135"/>
      <c r="U473" s="135"/>
      <c r="V473" s="135"/>
    </row>
    <row r="474" customFormat="false" ht="15.75" hidden="false" customHeight="true" outlineLevel="0" collapsed="false">
      <c r="A474" s="135"/>
      <c r="B474" s="135"/>
      <c r="C474" s="182"/>
      <c r="D474" s="135"/>
      <c r="E474" s="135"/>
      <c r="F474" s="135"/>
      <c r="G474" s="135"/>
      <c r="H474" s="189"/>
      <c r="I474" s="135"/>
      <c r="J474" s="135"/>
      <c r="K474" s="135"/>
      <c r="L474" s="135"/>
      <c r="M474" s="135"/>
      <c r="N474" s="135"/>
      <c r="O474" s="135"/>
      <c r="P474" s="135"/>
      <c r="Q474" s="189"/>
      <c r="R474" s="135"/>
      <c r="S474" s="135"/>
      <c r="T474" s="135"/>
      <c r="U474" s="135"/>
      <c r="V474" s="135"/>
    </row>
    <row r="475" customFormat="false" ht="15.75" hidden="false" customHeight="true" outlineLevel="0" collapsed="false">
      <c r="A475" s="135"/>
      <c r="B475" s="135"/>
      <c r="C475" s="182"/>
      <c r="D475" s="135"/>
      <c r="E475" s="135"/>
      <c r="F475" s="135"/>
      <c r="G475" s="135"/>
      <c r="H475" s="189"/>
      <c r="I475" s="135"/>
      <c r="J475" s="135"/>
      <c r="K475" s="135"/>
      <c r="L475" s="135"/>
      <c r="M475" s="135"/>
      <c r="N475" s="135"/>
      <c r="O475" s="135"/>
      <c r="P475" s="135"/>
      <c r="Q475" s="189"/>
      <c r="R475" s="135"/>
      <c r="S475" s="135"/>
      <c r="T475" s="135"/>
      <c r="U475" s="135"/>
      <c r="V475" s="135"/>
    </row>
    <row r="476" customFormat="false" ht="15.75" hidden="false" customHeight="true" outlineLevel="0" collapsed="false">
      <c r="A476" s="135"/>
      <c r="B476" s="135"/>
      <c r="C476" s="182"/>
      <c r="D476" s="135"/>
      <c r="E476" s="135"/>
      <c r="F476" s="135"/>
      <c r="G476" s="135"/>
      <c r="H476" s="189"/>
      <c r="I476" s="135"/>
      <c r="J476" s="135"/>
      <c r="K476" s="135"/>
      <c r="L476" s="135"/>
      <c r="M476" s="135"/>
      <c r="N476" s="135"/>
      <c r="O476" s="135"/>
      <c r="P476" s="135"/>
      <c r="Q476" s="189"/>
      <c r="R476" s="135"/>
      <c r="S476" s="135"/>
      <c r="T476" s="135"/>
      <c r="U476" s="135"/>
      <c r="V476" s="135"/>
    </row>
    <row r="477" customFormat="false" ht="15.75" hidden="false" customHeight="true" outlineLevel="0" collapsed="false">
      <c r="A477" s="135"/>
      <c r="B477" s="135"/>
      <c r="C477" s="182"/>
      <c r="D477" s="135"/>
      <c r="E477" s="135"/>
      <c r="F477" s="135"/>
      <c r="G477" s="135"/>
      <c r="H477" s="189"/>
      <c r="I477" s="135"/>
      <c r="J477" s="135"/>
      <c r="K477" s="135"/>
      <c r="L477" s="135"/>
      <c r="M477" s="135"/>
      <c r="N477" s="135"/>
      <c r="O477" s="135"/>
      <c r="P477" s="135"/>
      <c r="Q477" s="189"/>
      <c r="R477" s="135"/>
      <c r="S477" s="135"/>
      <c r="T477" s="135"/>
      <c r="U477" s="135"/>
      <c r="V477" s="135"/>
    </row>
    <row r="478" customFormat="false" ht="15.75" hidden="false" customHeight="true" outlineLevel="0" collapsed="false">
      <c r="A478" s="135"/>
      <c r="B478" s="135"/>
      <c r="C478" s="182"/>
      <c r="D478" s="135"/>
      <c r="E478" s="135"/>
      <c r="F478" s="135"/>
      <c r="G478" s="135"/>
      <c r="H478" s="189"/>
      <c r="I478" s="135"/>
      <c r="J478" s="135"/>
      <c r="K478" s="135"/>
      <c r="L478" s="135"/>
      <c r="M478" s="135"/>
      <c r="N478" s="135"/>
      <c r="O478" s="135"/>
      <c r="P478" s="135"/>
      <c r="Q478" s="189"/>
      <c r="R478" s="135"/>
      <c r="S478" s="135"/>
      <c r="T478" s="135"/>
      <c r="U478" s="135"/>
      <c r="V478" s="135"/>
    </row>
    <row r="479" customFormat="false" ht="15.75" hidden="false" customHeight="true" outlineLevel="0" collapsed="false">
      <c r="A479" s="135"/>
      <c r="B479" s="135"/>
      <c r="C479" s="182"/>
      <c r="D479" s="135"/>
      <c r="E479" s="135"/>
      <c r="F479" s="135"/>
      <c r="G479" s="135"/>
      <c r="H479" s="189"/>
      <c r="I479" s="135"/>
      <c r="J479" s="135"/>
      <c r="K479" s="135"/>
      <c r="L479" s="135"/>
      <c r="M479" s="135"/>
      <c r="N479" s="135"/>
      <c r="O479" s="135"/>
      <c r="P479" s="135"/>
      <c r="Q479" s="189"/>
      <c r="R479" s="135"/>
      <c r="S479" s="135"/>
      <c r="T479" s="135"/>
      <c r="U479" s="135"/>
      <c r="V479" s="135"/>
    </row>
    <row r="480" customFormat="false" ht="15.75" hidden="false" customHeight="true" outlineLevel="0" collapsed="false">
      <c r="A480" s="135"/>
      <c r="B480" s="135"/>
      <c r="C480" s="182"/>
      <c r="D480" s="135"/>
      <c r="E480" s="135"/>
      <c r="F480" s="135"/>
      <c r="G480" s="135"/>
      <c r="H480" s="189"/>
      <c r="I480" s="135"/>
      <c r="J480" s="135"/>
      <c r="K480" s="135"/>
      <c r="L480" s="135"/>
      <c r="M480" s="135"/>
      <c r="N480" s="135"/>
      <c r="O480" s="135"/>
      <c r="P480" s="135"/>
      <c r="Q480" s="189"/>
      <c r="R480" s="135"/>
      <c r="S480" s="135"/>
      <c r="T480" s="135"/>
      <c r="U480" s="135"/>
      <c r="V480" s="135"/>
    </row>
    <row r="481" customFormat="false" ht="15.75" hidden="false" customHeight="true" outlineLevel="0" collapsed="false">
      <c r="A481" s="135"/>
      <c r="B481" s="135"/>
      <c r="C481" s="182"/>
      <c r="D481" s="135"/>
      <c r="E481" s="135"/>
      <c r="F481" s="135"/>
      <c r="G481" s="135"/>
      <c r="H481" s="189"/>
      <c r="I481" s="135"/>
      <c r="J481" s="135"/>
      <c r="K481" s="135"/>
      <c r="L481" s="135"/>
      <c r="M481" s="135"/>
      <c r="N481" s="135"/>
      <c r="O481" s="135"/>
      <c r="P481" s="135"/>
      <c r="Q481" s="189"/>
      <c r="R481" s="135"/>
      <c r="S481" s="135"/>
      <c r="T481" s="135"/>
      <c r="U481" s="135"/>
      <c r="V481" s="135"/>
    </row>
    <row r="482" customFormat="false" ht="15.75" hidden="false" customHeight="true" outlineLevel="0" collapsed="false">
      <c r="A482" s="135"/>
      <c r="B482" s="135"/>
      <c r="C482" s="182"/>
      <c r="D482" s="135"/>
      <c r="E482" s="135"/>
      <c r="F482" s="135"/>
      <c r="G482" s="135"/>
      <c r="H482" s="189"/>
      <c r="I482" s="135"/>
      <c r="J482" s="135"/>
      <c r="K482" s="135"/>
      <c r="L482" s="135"/>
      <c r="M482" s="135"/>
      <c r="N482" s="135"/>
      <c r="O482" s="135"/>
      <c r="P482" s="135"/>
      <c r="Q482" s="189"/>
      <c r="R482" s="135"/>
      <c r="S482" s="135"/>
      <c r="T482" s="135"/>
      <c r="U482" s="135"/>
      <c r="V482" s="135"/>
    </row>
    <row r="483" customFormat="false" ht="15.75" hidden="false" customHeight="true" outlineLevel="0" collapsed="false">
      <c r="A483" s="135"/>
      <c r="B483" s="135"/>
      <c r="C483" s="182"/>
      <c r="D483" s="135"/>
      <c r="E483" s="135"/>
      <c r="F483" s="135"/>
      <c r="G483" s="135"/>
      <c r="H483" s="189"/>
      <c r="I483" s="135"/>
      <c r="J483" s="135"/>
      <c r="K483" s="135"/>
      <c r="L483" s="135"/>
      <c r="M483" s="135"/>
      <c r="N483" s="135"/>
      <c r="O483" s="135"/>
      <c r="P483" s="135"/>
      <c r="Q483" s="189"/>
      <c r="R483" s="135"/>
      <c r="S483" s="135"/>
      <c r="T483" s="135"/>
      <c r="U483" s="135"/>
      <c r="V483" s="135"/>
    </row>
    <row r="484" customFormat="false" ht="15.75" hidden="false" customHeight="true" outlineLevel="0" collapsed="false">
      <c r="A484" s="135"/>
      <c r="B484" s="135"/>
      <c r="C484" s="182"/>
      <c r="D484" s="135"/>
      <c r="E484" s="135"/>
      <c r="F484" s="135"/>
      <c r="G484" s="135"/>
      <c r="H484" s="189"/>
      <c r="I484" s="135"/>
      <c r="J484" s="135"/>
      <c r="K484" s="135"/>
      <c r="L484" s="135"/>
      <c r="M484" s="135"/>
      <c r="N484" s="135"/>
      <c r="O484" s="135"/>
      <c r="P484" s="135"/>
      <c r="Q484" s="189"/>
      <c r="R484" s="135"/>
      <c r="S484" s="135"/>
      <c r="T484" s="135"/>
      <c r="U484" s="135"/>
      <c r="V484" s="135"/>
    </row>
    <row r="485" customFormat="false" ht="15.75" hidden="false" customHeight="true" outlineLevel="0" collapsed="false">
      <c r="A485" s="135"/>
      <c r="B485" s="135"/>
      <c r="C485" s="182"/>
      <c r="D485" s="135"/>
      <c r="E485" s="135"/>
      <c r="F485" s="135"/>
      <c r="G485" s="135"/>
      <c r="H485" s="189"/>
      <c r="I485" s="135"/>
      <c r="J485" s="135"/>
      <c r="K485" s="135"/>
      <c r="L485" s="135"/>
      <c r="M485" s="135"/>
      <c r="N485" s="135"/>
      <c r="O485" s="135"/>
      <c r="P485" s="135"/>
      <c r="Q485" s="189"/>
      <c r="R485" s="135"/>
      <c r="S485" s="135"/>
      <c r="T485" s="135"/>
      <c r="U485" s="135"/>
      <c r="V485" s="135"/>
    </row>
    <row r="486" customFormat="false" ht="15.75" hidden="false" customHeight="true" outlineLevel="0" collapsed="false">
      <c r="A486" s="135"/>
      <c r="B486" s="135"/>
      <c r="C486" s="182"/>
      <c r="D486" s="135"/>
      <c r="E486" s="135"/>
      <c r="F486" s="135"/>
      <c r="G486" s="135"/>
      <c r="H486" s="189"/>
      <c r="I486" s="135"/>
      <c r="J486" s="135"/>
      <c r="K486" s="135"/>
      <c r="L486" s="135"/>
      <c r="M486" s="135"/>
      <c r="N486" s="135"/>
      <c r="O486" s="135"/>
      <c r="P486" s="135"/>
      <c r="Q486" s="189"/>
      <c r="R486" s="135"/>
      <c r="S486" s="135"/>
      <c r="T486" s="135"/>
      <c r="U486" s="135"/>
      <c r="V486" s="135"/>
    </row>
    <row r="487" customFormat="false" ht="15.75" hidden="false" customHeight="true" outlineLevel="0" collapsed="false">
      <c r="A487" s="135"/>
      <c r="B487" s="135"/>
      <c r="C487" s="182"/>
      <c r="D487" s="135"/>
      <c r="E487" s="135"/>
      <c r="F487" s="135"/>
      <c r="G487" s="135"/>
      <c r="H487" s="189"/>
      <c r="I487" s="135"/>
      <c r="J487" s="135"/>
      <c r="K487" s="135"/>
      <c r="L487" s="135"/>
      <c r="M487" s="135"/>
      <c r="N487" s="135"/>
      <c r="O487" s="135"/>
      <c r="P487" s="135"/>
      <c r="Q487" s="189"/>
      <c r="R487" s="135"/>
      <c r="S487" s="135"/>
      <c r="T487" s="135"/>
      <c r="U487" s="135"/>
      <c r="V487" s="135"/>
    </row>
    <row r="488" customFormat="false" ht="15.75" hidden="false" customHeight="true" outlineLevel="0" collapsed="false">
      <c r="A488" s="135"/>
      <c r="B488" s="135"/>
      <c r="C488" s="182"/>
      <c r="D488" s="135"/>
      <c r="E488" s="135"/>
      <c r="F488" s="135"/>
      <c r="G488" s="135"/>
      <c r="H488" s="189"/>
      <c r="I488" s="135"/>
      <c r="J488" s="135"/>
      <c r="K488" s="135"/>
      <c r="L488" s="135"/>
      <c r="M488" s="135"/>
      <c r="N488" s="135"/>
      <c r="O488" s="135"/>
      <c r="P488" s="135"/>
      <c r="Q488" s="189"/>
      <c r="R488" s="135"/>
      <c r="S488" s="135"/>
      <c r="T488" s="135"/>
      <c r="U488" s="135"/>
      <c r="V488" s="135"/>
    </row>
    <row r="489" customFormat="false" ht="15.75" hidden="false" customHeight="true" outlineLevel="0" collapsed="false">
      <c r="A489" s="135"/>
      <c r="B489" s="135"/>
      <c r="C489" s="182"/>
      <c r="D489" s="135"/>
      <c r="E489" s="135"/>
      <c r="F489" s="135"/>
      <c r="G489" s="135"/>
      <c r="H489" s="189"/>
      <c r="I489" s="135"/>
      <c r="J489" s="135"/>
      <c r="K489" s="135"/>
      <c r="L489" s="135"/>
      <c r="M489" s="135"/>
      <c r="N489" s="135"/>
      <c r="O489" s="135"/>
      <c r="P489" s="135"/>
      <c r="Q489" s="189"/>
      <c r="R489" s="135"/>
      <c r="S489" s="135"/>
      <c r="T489" s="135"/>
      <c r="U489" s="135"/>
      <c r="V489" s="135"/>
    </row>
    <row r="490" customFormat="false" ht="15.75" hidden="false" customHeight="true" outlineLevel="0" collapsed="false">
      <c r="A490" s="135"/>
      <c r="B490" s="135"/>
      <c r="C490" s="182"/>
      <c r="D490" s="135"/>
      <c r="E490" s="135"/>
      <c r="F490" s="135"/>
      <c r="G490" s="135"/>
      <c r="H490" s="189"/>
      <c r="I490" s="135"/>
      <c r="J490" s="135"/>
      <c r="K490" s="135"/>
      <c r="L490" s="135"/>
      <c r="M490" s="135"/>
      <c r="N490" s="135"/>
      <c r="O490" s="135"/>
      <c r="P490" s="135"/>
      <c r="Q490" s="189"/>
      <c r="R490" s="135"/>
      <c r="S490" s="135"/>
      <c r="T490" s="135"/>
      <c r="U490" s="135"/>
      <c r="V490" s="135"/>
    </row>
    <row r="491" customFormat="false" ht="15.75" hidden="false" customHeight="true" outlineLevel="0" collapsed="false">
      <c r="A491" s="135"/>
      <c r="B491" s="135"/>
      <c r="C491" s="182"/>
      <c r="D491" s="135"/>
      <c r="E491" s="135"/>
      <c r="F491" s="135"/>
      <c r="G491" s="135"/>
      <c r="H491" s="189"/>
      <c r="I491" s="135"/>
      <c r="J491" s="135"/>
      <c r="K491" s="135"/>
      <c r="L491" s="135"/>
      <c r="M491" s="135"/>
      <c r="N491" s="135"/>
      <c r="O491" s="135"/>
      <c r="P491" s="135"/>
      <c r="Q491" s="189"/>
      <c r="R491" s="135"/>
      <c r="S491" s="135"/>
      <c r="T491" s="135"/>
      <c r="U491" s="135"/>
      <c r="V491" s="135"/>
    </row>
    <row r="492" customFormat="false" ht="15.75" hidden="false" customHeight="true" outlineLevel="0" collapsed="false">
      <c r="A492" s="135"/>
      <c r="B492" s="135"/>
      <c r="C492" s="182"/>
      <c r="D492" s="135"/>
      <c r="E492" s="135"/>
      <c r="F492" s="135"/>
      <c r="G492" s="135"/>
      <c r="H492" s="189"/>
      <c r="I492" s="135"/>
      <c r="J492" s="135"/>
      <c r="K492" s="135"/>
      <c r="L492" s="135"/>
      <c r="M492" s="135"/>
      <c r="N492" s="135"/>
      <c r="O492" s="135"/>
      <c r="P492" s="135"/>
      <c r="Q492" s="189"/>
      <c r="R492" s="135"/>
      <c r="S492" s="135"/>
      <c r="T492" s="135"/>
      <c r="U492" s="135"/>
      <c r="V492" s="135"/>
    </row>
    <row r="493" customFormat="false" ht="15.75" hidden="false" customHeight="true" outlineLevel="0" collapsed="false">
      <c r="A493" s="135"/>
      <c r="B493" s="135"/>
      <c r="C493" s="182"/>
      <c r="D493" s="135"/>
      <c r="E493" s="135"/>
      <c r="F493" s="135"/>
      <c r="G493" s="135"/>
      <c r="H493" s="189"/>
      <c r="I493" s="135"/>
      <c r="J493" s="135"/>
      <c r="K493" s="135"/>
      <c r="L493" s="135"/>
      <c r="M493" s="135"/>
      <c r="N493" s="135"/>
      <c r="O493" s="135"/>
      <c r="P493" s="135"/>
      <c r="Q493" s="189"/>
      <c r="R493" s="135"/>
      <c r="S493" s="135"/>
      <c r="T493" s="135"/>
      <c r="U493" s="135"/>
      <c r="V493" s="135"/>
    </row>
    <row r="494" customFormat="false" ht="15.75" hidden="false" customHeight="true" outlineLevel="0" collapsed="false">
      <c r="A494" s="135"/>
      <c r="B494" s="135"/>
      <c r="C494" s="182"/>
      <c r="D494" s="135"/>
      <c r="E494" s="135"/>
      <c r="F494" s="135"/>
      <c r="G494" s="135"/>
      <c r="H494" s="189"/>
      <c r="I494" s="135"/>
      <c r="J494" s="135"/>
      <c r="K494" s="135"/>
      <c r="L494" s="135"/>
      <c r="M494" s="135"/>
      <c r="N494" s="135"/>
      <c r="O494" s="135"/>
      <c r="P494" s="135"/>
      <c r="Q494" s="189"/>
      <c r="R494" s="135"/>
      <c r="S494" s="135"/>
      <c r="T494" s="135"/>
      <c r="U494" s="135"/>
      <c r="V494" s="135"/>
    </row>
    <row r="495" customFormat="false" ht="15.75" hidden="false" customHeight="true" outlineLevel="0" collapsed="false">
      <c r="A495" s="135"/>
      <c r="B495" s="135"/>
      <c r="C495" s="182"/>
      <c r="D495" s="135"/>
      <c r="E495" s="135"/>
      <c r="F495" s="135"/>
      <c r="G495" s="135"/>
      <c r="H495" s="189"/>
      <c r="I495" s="135"/>
      <c r="J495" s="135"/>
      <c r="K495" s="135"/>
      <c r="L495" s="135"/>
      <c r="M495" s="135"/>
      <c r="N495" s="135"/>
      <c r="O495" s="135"/>
      <c r="P495" s="135"/>
      <c r="Q495" s="189"/>
      <c r="R495" s="135"/>
      <c r="S495" s="135"/>
      <c r="T495" s="135"/>
      <c r="U495" s="135"/>
      <c r="V495" s="135"/>
    </row>
    <row r="496" customFormat="false" ht="15.75" hidden="false" customHeight="true" outlineLevel="0" collapsed="false">
      <c r="A496" s="135"/>
      <c r="B496" s="135"/>
      <c r="C496" s="182"/>
      <c r="D496" s="135"/>
      <c r="E496" s="135"/>
      <c r="F496" s="135"/>
      <c r="G496" s="135"/>
      <c r="H496" s="189"/>
      <c r="I496" s="135"/>
      <c r="J496" s="135"/>
      <c r="K496" s="135"/>
      <c r="L496" s="135"/>
      <c r="M496" s="135"/>
      <c r="N496" s="135"/>
      <c r="O496" s="135"/>
      <c r="P496" s="135"/>
      <c r="Q496" s="189"/>
      <c r="R496" s="135"/>
      <c r="S496" s="135"/>
      <c r="T496" s="135"/>
      <c r="U496" s="135"/>
      <c r="V496" s="135"/>
    </row>
    <row r="497" customFormat="false" ht="15.75" hidden="false" customHeight="true" outlineLevel="0" collapsed="false">
      <c r="A497" s="135"/>
      <c r="B497" s="135"/>
      <c r="C497" s="182"/>
      <c r="D497" s="135"/>
      <c r="E497" s="135"/>
      <c r="F497" s="135"/>
      <c r="G497" s="135"/>
      <c r="H497" s="189"/>
      <c r="I497" s="135"/>
      <c r="J497" s="135"/>
      <c r="K497" s="135"/>
      <c r="L497" s="135"/>
      <c r="M497" s="135"/>
      <c r="N497" s="135"/>
      <c r="O497" s="135"/>
      <c r="P497" s="135"/>
      <c r="Q497" s="189"/>
      <c r="R497" s="135"/>
      <c r="S497" s="135"/>
      <c r="T497" s="135"/>
      <c r="U497" s="135"/>
      <c r="V497" s="135"/>
    </row>
    <row r="498" customFormat="false" ht="15.75" hidden="false" customHeight="true" outlineLevel="0" collapsed="false">
      <c r="A498" s="135"/>
      <c r="B498" s="135"/>
      <c r="C498" s="182"/>
      <c r="D498" s="135"/>
      <c r="E498" s="135"/>
      <c r="F498" s="135"/>
      <c r="G498" s="135"/>
      <c r="H498" s="189"/>
      <c r="I498" s="135"/>
      <c r="J498" s="135"/>
      <c r="K498" s="135"/>
      <c r="L498" s="135"/>
      <c r="M498" s="135"/>
      <c r="N498" s="135"/>
      <c r="O498" s="135"/>
      <c r="P498" s="135"/>
      <c r="Q498" s="189"/>
      <c r="R498" s="135"/>
      <c r="S498" s="135"/>
      <c r="T498" s="135"/>
      <c r="U498" s="135"/>
      <c r="V498" s="135"/>
    </row>
    <row r="499" customFormat="false" ht="15.75" hidden="false" customHeight="true" outlineLevel="0" collapsed="false">
      <c r="A499" s="135"/>
      <c r="B499" s="135"/>
      <c r="C499" s="182"/>
      <c r="D499" s="135"/>
      <c r="E499" s="135"/>
      <c r="F499" s="135"/>
      <c r="G499" s="135"/>
      <c r="H499" s="189"/>
      <c r="I499" s="135"/>
      <c r="J499" s="135"/>
      <c r="K499" s="135"/>
      <c r="L499" s="135"/>
      <c r="M499" s="135"/>
      <c r="N499" s="135"/>
      <c r="O499" s="135"/>
      <c r="P499" s="135"/>
      <c r="Q499" s="189"/>
      <c r="R499" s="135"/>
      <c r="S499" s="135"/>
      <c r="T499" s="135"/>
      <c r="U499" s="135"/>
      <c r="V499" s="135"/>
    </row>
    <row r="500" customFormat="false" ht="15.75" hidden="false" customHeight="true" outlineLevel="0" collapsed="false">
      <c r="A500" s="135"/>
      <c r="B500" s="135"/>
      <c r="C500" s="182"/>
      <c r="D500" s="135"/>
      <c r="E500" s="135"/>
      <c r="F500" s="135"/>
      <c r="G500" s="135"/>
      <c r="H500" s="189"/>
      <c r="I500" s="135"/>
      <c r="J500" s="135"/>
      <c r="K500" s="135"/>
      <c r="L500" s="135"/>
      <c r="M500" s="135"/>
      <c r="N500" s="135"/>
      <c r="O500" s="135"/>
      <c r="P500" s="135"/>
      <c r="Q500" s="189"/>
      <c r="R500" s="135"/>
      <c r="S500" s="135"/>
      <c r="T500" s="135"/>
      <c r="U500" s="135"/>
      <c r="V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S6"/>
  <conditionalFormatting sqref="E4:E1000">
    <cfRule type="expression" priority="2" aboveAverage="0" equalAverage="0" bottom="0" percent="0" rank="0" text="" dxfId="14">
      <formula>ISNUMBER(SEARCH("rejected",E4))</formula>
    </cfRule>
    <cfRule type="expression" priority="3" aboveAverage="0" equalAverage="0" bottom="0" percent="0" rank="0" text="" dxfId="16">
      <formula>ISNUMBER(SEARCH("cancelled",E4))</formula>
    </cfRule>
  </conditionalFormatting>
  <conditionalFormatting sqref="G4:G1000">
    <cfRule type="expression" priority="4" aboveAverage="0" equalAverage="0" bottom="0" percent="0" rank="0" text="" dxfId="14">
      <formula>ISNUMBER(SEARCH("no_show",G4))</formula>
    </cfRule>
  </conditionalFormatting>
  <conditionalFormatting sqref="J4:J1000">
    <cfRule type="expression" priority="5" aboveAverage="0" equalAverage="0" bottom="0" percent="0" rank="0" text="" dxfId="18">
      <formula>ISNUMBER(SEARCH("graded",J4))</formula>
    </cfRule>
  </conditionalFormatting>
  <conditionalFormatting sqref="U4:U1000">
    <cfRule type="expression" priority="6" aboveAverage="0" equalAverage="0" bottom="0" percent="0" rank="0" text="" dxfId="14">
      <formula>ISNUMBER(SEARCH("⚠",U4))</formula>
    </cfRule>
    <cfRule type="expression" priority="7" aboveAverage="0" equalAverage="0" bottom="0" percent="0" rank="0" text="" dxfId="18">
      <formula>ISNUMBER(SEARCH("✓",U4))</formula>
    </cfRule>
    <cfRule type="expression" priority="8" aboveAverage="0" equalAverage="0" bottom="0" percent="0" rank="0" text="" dxfId="14">
      <formula>OR(ISNUMBER(SEARCH("Quá SLA",U4)),ISNUMBER(SEARCH("NGAY",U4)),ISNUMBER(SEARCH("GẤP",U4)),ISNUMBER(SEARCH("NGUY HIỂM",U4)),ISNUMBER(SEARCH("XỬ LÝ",U4)),ISNUMBER(SEARCH("THAM GIA",U4)),ISNUMBER(SEARCH("LH GẤP",U4)))</formula>
    </cfRule>
    <cfRule type="expression" priority="9" aboveAverage="0" equalAverage="0" bottom="0" percent="0" rank="0" text="" dxfId="15">
      <formula>OR(ISNUMBER(SEARCH("đến hạn",U4)),ISNUMBER(SEARCH("còn ",U4)),ISNUMBER(SEARCH("trong SLA",U4)),ISNUMBER(SEARCH("chốt",U4)),ISNUMBER(SEARCH("LH chốt",U4)),ISNUMBER(SEARCH("Follow-up",U4)),ISNUMBER(SEARCH("Phân tích",U4)),ISNUMBER(SEARCH("đến hạn",U4)),ISNUMBER(SEARCH("Set ",U4)))</formula>
    </cfRule>
    <cfRule type="expression" priority="10" aboveAverage="0" equalAverage="0" bottom="0" percent="0" rank="0" text="" dxfId="19">
      <formula>OR(ISNUMBER(SEARCH(" ngay",U4)),ISNUMBER(SEARCH(" gấp",U4)),ISNUMBER(SEARCH("GỌI",U4)),ISNUMBER(SEARCH("NGUY",U4)))</formula>
    </cfRule>
    <cfRule type="expression" priority="11" aboveAverage="0" equalAverage="0" bottom="0" percent="0" rank="0" text="" dxfId="20">
      <formula>ISNUMBER(SEARCH("Không cần làm gì",U4))</formula>
    </cfRule>
    <cfRule type="expression" priority="12" aboveAverage="0" equalAverage="0" bottom="0" percent="0" rank="0" text="" dxfId="21">
      <formula>LEN(U4)&gt;0</formula>
    </cfRule>
  </conditionalFormatting>
  <dataValidations count="6">
    <dataValidation allowBlank="true" errorStyle="stop" operator="between" prompt="Điểm IELTS không hợp lệ - Điểm phải từ 0.0 đến 9.0" showDropDown="false" showErrorMessage="true" showInputMessage="true" sqref="K4:O500" type="decimal">
      <formula1>0</formula1>
      <formula2>9</formula2>
    </dataValidation>
    <dataValidation allowBlank="true" errorStyle="stop" operator="between" showDropDown="false" showErrorMessage="false" showInputMessage="false" sqref="R4:R500" type="list">
      <formula1>'CH1. Danh mục lựa chọn'!$B$93:$B$95</formula1>
      <formula2>0</formula2>
    </dataValidation>
    <dataValidation allowBlank="true" errorStyle="stop" operator="between" showDropDown="false" showErrorMessage="false" showInputMessage="false" sqref="J4:J500" type="list">
      <formula1>'CH1. Danh mục lựa chọn'!$B$88:$B$89</formula1>
      <formula2>0</formula2>
    </dataValidation>
    <dataValidation allowBlank="true" errorStyle="stop" operator="between" showDropDown="false" showErrorMessage="false" showInputMessage="false" sqref="E4:E500" type="list">
      <formula1>'CH1. Danh mục lựa chọn'!$B$70:$B$73</formula1>
      <formula2>0</formula2>
    </dataValidation>
    <dataValidation allowBlank="true" errorStyle="stop" operator="between" showDropDown="false" showErrorMessage="false" showInputMessage="false" sqref="D4:D500" type="list">
      <formula1>'CH1. Danh mục lựa chọn'!$B$77:$B$78</formula1>
      <formula2>0</formula2>
    </dataValidation>
    <dataValidation allowBlank="true" errorStyle="stop" operator="between" showDropDown="false" showErrorMessage="false" showInputMessage="false" sqref="G4:G500" type="list">
      <formula1>'CH1. Danh mục lựa chọn'!$B$82:$B$84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0.85"/>
    <col collapsed="false" customWidth="true" hidden="false" outlineLevel="0" max="2" min="2" style="1" width="16"/>
    <col collapsed="false" customWidth="true" hidden="false" outlineLevel="0" max="3" min="3" style="1" width="21.57"/>
    <col collapsed="false" customWidth="true" hidden="false" outlineLevel="0" max="4" min="4" style="1" width="18.57"/>
    <col collapsed="false" customWidth="true" hidden="false" outlineLevel="0" max="5" min="5" style="1" width="29.57"/>
    <col collapsed="false" customWidth="true" hidden="false" outlineLevel="0" max="6" min="6" style="1" width="23.86"/>
    <col collapsed="false" customWidth="true" hidden="false" outlineLevel="0" max="7" min="7" style="1" width="28.57"/>
    <col collapsed="false" customWidth="true" hidden="false" outlineLevel="0" max="8" min="8" style="1" width="30.57"/>
    <col collapsed="false" customWidth="true" hidden="false" outlineLevel="0" max="9" min="9" style="1" width="31.29"/>
    <col collapsed="false" customWidth="true" hidden="false" outlineLevel="0" max="10" min="10" style="1" width="31.43"/>
    <col collapsed="false" customWidth="true" hidden="false" outlineLevel="0" max="11" min="11" style="1" width="43.86"/>
    <col collapsed="false" customWidth="true" hidden="false" outlineLevel="0" max="12" min="12" style="1" width="24.71"/>
    <col collapsed="false" customWidth="true" hidden="false" outlineLevel="0" max="13" min="13" style="1" width="50"/>
    <col collapsed="false" customWidth="true" hidden="false" outlineLevel="0" max="14" min="14" style="1" width="46"/>
    <col collapsed="false" customWidth="true" hidden="false" outlineLevel="0" max="15" min="15" style="1" width="27.71"/>
    <col collapsed="false" customWidth="true" hidden="false" outlineLevel="0" max="26" min="16" style="1" width="8.71"/>
  </cols>
  <sheetData>
    <row r="1" customFormat="false" ht="21.75" hidden="false" customHeight="true" outlineLevel="0" collapsed="false">
      <c r="A1" s="77" t="s">
        <v>852</v>
      </c>
      <c r="B1" s="77" t="s">
        <v>837</v>
      </c>
      <c r="C1" s="77" t="s">
        <v>846</v>
      </c>
      <c r="D1" s="77" t="s">
        <v>848</v>
      </c>
      <c r="E1" s="77" t="s">
        <v>2723</v>
      </c>
      <c r="F1" s="77" t="s">
        <v>2724</v>
      </c>
      <c r="G1" s="77" t="s">
        <v>2725</v>
      </c>
      <c r="H1" s="77" t="s">
        <v>2726</v>
      </c>
      <c r="I1" s="77" t="s">
        <v>2727</v>
      </c>
      <c r="J1" s="77" t="s">
        <v>2728</v>
      </c>
      <c r="K1" s="77" t="s">
        <v>2729</v>
      </c>
      <c r="L1" s="77" t="s">
        <v>2730</v>
      </c>
      <c r="M1" s="77" t="s">
        <v>2731</v>
      </c>
      <c r="N1" s="183" t="s">
        <v>480</v>
      </c>
      <c r="O1" s="77" t="s">
        <v>849</v>
      </c>
    </row>
    <row r="2" customFormat="false" ht="18" hidden="false" customHeight="true" outlineLevel="0" collapsed="false">
      <c r="A2" s="176" t="s">
        <v>2732</v>
      </c>
      <c r="B2" s="176" t="s">
        <v>2608</v>
      </c>
      <c r="C2" s="176" t="s">
        <v>2733</v>
      </c>
      <c r="D2" s="176" t="s">
        <v>2734</v>
      </c>
      <c r="E2" s="176" t="s">
        <v>2735</v>
      </c>
      <c r="F2" s="176" t="s">
        <v>2736</v>
      </c>
      <c r="G2" s="176" t="s">
        <v>2737</v>
      </c>
      <c r="H2" s="176" t="s">
        <v>2738</v>
      </c>
      <c r="I2" s="176" t="s">
        <v>2739</v>
      </c>
      <c r="J2" s="176" t="s">
        <v>2740</v>
      </c>
      <c r="K2" s="176" t="s">
        <v>2741</v>
      </c>
      <c r="L2" s="176" t="s">
        <v>2742</v>
      </c>
      <c r="M2" s="176" t="s">
        <v>2625</v>
      </c>
      <c r="N2" s="176" t="s">
        <v>2503</v>
      </c>
      <c r="O2" s="176" t="s">
        <v>2743</v>
      </c>
    </row>
    <row r="3" customFormat="false" ht="27.75" hidden="false" customHeight="true" outlineLevel="0" collapsed="false">
      <c r="A3" s="195" t="s">
        <v>2744</v>
      </c>
      <c r="B3" s="195" t="s">
        <v>2705</v>
      </c>
      <c r="C3" s="195" t="s">
        <v>2745</v>
      </c>
      <c r="D3" s="195" t="s">
        <v>2510</v>
      </c>
      <c r="E3" s="195" t="s">
        <v>2514</v>
      </c>
      <c r="F3" s="195" t="s">
        <v>2521</v>
      </c>
      <c r="G3" s="195" t="s">
        <v>2746</v>
      </c>
      <c r="H3" s="195" t="s">
        <v>2747</v>
      </c>
      <c r="I3" s="195" t="s">
        <v>2748</v>
      </c>
      <c r="J3" s="195" t="s">
        <v>2749</v>
      </c>
      <c r="K3" s="195" t="s">
        <v>2514</v>
      </c>
      <c r="L3" s="195" t="s">
        <v>2521</v>
      </c>
      <c r="M3" s="195" t="s">
        <v>2750</v>
      </c>
      <c r="N3" s="195" t="s">
        <v>2523</v>
      </c>
      <c r="O3" s="195" t="s">
        <v>2751</v>
      </c>
    </row>
    <row r="4" customFormat="false" ht="54" hidden="false" customHeight="true" outlineLevel="0" collapsed="false">
      <c r="A4" s="209" t="s">
        <v>2752</v>
      </c>
      <c r="B4" s="210" t="str">
        <f aca="false">IFERROR(HYPERLINK("#'DL02. Khách tiềm năng'!A"&amp;MATCH("L-2026-00005",'DL02. Khách tiềm năng'!A:A,0),"L-2026-00005"),"L-2026-00005")</f>
        <v>L-2026-00005</v>
      </c>
      <c r="C4" s="210" t="str">
        <f aca="false">IFERROR(HYPERLINK("#'DL02. Khách tiềm năng'!A"&amp;MATCH("TB-2026-002",'DL03. Đặt lịch test'!A:A,0),"TB-2026-002"),"TB-2026-002")</f>
        <v>TB-2026-002</v>
      </c>
      <c r="D4" s="210" t="str">
        <f aca="false">IFERROR(HYPERLINK("#'DL02. Khách tiềm năng'!A"&amp;MATCH("NV025",'DL01. Nhân viên'!A:A,0),"NV025"),"NV025")</f>
        <v>NV025</v>
      </c>
      <c r="E4" s="209" t="s">
        <v>1057</v>
      </c>
      <c r="F4" s="211" t="n">
        <v>46203.5833333333</v>
      </c>
      <c r="G4" s="209" t="s">
        <v>2753</v>
      </c>
      <c r="H4" s="209" t="s">
        <v>2754</v>
      </c>
      <c r="I4" s="209" t="s">
        <v>2530</v>
      </c>
      <c r="J4" s="209" t="s">
        <v>2755</v>
      </c>
      <c r="K4" s="209" t="s">
        <v>1067</v>
      </c>
      <c r="L4" s="211" t="n">
        <v>46203.375</v>
      </c>
      <c r="M4" s="209" t="s">
        <v>2756</v>
      </c>
      <c r="N4" s="212" t="str">
        <f aca="true" t="array" ref="N4:N4">IF(AND(ISNUMBER(SEARCH("interested",K4)),(NOW()-N(L4))&gt;slaFollowup_grace_days),INDEX('CH4. Thông điệp nhắc việc'!$G:$G,MATCH("NA003",'CH4. Thông điệp nhắc việc'!$A:$A,0)),IF(ISNUMBER(SEARCH("confirmed_with_deposit",K4)),INDEX('CH4. Thông điệp nhắc việc'!$G:$G,MATCH("NA057",'CH4. Thông điệp nhắc việc'!$A:$A,0)),IF(ISNUMBER(SEARCH("dropped",K4)),INDEX('CH4. Thông điệp nhắc việc'!$G:$G,MATCH("NA058",'CH4. Thông điệp nhắc việc'!$A:$A,0)),IF(ISNUMBER(SEARCH("undecided",K4)),INDEX('CH4. Thông điệp nhắc việc'!$G:$G,MATCH("NA004",'CH4. Thông điệp nhắc việc'!$A:$A,0)),""))))</f>
        <v>Khách quan tâm nhưng đã quá 3 ngày (cấu hình slaFollowup_grace_days) chưa chốt. Việc cần làm: liên hệ chốt ngay khi khách còn quan tâm.</v>
      </c>
      <c r="O4" s="213" t="str">
        <f aca="false">IFERROR(VLOOKUP(B4,'DL02. Khách tiềm năng'!$A:$E,5,FALSE()),"")</f>
        <v>Cao Thị Oanh</v>
      </c>
    </row>
    <row r="5" customFormat="false" ht="54" hidden="false" customHeight="true" outlineLevel="0" collapsed="false">
      <c r="A5" s="209" t="s">
        <v>120</v>
      </c>
      <c r="B5" s="210" t="str">
        <f aca="false">IFERROR(HYPERLINK("#'DL02. Khách tiềm năng'!A"&amp;MATCH("L-2026-00006",'DL02. Khách tiềm năng'!A:A,0),"L-2026-00006"),"L-2026-00006")</f>
        <v>L-2026-00006</v>
      </c>
      <c r="C5" s="210" t="str">
        <f aca="false">IFERROR(HYPERLINK("#'DL02. Khách tiềm năng'!A"&amp;MATCH("TB-2026-003",'DL03. Đặt lịch test'!A:A,0),"TB-2026-003"),"TB-2026-003")</f>
        <v>TB-2026-003</v>
      </c>
      <c r="D5" s="210" t="str">
        <f aca="false">IFERROR(HYPERLINK("#'DL02. Khách tiềm năng'!A"&amp;MATCH("NV001",'DL01. Nhân viên'!A:A,0),"NV001"),"NV001")</f>
        <v>NV001</v>
      </c>
      <c r="E5" s="209" t="s">
        <v>1057</v>
      </c>
      <c r="F5" s="211" t="n">
        <v>46153.5833333333</v>
      </c>
      <c r="G5" s="209" t="s">
        <v>1383</v>
      </c>
      <c r="H5" s="209" t="s">
        <v>2757</v>
      </c>
      <c r="I5" s="209" t="s">
        <v>2530</v>
      </c>
      <c r="J5" s="209" t="s">
        <v>2758</v>
      </c>
      <c r="K5" s="209" t="s">
        <v>1069</v>
      </c>
      <c r="L5" s="211" t="n">
        <v>46153.375</v>
      </c>
      <c r="M5" s="209"/>
      <c r="N5" s="212" t="str">
        <f aca="true" t="array" ref="N5:N5">IF(AND(ISNUMBER(SEARCH("interested",K5)),(NOW()-N(L5))&gt;slaFollowup_grace_days),INDEX('CH4. Thông điệp nhắc việc'!$G:$G,MATCH("NA003",'CH4. Thông điệp nhắc việc'!$A:$A,0)),IF(ISNUMBER(SEARCH("confirmed_with_deposit",K5)),INDEX('CH4. Thông điệp nhắc việc'!$G:$G,MATCH("NA057",'CH4. Thông điệp nhắc việc'!$A:$A,0)),IF(ISNUMBER(SEARCH("dropped",K5)),INDEX('CH4. Thông điệp nhắc việc'!$G:$G,MATCH("NA058",'CH4. Thông điệp nhắc việc'!$A:$A,0)),IF(ISNUMBER(SEARCH("undecided",K5)),INDEX('CH4. Thông điệp nhắc việc'!$G:$G,MATCH("NA004",'CH4. Thông điệp nhắc việc'!$A:$A,0)),""))))</f>
        <v>Khách đã đồng ý và đặt cọc. Việc cần làm: tạo đăng ký và thu cọc (chuyển sang sheet DL06 Đăng ký).</v>
      </c>
      <c r="O5" s="213" t="str">
        <f aca="false">IFERROR(VLOOKUP(B5,'DL02. Khách tiềm năng'!$A:$E,5,FALSE()),"")</f>
        <v>Trần Minh Anh</v>
      </c>
    </row>
    <row r="6" customFormat="false" ht="54" hidden="false" customHeight="true" outlineLevel="0" collapsed="false">
      <c r="A6" s="209" t="s">
        <v>2759</v>
      </c>
      <c r="B6" s="210" t="str">
        <f aca="false">IFERROR(HYPERLINK("#'DL02. Khách tiềm năng'!A"&amp;MATCH("L-2026-00007",'DL02. Khách tiềm năng'!A:A,0),"L-2026-00007"),"L-2026-00007")</f>
        <v>L-2026-00007</v>
      </c>
      <c r="C6" s="210"/>
      <c r="D6" s="210" t="str">
        <f aca="false">IFERROR(HYPERLINK("#'DL02. Khách tiềm năng'!A"&amp;MATCH("NV002",'DL01. Nhân viên'!A:A,0),"NV002"),"NV002")</f>
        <v>NV002</v>
      </c>
      <c r="E6" s="209" t="s">
        <v>1057</v>
      </c>
      <c r="F6" s="211" t="n">
        <v>46138.375</v>
      </c>
      <c r="G6" s="209" t="s">
        <v>2760</v>
      </c>
      <c r="H6" s="209" t="s">
        <v>2754</v>
      </c>
      <c r="I6" s="209" t="s">
        <v>2530</v>
      </c>
      <c r="J6" s="209" t="s">
        <v>2758</v>
      </c>
      <c r="K6" s="209" t="s">
        <v>1069</v>
      </c>
      <c r="L6" s="211" t="n">
        <v>46138.375</v>
      </c>
      <c r="M6" s="209"/>
      <c r="N6" s="212" t="str">
        <f aca="true" t="array" ref="N6:N6">IF(AND(ISNUMBER(SEARCH("interested",K6)),(NOW()-N(L6))&gt;slaFollowup_grace_days),INDEX('CH4. Thông điệp nhắc việc'!$G:$G,MATCH("NA003",'CH4. Thông điệp nhắc việc'!$A:$A,0)),IF(ISNUMBER(SEARCH("confirmed_with_deposit",K6)),INDEX('CH4. Thông điệp nhắc việc'!$G:$G,MATCH("NA057",'CH4. Thông điệp nhắc việc'!$A:$A,0)),IF(ISNUMBER(SEARCH("dropped",K6)),INDEX('CH4. Thông điệp nhắc việc'!$G:$G,MATCH("NA058",'CH4. Thông điệp nhắc việc'!$A:$A,0)),IF(ISNUMBER(SEARCH("undecided",K6)),INDEX('CH4. Thông điệp nhắc việc'!$G:$G,MATCH("NA004",'CH4. Thông điệp nhắc việc'!$A:$A,0)),""))))</f>
        <v>Khách đã đồng ý và đặt cọc. Việc cần làm: tạo đăng ký và thu cọc (chuyển sang sheet DL06 Đăng ký).</v>
      </c>
      <c r="O6" s="213" t="str">
        <f aca="false">IFERROR(VLOOKUP(B6,'DL02. Khách tiềm năng'!$A:$E,5,FALSE()),"")</f>
        <v>Lê Thị Bích Ngọc</v>
      </c>
    </row>
    <row r="7" customFormat="false" ht="54" hidden="false" customHeight="true" outlineLevel="0" collapsed="false">
      <c r="A7" s="209" t="s">
        <v>2761</v>
      </c>
      <c r="B7" s="210" t="str">
        <f aca="false">IFERROR(HYPERLINK("#'DL02. Khách tiềm năng'!A"&amp;MATCH("L-2026-00008",'DL02. Khách tiềm năng'!A:A,0),"L-2026-00008"),"L-2026-00008")</f>
        <v>L-2026-00008</v>
      </c>
      <c r="C7" s="210" t="str">
        <f aca="false">IFERROR(HYPERLINK("#'DL02. Khách tiềm năng'!A"&amp;MATCH("TB-2026-004",'DL03. Đặt lịch test'!A:A,0),"TB-2026-004"),"TB-2026-004")</f>
        <v>TB-2026-004</v>
      </c>
      <c r="D7" s="210" t="str">
        <f aca="false">IFERROR(HYPERLINK("#'DL02. Khách tiềm năng'!A"&amp;MATCH("NV023",'DL01. Nhân viên'!A:A,0),"NV023"),"NV023")</f>
        <v>NV023</v>
      </c>
      <c r="E7" s="209" t="s">
        <v>1057</v>
      </c>
      <c r="F7" s="211" t="n">
        <v>46158.5833333333</v>
      </c>
      <c r="G7" s="209" t="s">
        <v>2753</v>
      </c>
      <c r="H7" s="209" t="s">
        <v>2754</v>
      </c>
      <c r="I7" s="209" t="s">
        <v>2530</v>
      </c>
      <c r="J7" s="209" t="s">
        <v>2758</v>
      </c>
      <c r="K7" s="209" t="s">
        <v>1069</v>
      </c>
      <c r="L7" s="211" t="n">
        <v>46158.375</v>
      </c>
      <c r="M7" s="209"/>
      <c r="N7" s="212" t="str">
        <f aca="true" t="array" ref="N7:N7">IF(AND(ISNUMBER(SEARCH("interested",K7)),(NOW()-N(L7))&gt;slaFollowup_grace_days),INDEX('CH4. Thông điệp nhắc việc'!$G:$G,MATCH("NA003",'CH4. Thông điệp nhắc việc'!$A:$A,0)),IF(ISNUMBER(SEARCH("confirmed_with_deposit",K7)),INDEX('CH4. Thông điệp nhắc việc'!$G:$G,MATCH("NA057",'CH4. Thông điệp nhắc việc'!$A:$A,0)),IF(ISNUMBER(SEARCH("dropped",K7)),INDEX('CH4. Thông điệp nhắc việc'!$G:$G,MATCH("NA058",'CH4. Thông điệp nhắc việc'!$A:$A,0)),IF(ISNUMBER(SEARCH("undecided",K7)),INDEX('CH4. Thông điệp nhắc việc'!$G:$G,MATCH("NA004",'CH4. Thông điệp nhắc việc'!$A:$A,0)),""))))</f>
        <v>Khách đã đồng ý và đặt cọc. Việc cần làm: tạo đăng ký và thu cọc (chuyển sang sheet DL06 Đăng ký).</v>
      </c>
      <c r="O7" s="213" t="str">
        <f aca="false">IFERROR(VLOOKUP(B7,'DL02. Khách tiềm năng'!$A:$E,5,FALSE()),"")</f>
        <v>Phạm Quốc Cường</v>
      </c>
    </row>
    <row r="8" customFormat="false" ht="54" hidden="false" customHeight="true" outlineLevel="0" collapsed="false">
      <c r="A8" s="209" t="s">
        <v>2762</v>
      </c>
      <c r="B8" s="210" t="str">
        <f aca="false">IFERROR(HYPERLINK("#'DL02. Khách tiềm năng'!A"&amp;MATCH("L-2026-00009",'DL02. Khách tiềm năng'!A:A,0),"L-2026-00009"),"L-2026-00009")</f>
        <v>L-2026-00009</v>
      </c>
      <c r="C8" s="210"/>
      <c r="D8" s="210" t="str">
        <f aca="false">IFERROR(HYPERLINK("#'DL02. Khách tiềm năng'!A"&amp;MATCH("NV024",'DL01. Nhân viên'!A:A,0),"NV024"),"NV024")</f>
        <v>NV024</v>
      </c>
      <c r="E8" s="209" t="s">
        <v>1057</v>
      </c>
      <c r="F8" s="211" t="n">
        <v>46160.375</v>
      </c>
      <c r="G8" s="209" t="s">
        <v>2760</v>
      </c>
      <c r="H8" s="209" t="s">
        <v>2754</v>
      </c>
      <c r="I8" s="209" t="s">
        <v>2530</v>
      </c>
      <c r="J8" s="209" t="s">
        <v>2758</v>
      </c>
      <c r="K8" s="209" t="s">
        <v>1069</v>
      </c>
      <c r="L8" s="211" t="n">
        <v>46160.375</v>
      </c>
      <c r="M8" s="209"/>
      <c r="N8" s="212" t="str">
        <f aca="true" t="array" ref="N8:N8">IF(AND(ISNUMBER(SEARCH("interested",K8)),(NOW()-N(L8))&gt;slaFollowup_grace_days),INDEX('CH4. Thông điệp nhắc việc'!$G:$G,MATCH("NA003",'CH4. Thông điệp nhắc việc'!$A:$A,0)),IF(ISNUMBER(SEARCH("confirmed_with_deposit",K8)),INDEX('CH4. Thông điệp nhắc việc'!$G:$G,MATCH("NA057",'CH4. Thông điệp nhắc việc'!$A:$A,0)),IF(ISNUMBER(SEARCH("dropped",K8)),INDEX('CH4. Thông điệp nhắc việc'!$G:$G,MATCH("NA058",'CH4. Thông điệp nhắc việc'!$A:$A,0)),IF(ISNUMBER(SEARCH("undecided",K8)),INDEX('CH4. Thông điệp nhắc việc'!$G:$G,MATCH("NA004",'CH4. Thông điệp nhắc việc'!$A:$A,0)),""))))</f>
        <v>Khách đã đồng ý và đặt cọc. Việc cần làm: tạo đăng ký và thu cọc (chuyển sang sheet DL06 Đăng ký).</v>
      </c>
      <c r="O8" s="213" t="str">
        <f aca="false">IFERROR(VLOOKUP(B8,'DL02. Khách tiềm năng'!$A:$E,5,FALSE()),"")</f>
        <v>Nguyễn Thị Dung</v>
      </c>
    </row>
    <row r="9" customFormat="false" ht="54" hidden="false" customHeight="true" outlineLevel="0" collapsed="false">
      <c r="A9" s="209" t="s">
        <v>2763</v>
      </c>
      <c r="B9" s="210" t="str">
        <f aca="false">IFERROR(HYPERLINK("#'DL02. Khách tiềm năng'!A"&amp;MATCH("L-2026-00010",'DL02. Khách tiềm năng'!A:A,0),"L-2026-00010"),"L-2026-00010")</f>
        <v>L-2026-00010</v>
      </c>
      <c r="C9" s="210" t="str">
        <f aca="false">IFERROR(HYPERLINK("#'DL02. Khách tiềm năng'!A"&amp;MATCH("TB-2026-005",'DL03. Đặt lịch test'!A:A,0),"TB-2026-005"),"TB-2026-005")</f>
        <v>TB-2026-005</v>
      </c>
      <c r="D9" s="210" t="str">
        <f aca="false">IFERROR(HYPERLINK("#'DL02. Khách tiềm năng'!A"&amp;MATCH("NV025",'DL01. Nhân viên'!A:A,0),"NV025"),"NV025")</f>
        <v>NV025</v>
      </c>
      <c r="E9" s="209" t="s">
        <v>1057</v>
      </c>
      <c r="F9" s="211" t="n">
        <v>46163.5833333333</v>
      </c>
      <c r="G9" s="209" t="s">
        <v>2764</v>
      </c>
      <c r="H9" s="209" t="s">
        <v>2765</v>
      </c>
      <c r="I9" s="209" t="s">
        <v>2530</v>
      </c>
      <c r="J9" s="209" t="s">
        <v>2758</v>
      </c>
      <c r="K9" s="209" t="s">
        <v>1069</v>
      </c>
      <c r="L9" s="211" t="n">
        <v>46163.375</v>
      </c>
      <c r="M9" s="209"/>
      <c r="N9" s="212" t="str">
        <f aca="true" t="array" ref="N9:N9">IF(AND(ISNUMBER(SEARCH("interested",K9)),(NOW()-N(L9))&gt;slaFollowup_grace_days),INDEX('CH4. Thông điệp nhắc việc'!$G:$G,MATCH("NA003",'CH4. Thông điệp nhắc việc'!$A:$A,0)),IF(ISNUMBER(SEARCH("confirmed_with_deposit",K9)),INDEX('CH4. Thông điệp nhắc việc'!$G:$G,MATCH("NA057",'CH4. Thông điệp nhắc việc'!$A:$A,0)),IF(ISNUMBER(SEARCH("dropped",K9)),INDEX('CH4. Thông điệp nhắc việc'!$G:$G,MATCH("NA058",'CH4. Thông điệp nhắc việc'!$A:$A,0)),IF(ISNUMBER(SEARCH("undecided",K9)),INDEX('CH4. Thông điệp nhắc việc'!$G:$G,MATCH("NA004",'CH4. Thông điệp nhắc việc'!$A:$A,0)),""))))</f>
        <v>Khách đã đồng ý và đặt cọc. Việc cần làm: tạo đăng ký và thu cọc (chuyển sang sheet DL06 Đăng ký).</v>
      </c>
      <c r="O9" s="213" t="str">
        <f aca="false">IFERROR(VLOOKUP(B9,'DL02. Khách tiềm năng'!$A:$E,5,FALSE()),"")</f>
        <v>Võ Hoàng Em</v>
      </c>
    </row>
    <row r="10" customFormat="false" ht="54" hidden="false" customHeight="true" outlineLevel="0" collapsed="false">
      <c r="A10" s="209" t="s">
        <v>2766</v>
      </c>
      <c r="B10" s="210" t="str">
        <f aca="false">IFERROR(HYPERLINK("#'DL02. Khách tiềm năng'!A"&amp;MATCH("L-2026-00011",'DL02. Khách tiềm năng'!A:A,0),"L-2026-00011"),"L-2026-00011")</f>
        <v>L-2026-00011</v>
      </c>
      <c r="C10" s="210"/>
      <c r="D10" s="210" t="str">
        <f aca="false">IFERROR(HYPERLINK("#'DL02. Khách tiềm năng'!A"&amp;MATCH("NV001",'DL01. Nhân viên'!A:A,0),"NV001"),"NV001")</f>
        <v>NV001</v>
      </c>
      <c r="E10" s="209" t="s">
        <v>1057</v>
      </c>
      <c r="F10" s="211" t="n">
        <v>46200.375</v>
      </c>
      <c r="G10" s="209" t="s">
        <v>1383</v>
      </c>
      <c r="H10" s="209" t="s">
        <v>2757</v>
      </c>
      <c r="I10" s="209" t="s">
        <v>2530</v>
      </c>
      <c r="J10" s="209" t="s">
        <v>2758</v>
      </c>
      <c r="K10" s="209" t="s">
        <v>1069</v>
      </c>
      <c r="L10" s="211" t="n">
        <v>46200.375</v>
      </c>
      <c r="M10" s="209"/>
      <c r="N10" s="212" t="str">
        <f aca="true" t="array" ref="N10:N10">IF(AND(ISNUMBER(SEARCH("interested",K10)),(NOW()-N(L10))&gt;slaFollowup_grace_days),INDEX('CH4. Thông điệp nhắc việc'!$G:$G,MATCH("NA003",'CH4. Thông điệp nhắc việc'!$A:$A,0)),IF(ISNUMBER(SEARCH("confirmed_with_deposit",K10)),INDEX('CH4. Thông điệp nhắc việc'!$G:$G,MATCH("NA057",'CH4. Thông điệp nhắc việc'!$A:$A,0)),IF(ISNUMBER(SEARCH("dropped",K10)),INDEX('CH4. Thông điệp nhắc việc'!$G:$G,MATCH("NA058",'CH4. Thông điệp nhắc việc'!$A:$A,0)),IF(ISNUMBER(SEARCH("undecided",K10)),INDEX('CH4. Thông điệp nhắc việc'!$G:$G,MATCH("NA004",'CH4. Thông điệp nhắc việc'!$A:$A,0)),""))))</f>
        <v>Khách đã đồng ý và đặt cọc. Việc cần làm: tạo đăng ký và thu cọc (chuyển sang sheet DL06 Đăng ký).</v>
      </c>
      <c r="O10" s="213" t="str">
        <f aca="false">IFERROR(VLOOKUP(B10,'DL02. Khách tiềm năng'!$A:$E,5,FALSE()),"")</f>
        <v>Đặng Thu Hà</v>
      </c>
    </row>
    <row r="11" customFormat="false" ht="54" hidden="false" customHeight="true" outlineLevel="0" collapsed="false">
      <c r="A11" s="209" t="s">
        <v>2767</v>
      </c>
      <c r="B11" s="210" t="str">
        <f aca="false">IFERROR(HYPERLINK("#'DL02. Khách tiềm năng'!A"&amp;MATCH("L-2026-00012",'DL02. Khách tiềm năng'!A:A,0),"L-2026-00012"),"L-2026-00012")</f>
        <v>L-2026-00012</v>
      </c>
      <c r="C11" s="210"/>
      <c r="D11" s="210" t="str">
        <f aca="false">IFERROR(HYPERLINK("#'DL02. Khách tiềm năng'!A"&amp;MATCH("NV001",'DL01. Nhân viên'!A:A,0),"NV001"),"NV001")</f>
        <v>NV001</v>
      </c>
      <c r="E11" s="209" t="s">
        <v>1057</v>
      </c>
      <c r="F11" s="211" t="n">
        <v>46177.5833333333</v>
      </c>
      <c r="G11" s="209" t="s">
        <v>1383</v>
      </c>
      <c r="H11" s="209" t="s">
        <v>2754</v>
      </c>
      <c r="I11" s="209" t="s">
        <v>2530</v>
      </c>
      <c r="J11" s="209" t="s">
        <v>2758</v>
      </c>
      <c r="K11" s="209" t="s">
        <v>1069</v>
      </c>
      <c r="L11" s="211" t="n">
        <v>46177.6666666667</v>
      </c>
      <c r="M11" s="209"/>
      <c r="N11" s="212" t="str">
        <f aca="true" t="array" ref="N11:N11">IF(AND(ISNUMBER(SEARCH("interested",K11)),(NOW()-N(L11))&gt;slaFollowup_grace_days),INDEX('CH4. Thông điệp nhắc việc'!$G:$G,MATCH("NA003",'CH4. Thông điệp nhắc việc'!$A:$A,0)),IF(ISNUMBER(SEARCH("confirmed_with_deposit",K11)),INDEX('CH4. Thông điệp nhắc việc'!$G:$G,MATCH("NA057",'CH4. Thông điệp nhắc việc'!$A:$A,0)),IF(ISNUMBER(SEARCH("dropped",K11)),INDEX('CH4. Thông điệp nhắc việc'!$G:$G,MATCH("NA058",'CH4. Thông điệp nhắc việc'!$A:$A,0)),IF(ISNUMBER(SEARCH("undecided",K11)),INDEX('CH4. Thông điệp nhắc việc'!$G:$G,MATCH("NA004",'CH4. Thông điệp nhắc việc'!$A:$A,0)),""))))</f>
        <v>Khách đã đồng ý và đặt cọc. Việc cần làm: tạo đăng ký và thu cọc (chuyển sang sheet DL06 Đăng ký).</v>
      </c>
      <c r="O11" s="213" t="str">
        <f aca="false">IFERROR(VLOOKUP(B11,'DL02. Khách tiềm năng'!$A:$E,5,FALSE()),"")</f>
        <v>Lý Gia Khang</v>
      </c>
    </row>
    <row r="12" customFormat="false" ht="54" hidden="false" customHeight="true" outlineLevel="0" collapsed="false">
      <c r="A12" s="209" t="s">
        <v>2768</v>
      </c>
      <c r="B12" s="210" t="str">
        <f aca="false">IFERROR(HYPERLINK("#'DL02. Khách tiềm năng'!A"&amp;MATCH("L-2026-00013",'DL02. Khách tiềm năng'!A:A,0),"L-2026-00013"),"L-2026-00013")</f>
        <v>L-2026-00013</v>
      </c>
      <c r="C12" s="210" t="str">
        <f aca="false">IFERROR(HYPERLINK("#'DL02. Khách tiềm năng'!A"&amp;MATCH("TB-2026-006",'DL03. Đặt lịch test'!A:A,0),"TB-2026-006"),"TB-2026-006")</f>
        <v>TB-2026-006</v>
      </c>
      <c r="D12" s="210" t="str">
        <f aca="false">IFERROR(HYPERLINK("#'DL02. Khách tiềm năng'!A"&amp;MATCH("NV002",'DL01. Nhân viên'!A:A,0),"NV002"),"NV002")</f>
        <v>NV002</v>
      </c>
      <c r="E12" s="209" t="s">
        <v>1057</v>
      </c>
      <c r="F12" s="211" t="n">
        <v>46179.5833333333</v>
      </c>
      <c r="G12" s="209" t="s">
        <v>1383</v>
      </c>
      <c r="H12" s="209" t="s">
        <v>2754</v>
      </c>
      <c r="I12" s="209" t="s">
        <v>2530</v>
      </c>
      <c r="J12" s="209" t="s">
        <v>2758</v>
      </c>
      <c r="K12" s="209" t="s">
        <v>1069</v>
      </c>
      <c r="L12" s="211" t="n">
        <v>46179.6666666667</v>
      </c>
      <c r="M12" s="209"/>
      <c r="N12" s="212" t="str">
        <f aca="true" t="array" ref="N12:N12">IF(AND(ISNUMBER(SEARCH("interested",K12)),(NOW()-N(L12))&gt;slaFollowup_grace_days),INDEX('CH4. Thông điệp nhắc việc'!$G:$G,MATCH("NA003",'CH4. Thông điệp nhắc việc'!$A:$A,0)),IF(ISNUMBER(SEARCH("confirmed_with_deposit",K12)),INDEX('CH4. Thông điệp nhắc việc'!$G:$G,MATCH("NA057",'CH4. Thông điệp nhắc việc'!$A:$A,0)),IF(ISNUMBER(SEARCH("dropped",K12)),INDEX('CH4. Thông điệp nhắc việc'!$G:$G,MATCH("NA058",'CH4. Thông điệp nhắc việc'!$A:$A,0)),IF(ISNUMBER(SEARCH("undecided",K12)),INDEX('CH4. Thông điệp nhắc việc'!$G:$G,MATCH("NA004",'CH4. Thông điệp nhắc việc'!$A:$A,0)),""))))</f>
        <v>Khách đã đồng ý và đặt cọc. Việc cần làm: tạo đăng ký và thu cọc (chuyển sang sheet DL06 Đăng ký).</v>
      </c>
      <c r="O12" s="213" t="str">
        <f aca="false">IFERROR(VLOOKUP(B12,'DL02. Khách tiềm năng'!$A:$E,5,FALSE()),"")</f>
        <v>Trương Mỹ Lan</v>
      </c>
    </row>
    <row r="13" customFormat="false" ht="54" hidden="false" customHeight="true" outlineLevel="0" collapsed="false">
      <c r="A13" s="209" t="s">
        <v>2769</v>
      </c>
      <c r="B13" s="210" t="str">
        <f aca="false">IFERROR(HYPERLINK("#'DL02. Khách tiềm năng'!A"&amp;MATCH("L-2026-00014",'DL02. Khách tiềm năng'!A:A,0),"L-2026-00014"),"L-2026-00014")</f>
        <v>L-2026-00014</v>
      </c>
      <c r="C13" s="210"/>
      <c r="D13" s="210" t="str">
        <f aca="false">IFERROR(HYPERLINK("#'DL02. Khách tiềm năng'!A"&amp;MATCH("NV023",'DL01. Nhân viên'!A:A,0),"NV023"),"NV023")</f>
        <v>NV023</v>
      </c>
      <c r="E13" s="209" t="s">
        <v>1057</v>
      </c>
      <c r="F13" s="211" t="n">
        <v>46181.5833333333</v>
      </c>
      <c r="G13" s="209" t="s">
        <v>2760</v>
      </c>
      <c r="H13" s="209" t="s">
        <v>2754</v>
      </c>
      <c r="I13" s="209" t="s">
        <v>2530</v>
      </c>
      <c r="J13" s="209" t="s">
        <v>2758</v>
      </c>
      <c r="K13" s="209" t="s">
        <v>1069</v>
      </c>
      <c r="L13" s="211" t="n">
        <v>46181.6666666667</v>
      </c>
      <c r="M13" s="209"/>
      <c r="N13" s="212" t="str">
        <f aca="true" t="array" ref="N13:N13">IF(AND(ISNUMBER(SEARCH("interested",K13)),(NOW()-N(L13))&gt;slaFollowup_grace_days),INDEX('CH4. Thông điệp nhắc việc'!$G:$G,MATCH("NA003",'CH4. Thông điệp nhắc việc'!$A:$A,0)),IF(ISNUMBER(SEARCH("confirmed_with_deposit",K13)),INDEX('CH4. Thông điệp nhắc việc'!$G:$G,MATCH("NA057",'CH4. Thông điệp nhắc việc'!$A:$A,0)),IF(ISNUMBER(SEARCH("dropped",K13)),INDEX('CH4. Thông điệp nhắc việc'!$G:$G,MATCH("NA058",'CH4. Thông điệp nhắc việc'!$A:$A,0)),IF(ISNUMBER(SEARCH("undecided",K13)),INDEX('CH4. Thông điệp nhắc việc'!$G:$G,MATCH("NA004",'CH4. Thông điệp nhắc việc'!$A:$A,0)),""))))</f>
        <v>Khách đã đồng ý và đặt cọc. Việc cần làm: tạo đăng ký và thu cọc (chuyển sang sheet DL06 Đăng ký).</v>
      </c>
      <c r="O13" s="213" t="str">
        <f aca="false">IFERROR(VLOOKUP(B13,'DL02. Khách tiềm năng'!$A:$E,5,FALSE()),"")</f>
        <v>Phan Đức Minh</v>
      </c>
    </row>
    <row r="14" customFormat="false" ht="54" hidden="false" customHeight="true" outlineLevel="0" collapsed="false">
      <c r="A14" s="209" t="s">
        <v>2770</v>
      </c>
      <c r="B14" s="210" t="str">
        <f aca="false">IFERROR(HYPERLINK("#'DL02. Khách tiềm năng'!A"&amp;MATCH("L-2026-00015",'DL02. Khách tiềm năng'!A:A,0),"L-2026-00015"),"L-2026-00015")</f>
        <v>L-2026-00015</v>
      </c>
      <c r="C14" s="210"/>
      <c r="D14" s="210" t="str">
        <f aca="false">IFERROR(HYPERLINK("#'DL02. Khách tiềm năng'!A"&amp;MATCH("NV024",'DL01. Nhân viên'!A:A,0),"NV024"),"NV024")</f>
        <v>NV024</v>
      </c>
      <c r="E14" s="209" t="s">
        <v>1057</v>
      </c>
      <c r="F14" s="211" t="n">
        <v>46185.5833333333</v>
      </c>
      <c r="G14" s="209" t="s">
        <v>2753</v>
      </c>
      <c r="H14" s="209" t="s">
        <v>2754</v>
      </c>
      <c r="I14" s="209" t="s">
        <v>2530</v>
      </c>
      <c r="J14" s="209" t="s">
        <v>2758</v>
      </c>
      <c r="K14" s="209" t="s">
        <v>1069</v>
      </c>
      <c r="L14" s="211" t="n">
        <v>46185.6666666667</v>
      </c>
      <c r="M14" s="209"/>
      <c r="N14" s="212" t="str">
        <f aca="true" t="array" ref="N14:N14">IF(AND(ISNUMBER(SEARCH("interested",K14)),(NOW()-N(L14))&gt;slaFollowup_grace_days),INDEX('CH4. Thông điệp nhắc việc'!$G:$G,MATCH("NA003",'CH4. Thông điệp nhắc việc'!$A:$A,0)),IF(ISNUMBER(SEARCH("confirmed_with_deposit",K14)),INDEX('CH4. Thông điệp nhắc việc'!$G:$G,MATCH("NA057",'CH4. Thông điệp nhắc việc'!$A:$A,0)),IF(ISNUMBER(SEARCH("dropped",K14)),INDEX('CH4. Thông điệp nhắc việc'!$G:$G,MATCH("NA058",'CH4. Thông điệp nhắc việc'!$A:$A,0)),IF(ISNUMBER(SEARCH("undecided",K14)),INDEX('CH4. Thông điệp nhắc việc'!$G:$G,MATCH("NA004",'CH4. Thông điệp nhắc việc'!$A:$A,0)),""))))</f>
        <v>Khách đã đồng ý và đặt cọc. Việc cần làm: tạo đăng ký và thu cọc (chuyển sang sheet DL06 Đăng ký).</v>
      </c>
      <c r="O14" s="213" t="str">
        <f aca="false">IFERROR(VLOOKUP(B14,'DL02. Khách tiềm năng'!$A:$E,5,FALSE()),"")</f>
        <v>Vũ Thảo Nhi</v>
      </c>
    </row>
    <row r="15" customFormat="false" ht="54" hidden="false" customHeight="true" outlineLevel="0" collapsed="false">
      <c r="A15" s="209" t="s">
        <v>2771</v>
      </c>
      <c r="B15" s="210" t="str">
        <f aca="false">IFERROR(HYPERLINK("#'DL02. Khách tiềm năng'!A"&amp;MATCH("L-2026-00016",'DL02. Khách tiềm năng'!A:A,0),"L-2026-00016"),"L-2026-00016")</f>
        <v>L-2026-00016</v>
      </c>
      <c r="C15" s="210"/>
      <c r="D15" s="210" t="str">
        <f aca="false">IFERROR(HYPERLINK("#'DL02. Khách tiềm năng'!A"&amp;MATCH("NV025",'DL01. Nhân viên'!A:A,0),"NV025"),"NV025")</f>
        <v>NV025</v>
      </c>
      <c r="E15" s="209" t="s">
        <v>1057</v>
      </c>
      <c r="F15" s="211" t="n">
        <v>46189.5833333333</v>
      </c>
      <c r="G15" s="209" t="s">
        <v>2764</v>
      </c>
      <c r="H15" s="209" t="s">
        <v>2754</v>
      </c>
      <c r="I15" s="209" t="s">
        <v>2530</v>
      </c>
      <c r="J15" s="209" t="s">
        <v>2758</v>
      </c>
      <c r="K15" s="209" t="s">
        <v>1069</v>
      </c>
      <c r="L15" s="211" t="n">
        <v>46189.6666666667</v>
      </c>
      <c r="M15" s="209"/>
      <c r="N15" s="212" t="str">
        <f aca="true" t="array" ref="N15:N15">IF(AND(ISNUMBER(SEARCH("interested",K15)),(NOW()-N(L15))&gt;slaFollowup_grace_days),INDEX('CH4. Thông điệp nhắc việc'!$G:$G,MATCH("NA003",'CH4. Thông điệp nhắc việc'!$A:$A,0)),IF(ISNUMBER(SEARCH("confirmed_with_deposit",K15)),INDEX('CH4. Thông điệp nhắc việc'!$G:$G,MATCH("NA057",'CH4. Thông điệp nhắc việc'!$A:$A,0)),IF(ISNUMBER(SEARCH("dropped",K15)),INDEX('CH4. Thông điệp nhắc việc'!$G:$G,MATCH("NA058",'CH4. Thông điệp nhắc việc'!$A:$A,0)),IF(ISNUMBER(SEARCH("undecided",K15)),INDEX('CH4. Thông điệp nhắc việc'!$G:$G,MATCH("NA004",'CH4. Thông điệp nhắc việc'!$A:$A,0)),""))))</f>
        <v>Khách đã đồng ý và đặt cọc. Việc cần làm: tạo đăng ký và thu cọc (chuyển sang sheet DL06 Đăng ký).</v>
      </c>
      <c r="O15" s="213" t="str">
        <f aca="false">IFERROR(VLOOKUP(B15,'DL02. Khách tiềm năng'!$A:$E,5,FALSE()),"")</f>
        <v>Đinh Công Phú</v>
      </c>
    </row>
    <row r="16" customFormat="false" ht="54" hidden="false" customHeight="true" outlineLevel="0" collapsed="false">
      <c r="A16" s="209" t="s">
        <v>2772</v>
      </c>
      <c r="B16" s="210" t="str">
        <f aca="false">IFERROR(HYPERLINK("#'DL02. Khách tiềm năng'!A"&amp;MATCH("L-2026-00017",'DL02. Khách tiềm năng'!A:A,0),"L-2026-00017"),"L-2026-00017")</f>
        <v>L-2026-00017</v>
      </c>
      <c r="C16" s="210"/>
      <c r="D16" s="210" t="str">
        <f aca="false">IFERROR(HYPERLINK("#'DL02. Khách tiềm năng'!A"&amp;MATCH("NV001",'DL01. Nhân viên'!A:A,0),"NV001"),"NV001")</f>
        <v>NV001</v>
      </c>
      <c r="E16" s="209" t="s">
        <v>1057</v>
      </c>
      <c r="F16" s="211" t="n">
        <v>46197.5833333333</v>
      </c>
      <c r="G16" s="209" t="s">
        <v>2760</v>
      </c>
      <c r="H16" s="209" t="s">
        <v>2754</v>
      </c>
      <c r="I16" s="209" t="s">
        <v>2530</v>
      </c>
      <c r="J16" s="209" t="s">
        <v>2758</v>
      </c>
      <c r="K16" s="209" t="s">
        <v>1069</v>
      </c>
      <c r="L16" s="211" t="n">
        <v>46197.6666666667</v>
      </c>
      <c r="M16" s="209"/>
      <c r="N16" s="212" t="str">
        <f aca="true" t="array" ref="N16:N16">IF(AND(ISNUMBER(SEARCH("interested",K16)),(NOW()-N(L16))&gt;slaFollowup_grace_days),INDEX('CH4. Thông điệp nhắc việc'!$G:$G,MATCH("NA003",'CH4. Thông điệp nhắc việc'!$A:$A,0)),IF(ISNUMBER(SEARCH("confirmed_with_deposit",K16)),INDEX('CH4. Thông điệp nhắc việc'!$G:$G,MATCH("NA057",'CH4. Thông điệp nhắc việc'!$A:$A,0)),IF(ISNUMBER(SEARCH("dropped",K16)),INDEX('CH4. Thông điệp nhắc việc'!$G:$G,MATCH("NA058",'CH4. Thông điệp nhắc việc'!$A:$A,0)),IF(ISNUMBER(SEARCH("undecided",K16)),INDEX('CH4. Thông điệp nhắc việc'!$G:$G,MATCH("NA004",'CH4. Thông điệp nhắc việc'!$A:$A,0)),""))))</f>
        <v>Khách đã đồng ý và đặt cọc. Việc cần làm: tạo đăng ký và thu cọc (chuyển sang sheet DL06 Đăng ký).</v>
      </c>
      <c r="O16" s="213" t="str">
        <f aca="false">IFERROR(VLOOKUP(B16,'DL02. Khách tiềm năng'!$A:$E,5,FALSE()),"")</f>
        <v>Mai Xuân Quỳnh</v>
      </c>
    </row>
    <row r="17" customFormat="false" ht="15" hidden="false" customHeight="true" outlineLevel="0" collapsed="false">
      <c r="A17" s="135"/>
      <c r="B17" s="135"/>
      <c r="C17" s="135"/>
      <c r="D17" s="135"/>
      <c r="E17" s="135"/>
      <c r="F17" s="189"/>
      <c r="G17" s="135"/>
      <c r="H17" s="135"/>
      <c r="I17" s="135"/>
      <c r="J17" s="135"/>
      <c r="K17" s="135"/>
      <c r="L17" s="189"/>
      <c r="M17" s="135"/>
      <c r="N17" s="135"/>
      <c r="O17" s="135"/>
    </row>
    <row r="18" customFormat="false" ht="15" hidden="false" customHeight="true" outlineLevel="0" collapsed="false">
      <c r="A18" s="135"/>
      <c r="B18" s="135"/>
      <c r="C18" s="135"/>
      <c r="D18" s="135"/>
      <c r="E18" s="135"/>
      <c r="F18" s="189"/>
      <c r="G18" s="135"/>
      <c r="H18" s="135"/>
      <c r="I18" s="135"/>
      <c r="J18" s="135"/>
      <c r="K18" s="135"/>
      <c r="L18" s="189"/>
      <c r="M18" s="135"/>
      <c r="N18" s="135"/>
      <c r="O18" s="135"/>
    </row>
    <row r="19" customFormat="false" ht="15" hidden="false" customHeight="true" outlineLevel="0" collapsed="false">
      <c r="A19" s="135"/>
      <c r="B19" s="135"/>
      <c r="C19" s="135"/>
      <c r="D19" s="135"/>
      <c r="E19" s="135"/>
      <c r="F19" s="189"/>
      <c r="G19" s="135"/>
      <c r="H19" s="135"/>
      <c r="I19" s="135"/>
      <c r="J19" s="135"/>
      <c r="K19" s="135"/>
      <c r="L19" s="189"/>
      <c r="M19" s="135"/>
      <c r="N19" s="135"/>
      <c r="O19" s="135"/>
    </row>
    <row r="20" customFormat="false" ht="15" hidden="false" customHeight="true" outlineLevel="0" collapsed="false">
      <c r="A20" s="135"/>
      <c r="B20" s="135"/>
      <c r="C20" s="135"/>
      <c r="D20" s="135"/>
      <c r="E20" s="135"/>
      <c r="F20" s="189"/>
      <c r="G20" s="135"/>
      <c r="H20" s="135"/>
      <c r="I20" s="135"/>
      <c r="J20" s="135"/>
      <c r="K20" s="135"/>
      <c r="L20" s="189"/>
      <c r="M20" s="135"/>
      <c r="N20" s="135"/>
      <c r="O20" s="135"/>
    </row>
    <row r="21" customFormat="false" ht="15.75" hidden="false" customHeight="true" outlineLevel="0" collapsed="false">
      <c r="A21" s="135"/>
      <c r="B21" s="135"/>
      <c r="C21" s="135"/>
      <c r="D21" s="135"/>
      <c r="E21" s="135"/>
      <c r="F21" s="189"/>
      <c r="G21" s="135"/>
      <c r="H21" s="135"/>
      <c r="I21" s="135"/>
      <c r="J21" s="135"/>
      <c r="K21" s="135"/>
      <c r="L21" s="189"/>
      <c r="M21" s="135"/>
      <c r="N21" s="135"/>
      <c r="O21" s="135"/>
    </row>
    <row r="22" customFormat="false" ht="15.75" hidden="false" customHeight="true" outlineLevel="0" collapsed="false">
      <c r="A22" s="135"/>
      <c r="B22" s="135"/>
      <c r="C22" s="135"/>
      <c r="D22" s="135"/>
      <c r="E22" s="135"/>
      <c r="F22" s="189"/>
      <c r="G22" s="135"/>
      <c r="H22" s="135"/>
      <c r="I22" s="135"/>
      <c r="J22" s="135"/>
      <c r="K22" s="135"/>
      <c r="L22" s="189"/>
      <c r="M22" s="135"/>
      <c r="N22" s="135"/>
      <c r="O22" s="135"/>
    </row>
    <row r="23" customFormat="false" ht="15.75" hidden="false" customHeight="true" outlineLevel="0" collapsed="false">
      <c r="A23" s="135"/>
      <c r="B23" s="135"/>
      <c r="C23" s="135"/>
      <c r="D23" s="135"/>
      <c r="E23" s="135"/>
      <c r="F23" s="189"/>
      <c r="G23" s="135"/>
      <c r="H23" s="135"/>
      <c r="I23" s="135"/>
      <c r="J23" s="135"/>
      <c r="K23" s="135"/>
      <c r="L23" s="189"/>
      <c r="M23" s="135"/>
      <c r="N23" s="135"/>
      <c r="O23" s="135"/>
    </row>
    <row r="24" customFormat="false" ht="15.75" hidden="false" customHeight="true" outlineLevel="0" collapsed="false">
      <c r="A24" s="135"/>
      <c r="B24" s="135"/>
      <c r="C24" s="135"/>
      <c r="D24" s="135"/>
      <c r="E24" s="135"/>
      <c r="F24" s="189"/>
      <c r="G24" s="135"/>
      <c r="H24" s="135"/>
      <c r="I24" s="135"/>
      <c r="J24" s="135"/>
      <c r="K24" s="135"/>
      <c r="L24" s="189"/>
      <c r="M24" s="135"/>
      <c r="N24" s="135"/>
      <c r="O24" s="135"/>
    </row>
    <row r="25" customFormat="false" ht="15.75" hidden="false" customHeight="true" outlineLevel="0" collapsed="false">
      <c r="A25" s="135"/>
      <c r="B25" s="135"/>
      <c r="C25" s="135"/>
      <c r="D25" s="135"/>
      <c r="E25" s="135"/>
      <c r="F25" s="189"/>
      <c r="G25" s="135"/>
      <c r="H25" s="135"/>
      <c r="I25" s="135"/>
      <c r="J25" s="135"/>
      <c r="K25" s="135"/>
      <c r="L25" s="189"/>
      <c r="M25" s="135"/>
      <c r="N25" s="135"/>
      <c r="O25" s="135"/>
    </row>
    <row r="26" customFormat="false" ht="15.75" hidden="false" customHeight="true" outlineLevel="0" collapsed="false">
      <c r="A26" s="135"/>
      <c r="B26" s="135"/>
      <c r="C26" s="135"/>
      <c r="D26" s="135"/>
      <c r="E26" s="135"/>
      <c r="F26" s="189"/>
      <c r="G26" s="135"/>
      <c r="H26" s="135"/>
      <c r="I26" s="135"/>
      <c r="J26" s="135"/>
      <c r="K26" s="135"/>
      <c r="L26" s="189"/>
      <c r="M26" s="135"/>
      <c r="N26" s="135"/>
      <c r="O26" s="135"/>
    </row>
    <row r="27" customFormat="false" ht="15.75" hidden="false" customHeight="true" outlineLevel="0" collapsed="false">
      <c r="A27" s="135"/>
      <c r="B27" s="135"/>
      <c r="C27" s="135"/>
      <c r="D27" s="135"/>
      <c r="E27" s="135"/>
      <c r="F27" s="189"/>
      <c r="G27" s="135"/>
      <c r="H27" s="135"/>
      <c r="I27" s="135"/>
      <c r="J27" s="135"/>
      <c r="K27" s="135"/>
      <c r="L27" s="189"/>
      <c r="M27" s="135"/>
      <c r="N27" s="135"/>
      <c r="O27" s="135"/>
    </row>
    <row r="28" customFormat="false" ht="15.75" hidden="false" customHeight="true" outlineLevel="0" collapsed="false">
      <c r="A28" s="135"/>
      <c r="B28" s="135"/>
      <c r="C28" s="135"/>
      <c r="D28" s="135"/>
      <c r="E28" s="135"/>
      <c r="F28" s="189"/>
      <c r="G28" s="135"/>
      <c r="H28" s="135"/>
      <c r="I28" s="135"/>
      <c r="J28" s="135"/>
      <c r="K28" s="135"/>
      <c r="L28" s="189"/>
      <c r="M28" s="135"/>
      <c r="N28" s="135"/>
      <c r="O28" s="135"/>
    </row>
    <row r="29" customFormat="false" ht="15.75" hidden="false" customHeight="true" outlineLevel="0" collapsed="false">
      <c r="A29" s="135"/>
      <c r="B29" s="135"/>
      <c r="C29" s="135"/>
      <c r="D29" s="135"/>
      <c r="E29" s="135"/>
      <c r="F29" s="189"/>
      <c r="G29" s="135"/>
      <c r="H29" s="135"/>
      <c r="I29" s="135"/>
      <c r="J29" s="135"/>
      <c r="K29" s="135"/>
      <c r="L29" s="189"/>
      <c r="M29" s="135"/>
      <c r="N29" s="135"/>
      <c r="O29" s="135"/>
    </row>
    <row r="30" customFormat="false" ht="15.75" hidden="false" customHeight="true" outlineLevel="0" collapsed="false">
      <c r="A30" s="135"/>
      <c r="B30" s="135"/>
      <c r="C30" s="135"/>
      <c r="D30" s="135"/>
      <c r="E30" s="135"/>
      <c r="F30" s="189"/>
      <c r="G30" s="135"/>
      <c r="H30" s="135"/>
      <c r="I30" s="135"/>
      <c r="J30" s="135"/>
      <c r="K30" s="135"/>
      <c r="L30" s="189"/>
      <c r="M30" s="135"/>
      <c r="N30" s="135"/>
      <c r="O30" s="135"/>
    </row>
    <row r="31" customFormat="false" ht="15.75" hidden="false" customHeight="true" outlineLevel="0" collapsed="false">
      <c r="A31" s="135"/>
      <c r="B31" s="135"/>
      <c r="C31" s="135"/>
      <c r="D31" s="135"/>
      <c r="E31" s="135"/>
      <c r="F31" s="189"/>
      <c r="G31" s="135"/>
      <c r="H31" s="135"/>
      <c r="I31" s="135"/>
      <c r="J31" s="135"/>
      <c r="K31" s="135"/>
      <c r="L31" s="189"/>
      <c r="M31" s="135"/>
      <c r="N31" s="135"/>
      <c r="O31" s="135"/>
    </row>
    <row r="32" customFormat="false" ht="15.75" hidden="false" customHeight="true" outlineLevel="0" collapsed="false">
      <c r="A32" s="135"/>
      <c r="B32" s="135"/>
      <c r="C32" s="135"/>
      <c r="D32" s="135"/>
      <c r="E32" s="135"/>
      <c r="F32" s="189"/>
      <c r="G32" s="135"/>
      <c r="H32" s="135"/>
      <c r="I32" s="135"/>
      <c r="J32" s="135"/>
      <c r="K32" s="135"/>
      <c r="L32" s="189"/>
      <c r="M32" s="135"/>
      <c r="N32" s="135"/>
      <c r="O32" s="135"/>
    </row>
    <row r="33" customFormat="false" ht="15.75" hidden="false" customHeight="true" outlineLevel="0" collapsed="false">
      <c r="A33" s="135"/>
      <c r="B33" s="135"/>
      <c r="C33" s="135"/>
      <c r="D33" s="135"/>
      <c r="E33" s="135"/>
      <c r="F33" s="189"/>
      <c r="G33" s="135"/>
      <c r="H33" s="135"/>
      <c r="I33" s="135"/>
      <c r="J33" s="135"/>
      <c r="K33" s="135"/>
      <c r="L33" s="189"/>
      <c r="M33" s="135"/>
      <c r="N33" s="135"/>
      <c r="O33" s="135"/>
    </row>
    <row r="34" customFormat="false" ht="15.75" hidden="false" customHeight="true" outlineLevel="0" collapsed="false">
      <c r="A34" s="135"/>
      <c r="B34" s="135"/>
      <c r="C34" s="135"/>
      <c r="D34" s="135"/>
      <c r="E34" s="135"/>
      <c r="F34" s="189"/>
      <c r="G34" s="135"/>
      <c r="H34" s="135"/>
      <c r="I34" s="135"/>
      <c r="J34" s="135"/>
      <c r="K34" s="135"/>
      <c r="L34" s="189"/>
      <c r="M34" s="135"/>
      <c r="N34" s="135"/>
      <c r="O34" s="135"/>
    </row>
    <row r="35" customFormat="false" ht="15.75" hidden="false" customHeight="true" outlineLevel="0" collapsed="false">
      <c r="A35" s="135"/>
      <c r="B35" s="135"/>
      <c r="C35" s="135"/>
      <c r="D35" s="135"/>
      <c r="E35" s="135"/>
      <c r="F35" s="189"/>
      <c r="G35" s="135"/>
      <c r="H35" s="135"/>
      <c r="I35" s="135"/>
      <c r="J35" s="135"/>
      <c r="K35" s="135"/>
      <c r="L35" s="189"/>
      <c r="M35" s="135"/>
      <c r="N35" s="135"/>
      <c r="O35" s="135"/>
    </row>
    <row r="36" customFormat="false" ht="15.75" hidden="false" customHeight="true" outlineLevel="0" collapsed="false">
      <c r="A36" s="135"/>
      <c r="B36" s="135"/>
      <c r="C36" s="135"/>
      <c r="D36" s="135"/>
      <c r="E36" s="135"/>
      <c r="F36" s="189"/>
      <c r="G36" s="135"/>
      <c r="H36" s="135"/>
      <c r="I36" s="135"/>
      <c r="J36" s="135"/>
      <c r="K36" s="135"/>
      <c r="L36" s="189"/>
      <c r="M36" s="135"/>
      <c r="N36" s="135"/>
      <c r="O36" s="135"/>
    </row>
    <row r="37" customFormat="false" ht="15.75" hidden="false" customHeight="true" outlineLevel="0" collapsed="false">
      <c r="A37" s="135"/>
      <c r="B37" s="135"/>
      <c r="C37" s="135"/>
      <c r="D37" s="135"/>
      <c r="E37" s="135"/>
      <c r="F37" s="189"/>
      <c r="G37" s="135"/>
      <c r="H37" s="135"/>
      <c r="I37" s="135"/>
      <c r="J37" s="135"/>
      <c r="K37" s="135"/>
      <c r="L37" s="189"/>
      <c r="M37" s="135"/>
      <c r="N37" s="135"/>
      <c r="O37" s="135"/>
    </row>
    <row r="38" customFormat="false" ht="15.75" hidden="false" customHeight="true" outlineLevel="0" collapsed="false">
      <c r="A38" s="135"/>
      <c r="B38" s="135"/>
      <c r="C38" s="135"/>
      <c r="D38" s="135"/>
      <c r="E38" s="135"/>
      <c r="F38" s="189"/>
      <c r="G38" s="135"/>
      <c r="H38" s="135"/>
      <c r="I38" s="135"/>
      <c r="J38" s="135"/>
      <c r="K38" s="135"/>
      <c r="L38" s="189"/>
      <c r="M38" s="135"/>
      <c r="N38" s="135"/>
      <c r="O38" s="135"/>
    </row>
    <row r="39" customFormat="false" ht="15.75" hidden="false" customHeight="true" outlineLevel="0" collapsed="false">
      <c r="A39" s="135"/>
      <c r="B39" s="135"/>
      <c r="C39" s="135"/>
      <c r="D39" s="135"/>
      <c r="E39" s="135"/>
      <c r="F39" s="189"/>
      <c r="G39" s="135"/>
      <c r="H39" s="135"/>
      <c r="I39" s="135"/>
      <c r="J39" s="135"/>
      <c r="K39" s="135"/>
      <c r="L39" s="189"/>
      <c r="M39" s="135"/>
      <c r="N39" s="135"/>
      <c r="O39" s="135"/>
    </row>
    <row r="40" customFormat="false" ht="15.75" hidden="false" customHeight="true" outlineLevel="0" collapsed="false">
      <c r="A40" s="135"/>
      <c r="B40" s="135"/>
      <c r="C40" s="135"/>
      <c r="D40" s="135"/>
      <c r="E40" s="135"/>
      <c r="F40" s="189"/>
      <c r="G40" s="135"/>
      <c r="H40" s="135"/>
      <c r="I40" s="135"/>
      <c r="J40" s="135"/>
      <c r="K40" s="135"/>
      <c r="L40" s="189"/>
      <c r="M40" s="135"/>
      <c r="N40" s="135"/>
      <c r="O40" s="135"/>
    </row>
    <row r="41" customFormat="false" ht="15.75" hidden="false" customHeight="true" outlineLevel="0" collapsed="false">
      <c r="A41" s="135"/>
      <c r="B41" s="135"/>
      <c r="C41" s="135"/>
      <c r="D41" s="135"/>
      <c r="E41" s="135"/>
      <c r="F41" s="189"/>
      <c r="G41" s="135"/>
      <c r="H41" s="135"/>
      <c r="I41" s="135"/>
      <c r="J41" s="135"/>
      <c r="K41" s="135"/>
      <c r="L41" s="189"/>
      <c r="M41" s="135"/>
      <c r="N41" s="135"/>
      <c r="O41" s="135"/>
    </row>
    <row r="42" customFormat="false" ht="15.75" hidden="false" customHeight="true" outlineLevel="0" collapsed="false">
      <c r="A42" s="135"/>
      <c r="B42" s="135"/>
      <c r="C42" s="135"/>
      <c r="D42" s="135"/>
      <c r="E42" s="135"/>
      <c r="F42" s="189"/>
      <c r="G42" s="135"/>
      <c r="H42" s="135"/>
      <c r="I42" s="135"/>
      <c r="J42" s="135"/>
      <c r="K42" s="135"/>
      <c r="L42" s="189"/>
      <c r="M42" s="135"/>
      <c r="N42" s="135"/>
      <c r="O42" s="135"/>
    </row>
    <row r="43" customFormat="false" ht="15.75" hidden="false" customHeight="true" outlineLevel="0" collapsed="false">
      <c r="A43" s="135"/>
      <c r="B43" s="135"/>
      <c r="C43" s="135"/>
      <c r="D43" s="135"/>
      <c r="E43" s="135"/>
      <c r="F43" s="189"/>
      <c r="G43" s="135"/>
      <c r="H43" s="135"/>
      <c r="I43" s="135"/>
      <c r="J43" s="135"/>
      <c r="K43" s="135"/>
      <c r="L43" s="189"/>
      <c r="M43" s="135"/>
      <c r="N43" s="135"/>
      <c r="O43" s="135"/>
    </row>
    <row r="44" customFormat="false" ht="15.75" hidden="false" customHeight="true" outlineLevel="0" collapsed="false">
      <c r="A44" s="135"/>
      <c r="B44" s="135"/>
      <c r="C44" s="135"/>
      <c r="D44" s="135"/>
      <c r="E44" s="135"/>
      <c r="F44" s="189"/>
      <c r="G44" s="135"/>
      <c r="H44" s="135"/>
      <c r="I44" s="135"/>
      <c r="J44" s="135"/>
      <c r="K44" s="135"/>
      <c r="L44" s="189"/>
      <c r="M44" s="135"/>
      <c r="N44" s="135"/>
      <c r="O44" s="135"/>
    </row>
    <row r="45" customFormat="false" ht="15.75" hidden="false" customHeight="true" outlineLevel="0" collapsed="false">
      <c r="A45" s="135"/>
      <c r="B45" s="135"/>
      <c r="C45" s="135"/>
      <c r="D45" s="135"/>
      <c r="E45" s="135"/>
      <c r="F45" s="189"/>
      <c r="G45" s="135"/>
      <c r="H45" s="135"/>
      <c r="I45" s="135"/>
      <c r="J45" s="135"/>
      <c r="K45" s="135"/>
      <c r="L45" s="189"/>
      <c r="M45" s="135"/>
      <c r="N45" s="135"/>
      <c r="O45" s="135"/>
    </row>
    <row r="46" customFormat="false" ht="15.75" hidden="false" customHeight="true" outlineLevel="0" collapsed="false">
      <c r="A46" s="135"/>
      <c r="B46" s="135"/>
      <c r="C46" s="135"/>
      <c r="D46" s="135"/>
      <c r="E46" s="135"/>
      <c r="F46" s="189"/>
      <c r="G46" s="135"/>
      <c r="H46" s="135"/>
      <c r="I46" s="135"/>
      <c r="J46" s="135"/>
      <c r="K46" s="135"/>
      <c r="L46" s="189"/>
      <c r="M46" s="135"/>
      <c r="N46" s="135"/>
      <c r="O46" s="135"/>
    </row>
    <row r="47" customFormat="false" ht="15.75" hidden="false" customHeight="true" outlineLevel="0" collapsed="false">
      <c r="A47" s="135"/>
      <c r="B47" s="135"/>
      <c r="C47" s="135"/>
      <c r="D47" s="135"/>
      <c r="E47" s="135"/>
      <c r="F47" s="189"/>
      <c r="G47" s="135"/>
      <c r="H47" s="135"/>
      <c r="I47" s="135"/>
      <c r="J47" s="135"/>
      <c r="K47" s="135"/>
      <c r="L47" s="189"/>
      <c r="M47" s="135"/>
      <c r="N47" s="135"/>
      <c r="O47" s="135"/>
    </row>
    <row r="48" customFormat="false" ht="15.75" hidden="false" customHeight="true" outlineLevel="0" collapsed="false">
      <c r="A48" s="135"/>
      <c r="B48" s="135"/>
      <c r="C48" s="135"/>
      <c r="D48" s="135"/>
      <c r="E48" s="135"/>
      <c r="F48" s="189"/>
      <c r="G48" s="135"/>
      <c r="H48" s="135"/>
      <c r="I48" s="135"/>
      <c r="J48" s="135"/>
      <c r="K48" s="135"/>
      <c r="L48" s="189"/>
      <c r="M48" s="135"/>
      <c r="N48" s="135"/>
      <c r="O48" s="135"/>
    </row>
    <row r="49" customFormat="false" ht="15.75" hidden="false" customHeight="true" outlineLevel="0" collapsed="false">
      <c r="A49" s="135"/>
      <c r="B49" s="135"/>
      <c r="C49" s="135"/>
      <c r="D49" s="135"/>
      <c r="E49" s="135"/>
      <c r="F49" s="189"/>
      <c r="G49" s="135"/>
      <c r="H49" s="135"/>
      <c r="I49" s="135"/>
      <c r="J49" s="135"/>
      <c r="K49" s="135"/>
      <c r="L49" s="189"/>
      <c r="M49" s="135"/>
      <c r="N49" s="135"/>
      <c r="O49" s="135"/>
    </row>
    <row r="50" customFormat="false" ht="15.75" hidden="false" customHeight="true" outlineLevel="0" collapsed="false">
      <c r="A50" s="135"/>
      <c r="B50" s="135"/>
      <c r="C50" s="135"/>
      <c r="D50" s="135"/>
      <c r="E50" s="135"/>
      <c r="F50" s="189"/>
      <c r="G50" s="135"/>
      <c r="H50" s="135"/>
      <c r="I50" s="135"/>
      <c r="J50" s="135"/>
      <c r="K50" s="135"/>
      <c r="L50" s="189"/>
      <c r="M50" s="135"/>
      <c r="N50" s="135"/>
      <c r="O50" s="135"/>
    </row>
    <row r="51" customFormat="false" ht="15.75" hidden="false" customHeight="true" outlineLevel="0" collapsed="false">
      <c r="A51" s="135"/>
      <c r="B51" s="135"/>
      <c r="C51" s="135"/>
      <c r="D51" s="135"/>
      <c r="E51" s="135"/>
      <c r="F51" s="189"/>
      <c r="G51" s="135"/>
      <c r="H51" s="135"/>
      <c r="I51" s="135"/>
      <c r="J51" s="135"/>
      <c r="K51" s="135"/>
      <c r="L51" s="189"/>
      <c r="M51" s="135"/>
      <c r="N51" s="135"/>
      <c r="O51" s="135"/>
    </row>
    <row r="52" customFormat="false" ht="15.75" hidden="false" customHeight="true" outlineLevel="0" collapsed="false">
      <c r="A52" s="135"/>
      <c r="B52" s="135"/>
      <c r="C52" s="135"/>
      <c r="D52" s="135"/>
      <c r="E52" s="135"/>
      <c r="F52" s="189"/>
      <c r="G52" s="135"/>
      <c r="H52" s="135"/>
      <c r="I52" s="135"/>
      <c r="J52" s="135"/>
      <c r="K52" s="135"/>
      <c r="L52" s="189"/>
      <c r="M52" s="135"/>
      <c r="N52" s="135"/>
      <c r="O52" s="135"/>
    </row>
    <row r="53" customFormat="false" ht="15.75" hidden="false" customHeight="true" outlineLevel="0" collapsed="false">
      <c r="A53" s="135"/>
      <c r="B53" s="135"/>
      <c r="C53" s="135"/>
      <c r="D53" s="135"/>
      <c r="E53" s="135"/>
      <c r="F53" s="189"/>
      <c r="G53" s="135"/>
      <c r="H53" s="135"/>
      <c r="I53" s="135"/>
      <c r="J53" s="135"/>
      <c r="K53" s="135"/>
      <c r="L53" s="189"/>
      <c r="M53" s="135"/>
      <c r="N53" s="135"/>
      <c r="O53" s="135"/>
    </row>
    <row r="54" customFormat="false" ht="15.75" hidden="false" customHeight="true" outlineLevel="0" collapsed="false">
      <c r="A54" s="135"/>
      <c r="B54" s="135"/>
      <c r="C54" s="135"/>
      <c r="D54" s="135"/>
      <c r="E54" s="135"/>
      <c r="F54" s="189"/>
      <c r="G54" s="135"/>
      <c r="H54" s="135"/>
      <c r="I54" s="135"/>
      <c r="J54" s="135"/>
      <c r="K54" s="135"/>
      <c r="L54" s="189"/>
      <c r="M54" s="135"/>
      <c r="N54" s="135"/>
      <c r="O54" s="135"/>
    </row>
    <row r="55" customFormat="false" ht="15.75" hidden="false" customHeight="true" outlineLevel="0" collapsed="false">
      <c r="A55" s="135"/>
      <c r="B55" s="135"/>
      <c r="C55" s="135"/>
      <c r="D55" s="135"/>
      <c r="E55" s="135"/>
      <c r="F55" s="189"/>
      <c r="G55" s="135"/>
      <c r="H55" s="135"/>
      <c r="I55" s="135"/>
      <c r="J55" s="135"/>
      <c r="K55" s="135"/>
      <c r="L55" s="189"/>
      <c r="M55" s="135"/>
      <c r="N55" s="135"/>
      <c r="O55" s="135"/>
    </row>
    <row r="56" customFormat="false" ht="15.75" hidden="false" customHeight="true" outlineLevel="0" collapsed="false">
      <c r="A56" s="135"/>
      <c r="B56" s="135"/>
      <c r="C56" s="135"/>
      <c r="D56" s="135"/>
      <c r="E56" s="135"/>
      <c r="F56" s="189"/>
      <c r="G56" s="135"/>
      <c r="H56" s="135"/>
      <c r="I56" s="135"/>
      <c r="J56" s="135"/>
      <c r="K56" s="135"/>
      <c r="L56" s="189"/>
      <c r="M56" s="135"/>
      <c r="N56" s="135"/>
      <c r="O56" s="135"/>
    </row>
    <row r="57" customFormat="false" ht="15.75" hidden="false" customHeight="true" outlineLevel="0" collapsed="false">
      <c r="A57" s="135"/>
      <c r="B57" s="135"/>
      <c r="C57" s="135"/>
      <c r="D57" s="135"/>
      <c r="E57" s="135"/>
      <c r="F57" s="189"/>
      <c r="G57" s="135"/>
      <c r="H57" s="135"/>
      <c r="I57" s="135"/>
      <c r="J57" s="135"/>
      <c r="K57" s="135"/>
      <c r="L57" s="189"/>
      <c r="M57" s="135"/>
      <c r="N57" s="135"/>
      <c r="O57" s="135"/>
    </row>
    <row r="58" customFormat="false" ht="15.75" hidden="false" customHeight="true" outlineLevel="0" collapsed="false">
      <c r="A58" s="135"/>
      <c r="B58" s="135"/>
      <c r="C58" s="135"/>
      <c r="D58" s="135"/>
      <c r="E58" s="135"/>
      <c r="F58" s="189"/>
      <c r="G58" s="135"/>
      <c r="H58" s="135"/>
      <c r="I58" s="135"/>
      <c r="J58" s="135"/>
      <c r="K58" s="135"/>
      <c r="L58" s="189"/>
      <c r="M58" s="135"/>
      <c r="N58" s="135"/>
      <c r="O58" s="135"/>
    </row>
    <row r="59" customFormat="false" ht="15.75" hidden="false" customHeight="true" outlineLevel="0" collapsed="false">
      <c r="A59" s="135"/>
      <c r="B59" s="135"/>
      <c r="C59" s="135"/>
      <c r="D59" s="135"/>
      <c r="E59" s="135"/>
      <c r="F59" s="189"/>
      <c r="G59" s="135"/>
      <c r="H59" s="135"/>
      <c r="I59" s="135"/>
      <c r="J59" s="135"/>
      <c r="K59" s="135"/>
      <c r="L59" s="189"/>
      <c r="M59" s="135"/>
      <c r="N59" s="135"/>
      <c r="O59" s="135"/>
    </row>
    <row r="60" customFormat="false" ht="15.75" hidden="false" customHeight="true" outlineLevel="0" collapsed="false">
      <c r="A60" s="135"/>
      <c r="B60" s="135"/>
      <c r="C60" s="135"/>
      <c r="D60" s="135"/>
      <c r="E60" s="135"/>
      <c r="F60" s="189"/>
      <c r="G60" s="135"/>
      <c r="H60" s="135"/>
      <c r="I60" s="135"/>
      <c r="J60" s="135"/>
      <c r="K60" s="135"/>
      <c r="L60" s="189"/>
      <c r="M60" s="135"/>
      <c r="N60" s="135"/>
      <c r="O60" s="135"/>
    </row>
    <row r="61" customFormat="false" ht="15.75" hidden="false" customHeight="true" outlineLevel="0" collapsed="false">
      <c r="A61" s="135"/>
      <c r="B61" s="135"/>
      <c r="C61" s="135"/>
      <c r="D61" s="135"/>
      <c r="E61" s="135"/>
      <c r="F61" s="189"/>
      <c r="G61" s="135"/>
      <c r="H61" s="135"/>
      <c r="I61" s="135"/>
      <c r="J61" s="135"/>
      <c r="K61" s="135"/>
      <c r="L61" s="189"/>
      <c r="M61" s="135"/>
      <c r="N61" s="135"/>
      <c r="O61" s="135"/>
    </row>
    <row r="62" customFormat="false" ht="15.75" hidden="false" customHeight="true" outlineLevel="0" collapsed="false">
      <c r="A62" s="135"/>
      <c r="B62" s="135"/>
      <c r="C62" s="135"/>
      <c r="D62" s="135"/>
      <c r="E62" s="135"/>
      <c r="F62" s="189"/>
      <c r="G62" s="135"/>
      <c r="H62" s="135"/>
      <c r="I62" s="135"/>
      <c r="J62" s="135"/>
      <c r="K62" s="135"/>
      <c r="L62" s="189"/>
      <c r="M62" s="135"/>
      <c r="N62" s="135"/>
      <c r="O62" s="135"/>
    </row>
    <row r="63" customFormat="false" ht="15.75" hidden="false" customHeight="true" outlineLevel="0" collapsed="false">
      <c r="A63" s="135"/>
      <c r="B63" s="135"/>
      <c r="C63" s="135"/>
      <c r="D63" s="135"/>
      <c r="E63" s="135"/>
      <c r="F63" s="189"/>
      <c r="G63" s="135"/>
      <c r="H63" s="135"/>
      <c r="I63" s="135"/>
      <c r="J63" s="135"/>
      <c r="K63" s="135"/>
      <c r="L63" s="189"/>
      <c r="M63" s="135"/>
      <c r="N63" s="135"/>
      <c r="O63" s="135"/>
    </row>
    <row r="64" customFormat="false" ht="15.75" hidden="false" customHeight="true" outlineLevel="0" collapsed="false">
      <c r="A64" s="135"/>
      <c r="B64" s="135"/>
      <c r="C64" s="135"/>
      <c r="D64" s="135"/>
      <c r="E64" s="135"/>
      <c r="F64" s="189"/>
      <c r="G64" s="135"/>
      <c r="H64" s="135"/>
      <c r="I64" s="135"/>
      <c r="J64" s="135"/>
      <c r="K64" s="135"/>
      <c r="L64" s="189"/>
      <c r="M64" s="135"/>
      <c r="N64" s="135"/>
      <c r="O64" s="135"/>
    </row>
    <row r="65" customFormat="false" ht="15.75" hidden="false" customHeight="true" outlineLevel="0" collapsed="false">
      <c r="A65" s="135"/>
      <c r="B65" s="135"/>
      <c r="C65" s="135"/>
      <c r="D65" s="135"/>
      <c r="E65" s="135"/>
      <c r="F65" s="189"/>
      <c r="G65" s="135"/>
      <c r="H65" s="135"/>
      <c r="I65" s="135"/>
      <c r="J65" s="135"/>
      <c r="K65" s="135"/>
      <c r="L65" s="189"/>
      <c r="M65" s="135"/>
      <c r="N65" s="135"/>
      <c r="O65" s="135"/>
    </row>
    <row r="66" customFormat="false" ht="15.75" hidden="false" customHeight="true" outlineLevel="0" collapsed="false">
      <c r="A66" s="135"/>
      <c r="B66" s="135"/>
      <c r="C66" s="135"/>
      <c r="D66" s="135"/>
      <c r="E66" s="135"/>
      <c r="F66" s="189"/>
      <c r="G66" s="135"/>
      <c r="H66" s="135"/>
      <c r="I66" s="135"/>
      <c r="J66" s="135"/>
      <c r="K66" s="135"/>
      <c r="L66" s="189"/>
      <c r="M66" s="135"/>
      <c r="N66" s="135"/>
      <c r="O66" s="135"/>
    </row>
    <row r="67" customFormat="false" ht="15.75" hidden="false" customHeight="true" outlineLevel="0" collapsed="false">
      <c r="A67" s="135"/>
      <c r="B67" s="135"/>
      <c r="C67" s="135"/>
      <c r="D67" s="135"/>
      <c r="E67" s="135"/>
      <c r="F67" s="189"/>
      <c r="G67" s="135"/>
      <c r="H67" s="135"/>
      <c r="I67" s="135"/>
      <c r="J67" s="135"/>
      <c r="K67" s="135"/>
      <c r="L67" s="189"/>
      <c r="M67" s="135"/>
      <c r="N67" s="135"/>
      <c r="O67" s="135"/>
    </row>
    <row r="68" customFormat="false" ht="15.75" hidden="false" customHeight="true" outlineLevel="0" collapsed="false">
      <c r="A68" s="135"/>
      <c r="B68" s="135"/>
      <c r="C68" s="135"/>
      <c r="D68" s="135"/>
      <c r="E68" s="135"/>
      <c r="F68" s="189"/>
      <c r="G68" s="135"/>
      <c r="H68" s="135"/>
      <c r="I68" s="135"/>
      <c r="J68" s="135"/>
      <c r="K68" s="135"/>
      <c r="L68" s="189"/>
      <c r="M68" s="135"/>
      <c r="N68" s="135"/>
      <c r="O68" s="135"/>
    </row>
    <row r="69" customFormat="false" ht="15.75" hidden="false" customHeight="true" outlineLevel="0" collapsed="false">
      <c r="A69" s="135"/>
      <c r="B69" s="135"/>
      <c r="C69" s="135"/>
      <c r="D69" s="135"/>
      <c r="E69" s="135"/>
      <c r="F69" s="189"/>
      <c r="G69" s="135"/>
      <c r="H69" s="135"/>
      <c r="I69" s="135"/>
      <c r="J69" s="135"/>
      <c r="K69" s="135"/>
      <c r="L69" s="189"/>
      <c r="M69" s="135"/>
      <c r="N69" s="135"/>
      <c r="O69" s="135"/>
    </row>
    <row r="70" customFormat="false" ht="15.75" hidden="false" customHeight="true" outlineLevel="0" collapsed="false">
      <c r="A70" s="135"/>
      <c r="B70" s="135"/>
      <c r="C70" s="135"/>
      <c r="D70" s="135"/>
      <c r="E70" s="135"/>
      <c r="F70" s="189"/>
      <c r="G70" s="135"/>
      <c r="H70" s="135"/>
      <c r="I70" s="135"/>
      <c r="J70" s="135"/>
      <c r="K70" s="135"/>
      <c r="L70" s="189"/>
      <c r="M70" s="135"/>
      <c r="N70" s="135"/>
      <c r="O70" s="135"/>
    </row>
    <row r="71" customFormat="false" ht="15.75" hidden="false" customHeight="true" outlineLevel="0" collapsed="false">
      <c r="A71" s="135"/>
      <c r="B71" s="135"/>
      <c r="C71" s="135"/>
      <c r="D71" s="135"/>
      <c r="E71" s="135"/>
      <c r="F71" s="189"/>
      <c r="G71" s="135"/>
      <c r="H71" s="135"/>
      <c r="I71" s="135"/>
      <c r="J71" s="135"/>
      <c r="K71" s="135"/>
      <c r="L71" s="189"/>
      <c r="M71" s="135"/>
      <c r="N71" s="135"/>
      <c r="O71" s="135"/>
    </row>
    <row r="72" customFormat="false" ht="15.75" hidden="false" customHeight="true" outlineLevel="0" collapsed="false">
      <c r="A72" s="135"/>
      <c r="B72" s="135"/>
      <c r="C72" s="135"/>
      <c r="D72" s="135"/>
      <c r="E72" s="135"/>
      <c r="F72" s="189"/>
      <c r="G72" s="135"/>
      <c r="H72" s="135"/>
      <c r="I72" s="135"/>
      <c r="J72" s="135"/>
      <c r="K72" s="135"/>
      <c r="L72" s="189"/>
      <c r="M72" s="135"/>
      <c r="N72" s="135"/>
      <c r="O72" s="135"/>
    </row>
    <row r="73" customFormat="false" ht="15.75" hidden="false" customHeight="true" outlineLevel="0" collapsed="false">
      <c r="A73" s="135"/>
      <c r="B73" s="135"/>
      <c r="C73" s="135"/>
      <c r="D73" s="135"/>
      <c r="E73" s="135"/>
      <c r="F73" s="189"/>
      <c r="G73" s="135"/>
      <c r="H73" s="135"/>
      <c r="I73" s="135"/>
      <c r="J73" s="135"/>
      <c r="K73" s="135"/>
      <c r="L73" s="189"/>
      <c r="M73" s="135"/>
      <c r="N73" s="135"/>
      <c r="O73" s="135"/>
    </row>
    <row r="74" customFormat="false" ht="15.75" hidden="false" customHeight="true" outlineLevel="0" collapsed="false">
      <c r="A74" s="135"/>
      <c r="B74" s="135"/>
      <c r="C74" s="135"/>
      <c r="D74" s="135"/>
      <c r="E74" s="135"/>
      <c r="F74" s="189"/>
      <c r="G74" s="135"/>
      <c r="H74" s="135"/>
      <c r="I74" s="135"/>
      <c r="J74" s="135"/>
      <c r="K74" s="135"/>
      <c r="L74" s="189"/>
      <c r="M74" s="135"/>
      <c r="N74" s="135"/>
      <c r="O74" s="135"/>
    </row>
    <row r="75" customFormat="false" ht="15.75" hidden="false" customHeight="true" outlineLevel="0" collapsed="false">
      <c r="A75" s="135"/>
      <c r="B75" s="135"/>
      <c r="C75" s="135"/>
      <c r="D75" s="135"/>
      <c r="E75" s="135"/>
      <c r="F75" s="189"/>
      <c r="G75" s="135"/>
      <c r="H75" s="135"/>
      <c r="I75" s="135"/>
      <c r="J75" s="135"/>
      <c r="K75" s="135"/>
      <c r="L75" s="189"/>
      <c r="M75" s="135"/>
      <c r="N75" s="135"/>
      <c r="O75" s="135"/>
    </row>
    <row r="76" customFormat="false" ht="15.75" hidden="false" customHeight="true" outlineLevel="0" collapsed="false">
      <c r="A76" s="135"/>
      <c r="B76" s="135"/>
      <c r="C76" s="135"/>
      <c r="D76" s="135"/>
      <c r="E76" s="135"/>
      <c r="F76" s="189"/>
      <c r="G76" s="135"/>
      <c r="H76" s="135"/>
      <c r="I76" s="135"/>
      <c r="J76" s="135"/>
      <c r="K76" s="135"/>
      <c r="L76" s="189"/>
      <c r="M76" s="135"/>
      <c r="N76" s="135"/>
      <c r="O76" s="135"/>
    </row>
    <row r="77" customFormat="false" ht="15.75" hidden="false" customHeight="true" outlineLevel="0" collapsed="false">
      <c r="A77" s="135"/>
      <c r="B77" s="135"/>
      <c r="C77" s="135"/>
      <c r="D77" s="135"/>
      <c r="E77" s="135"/>
      <c r="F77" s="189"/>
      <c r="G77" s="135"/>
      <c r="H77" s="135"/>
      <c r="I77" s="135"/>
      <c r="J77" s="135"/>
      <c r="K77" s="135"/>
      <c r="L77" s="189"/>
      <c r="M77" s="135"/>
      <c r="N77" s="135"/>
      <c r="O77" s="135"/>
    </row>
    <row r="78" customFormat="false" ht="15.75" hidden="false" customHeight="true" outlineLevel="0" collapsed="false">
      <c r="A78" s="135"/>
      <c r="B78" s="135"/>
      <c r="C78" s="135"/>
      <c r="D78" s="135"/>
      <c r="E78" s="135"/>
      <c r="F78" s="189"/>
      <c r="G78" s="135"/>
      <c r="H78" s="135"/>
      <c r="I78" s="135"/>
      <c r="J78" s="135"/>
      <c r="K78" s="135"/>
      <c r="L78" s="189"/>
      <c r="M78" s="135"/>
      <c r="N78" s="135"/>
      <c r="O78" s="135"/>
    </row>
    <row r="79" customFormat="false" ht="15.75" hidden="false" customHeight="true" outlineLevel="0" collapsed="false">
      <c r="A79" s="135"/>
      <c r="B79" s="135"/>
      <c r="C79" s="135"/>
      <c r="D79" s="135"/>
      <c r="E79" s="135"/>
      <c r="F79" s="189"/>
      <c r="G79" s="135"/>
      <c r="H79" s="135"/>
      <c r="I79" s="135"/>
      <c r="J79" s="135"/>
      <c r="K79" s="135"/>
      <c r="L79" s="189"/>
      <c r="M79" s="135"/>
      <c r="N79" s="135"/>
      <c r="O79" s="135"/>
    </row>
    <row r="80" customFormat="false" ht="15.75" hidden="false" customHeight="true" outlineLevel="0" collapsed="false">
      <c r="A80" s="135"/>
      <c r="B80" s="135"/>
      <c r="C80" s="135"/>
      <c r="D80" s="135"/>
      <c r="E80" s="135"/>
      <c r="F80" s="189"/>
      <c r="G80" s="135"/>
      <c r="H80" s="135"/>
      <c r="I80" s="135"/>
      <c r="J80" s="135"/>
      <c r="K80" s="135"/>
      <c r="L80" s="189"/>
      <c r="M80" s="135"/>
      <c r="N80" s="135"/>
      <c r="O80" s="135"/>
    </row>
    <row r="81" customFormat="false" ht="15.75" hidden="false" customHeight="true" outlineLevel="0" collapsed="false">
      <c r="A81" s="135"/>
      <c r="B81" s="135"/>
      <c r="C81" s="135"/>
      <c r="D81" s="135"/>
      <c r="E81" s="135"/>
      <c r="F81" s="189"/>
      <c r="G81" s="135"/>
      <c r="H81" s="135"/>
      <c r="I81" s="135"/>
      <c r="J81" s="135"/>
      <c r="K81" s="135"/>
      <c r="L81" s="189"/>
      <c r="M81" s="135"/>
      <c r="N81" s="135"/>
      <c r="O81" s="135"/>
    </row>
    <row r="82" customFormat="false" ht="15.75" hidden="false" customHeight="true" outlineLevel="0" collapsed="false">
      <c r="A82" s="135"/>
      <c r="B82" s="135"/>
      <c r="C82" s="135"/>
      <c r="D82" s="135"/>
      <c r="E82" s="135"/>
      <c r="F82" s="189"/>
      <c r="G82" s="135"/>
      <c r="H82" s="135"/>
      <c r="I82" s="135"/>
      <c r="J82" s="135"/>
      <c r="K82" s="135"/>
      <c r="L82" s="189"/>
      <c r="M82" s="135"/>
      <c r="N82" s="135"/>
      <c r="O82" s="135"/>
    </row>
    <row r="83" customFormat="false" ht="15.75" hidden="false" customHeight="true" outlineLevel="0" collapsed="false">
      <c r="A83" s="135"/>
      <c r="B83" s="135"/>
      <c r="C83" s="135"/>
      <c r="D83" s="135"/>
      <c r="E83" s="135"/>
      <c r="F83" s="189"/>
      <c r="G83" s="135"/>
      <c r="H83" s="135"/>
      <c r="I83" s="135"/>
      <c r="J83" s="135"/>
      <c r="K83" s="135"/>
      <c r="L83" s="189"/>
      <c r="M83" s="135"/>
      <c r="N83" s="135"/>
      <c r="O83" s="135"/>
    </row>
    <row r="84" customFormat="false" ht="15.75" hidden="false" customHeight="true" outlineLevel="0" collapsed="false">
      <c r="A84" s="135"/>
      <c r="B84" s="135"/>
      <c r="C84" s="135"/>
      <c r="D84" s="135"/>
      <c r="E84" s="135"/>
      <c r="F84" s="189"/>
      <c r="G84" s="135"/>
      <c r="H84" s="135"/>
      <c r="I84" s="135"/>
      <c r="J84" s="135"/>
      <c r="K84" s="135"/>
      <c r="L84" s="189"/>
      <c r="M84" s="135"/>
      <c r="N84" s="135"/>
      <c r="O84" s="135"/>
    </row>
    <row r="85" customFormat="false" ht="15.75" hidden="false" customHeight="true" outlineLevel="0" collapsed="false">
      <c r="A85" s="135"/>
      <c r="B85" s="135"/>
      <c r="C85" s="135"/>
      <c r="D85" s="135"/>
      <c r="E85" s="135"/>
      <c r="F85" s="189"/>
      <c r="G85" s="135"/>
      <c r="H85" s="135"/>
      <c r="I85" s="135"/>
      <c r="J85" s="135"/>
      <c r="K85" s="135"/>
      <c r="L85" s="189"/>
      <c r="M85" s="135"/>
      <c r="N85" s="135"/>
      <c r="O85" s="135"/>
    </row>
    <row r="86" customFormat="false" ht="15.75" hidden="false" customHeight="true" outlineLevel="0" collapsed="false">
      <c r="A86" s="135"/>
      <c r="B86" s="135"/>
      <c r="C86" s="135"/>
      <c r="D86" s="135"/>
      <c r="E86" s="135"/>
      <c r="F86" s="189"/>
      <c r="G86" s="135"/>
      <c r="H86" s="135"/>
      <c r="I86" s="135"/>
      <c r="J86" s="135"/>
      <c r="K86" s="135"/>
      <c r="L86" s="189"/>
      <c r="M86" s="135"/>
      <c r="N86" s="135"/>
      <c r="O86" s="135"/>
    </row>
    <row r="87" customFormat="false" ht="15.75" hidden="false" customHeight="true" outlineLevel="0" collapsed="false">
      <c r="A87" s="135"/>
      <c r="B87" s="135"/>
      <c r="C87" s="135"/>
      <c r="D87" s="135"/>
      <c r="E87" s="135"/>
      <c r="F87" s="189"/>
      <c r="G87" s="135"/>
      <c r="H87" s="135"/>
      <c r="I87" s="135"/>
      <c r="J87" s="135"/>
      <c r="K87" s="135"/>
      <c r="L87" s="189"/>
      <c r="M87" s="135"/>
      <c r="N87" s="135"/>
      <c r="O87" s="135"/>
    </row>
    <row r="88" customFormat="false" ht="15.75" hidden="false" customHeight="true" outlineLevel="0" collapsed="false">
      <c r="A88" s="135"/>
      <c r="B88" s="135"/>
      <c r="C88" s="135"/>
      <c r="D88" s="135"/>
      <c r="E88" s="135"/>
      <c r="F88" s="189"/>
      <c r="G88" s="135"/>
      <c r="H88" s="135"/>
      <c r="I88" s="135"/>
      <c r="J88" s="135"/>
      <c r="K88" s="135"/>
      <c r="L88" s="189"/>
      <c r="M88" s="135"/>
      <c r="N88" s="135"/>
      <c r="O88" s="135"/>
    </row>
    <row r="89" customFormat="false" ht="15.75" hidden="false" customHeight="true" outlineLevel="0" collapsed="false">
      <c r="A89" s="135"/>
      <c r="B89" s="135"/>
      <c r="C89" s="135"/>
      <c r="D89" s="135"/>
      <c r="E89" s="135"/>
      <c r="F89" s="189"/>
      <c r="G89" s="135"/>
      <c r="H89" s="135"/>
      <c r="I89" s="135"/>
      <c r="J89" s="135"/>
      <c r="K89" s="135"/>
      <c r="L89" s="189"/>
      <c r="M89" s="135"/>
      <c r="N89" s="135"/>
      <c r="O89" s="135"/>
    </row>
    <row r="90" customFormat="false" ht="15.75" hidden="false" customHeight="true" outlineLevel="0" collapsed="false">
      <c r="A90" s="135"/>
      <c r="B90" s="135"/>
      <c r="C90" s="135"/>
      <c r="D90" s="135"/>
      <c r="E90" s="135"/>
      <c r="F90" s="189"/>
      <c r="G90" s="135"/>
      <c r="H90" s="135"/>
      <c r="I90" s="135"/>
      <c r="J90" s="135"/>
      <c r="K90" s="135"/>
      <c r="L90" s="189"/>
      <c r="M90" s="135"/>
      <c r="N90" s="135"/>
      <c r="O90" s="135"/>
    </row>
    <row r="91" customFormat="false" ht="15.75" hidden="false" customHeight="true" outlineLevel="0" collapsed="false">
      <c r="A91" s="135"/>
      <c r="B91" s="135"/>
      <c r="C91" s="135"/>
      <c r="D91" s="135"/>
      <c r="E91" s="135"/>
      <c r="F91" s="189"/>
      <c r="G91" s="135"/>
      <c r="H91" s="135"/>
      <c r="I91" s="135"/>
      <c r="J91" s="135"/>
      <c r="K91" s="135"/>
      <c r="L91" s="189"/>
      <c r="M91" s="135"/>
      <c r="N91" s="135"/>
      <c r="O91" s="135"/>
    </row>
    <row r="92" customFormat="false" ht="15.75" hidden="false" customHeight="true" outlineLevel="0" collapsed="false">
      <c r="A92" s="135"/>
      <c r="B92" s="135"/>
      <c r="C92" s="135"/>
      <c r="D92" s="135"/>
      <c r="E92" s="135"/>
      <c r="F92" s="189"/>
      <c r="G92" s="135"/>
      <c r="H92" s="135"/>
      <c r="I92" s="135"/>
      <c r="J92" s="135"/>
      <c r="K92" s="135"/>
      <c r="L92" s="189"/>
      <c r="M92" s="135"/>
      <c r="N92" s="135"/>
      <c r="O92" s="135"/>
    </row>
    <row r="93" customFormat="false" ht="15.75" hidden="false" customHeight="true" outlineLevel="0" collapsed="false">
      <c r="A93" s="135"/>
      <c r="B93" s="135"/>
      <c r="C93" s="135"/>
      <c r="D93" s="135"/>
      <c r="E93" s="135"/>
      <c r="F93" s="189"/>
      <c r="G93" s="135"/>
      <c r="H93" s="135"/>
      <c r="I93" s="135"/>
      <c r="J93" s="135"/>
      <c r="K93" s="135"/>
      <c r="L93" s="189"/>
      <c r="M93" s="135"/>
      <c r="N93" s="135"/>
      <c r="O93" s="135"/>
    </row>
    <row r="94" customFormat="false" ht="15.75" hidden="false" customHeight="true" outlineLevel="0" collapsed="false">
      <c r="A94" s="135"/>
      <c r="B94" s="135"/>
      <c r="C94" s="135"/>
      <c r="D94" s="135"/>
      <c r="E94" s="135"/>
      <c r="F94" s="189"/>
      <c r="G94" s="135"/>
      <c r="H94" s="135"/>
      <c r="I94" s="135"/>
      <c r="J94" s="135"/>
      <c r="K94" s="135"/>
      <c r="L94" s="189"/>
      <c r="M94" s="135"/>
      <c r="N94" s="135"/>
      <c r="O94" s="135"/>
    </row>
    <row r="95" customFormat="false" ht="15.75" hidden="false" customHeight="true" outlineLevel="0" collapsed="false">
      <c r="A95" s="135"/>
      <c r="B95" s="135"/>
      <c r="C95" s="135"/>
      <c r="D95" s="135"/>
      <c r="E95" s="135"/>
      <c r="F95" s="189"/>
      <c r="G95" s="135"/>
      <c r="H95" s="135"/>
      <c r="I95" s="135"/>
      <c r="J95" s="135"/>
      <c r="K95" s="135"/>
      <c r="L95" s="189"/>
      <c r="M95" s="135"/>
      <c r="N95" s="135"/>
      <c r="O95" s="135"/>
    </row>
    <row r="96" customFormat="false" ht="15.75" hidden="false" customHeight="true" outlineLevel="0" collapsed="false">
      <c r="A96" s="135"/>
      <c r="B96" s="135"/>
      <c r="C96" s="135"/>
      <c r="D96" s="135"/>
      <c r="E96" s="135"/>
      <c r="F96" s="189"/>
      <c r="G96" s="135"/>
      <c r="H96" s="135"/>
      <c r="I96" s="135"/>
      <c r="J96" s="135"/>
      <c r="K96" s="135"/>
      <c r="L96" s="189"/>
      <c r="M96" s="135"/>
      <c r="N96" s="135"/>
      <c r="O96" s="135"/>
    </row>
    <row r="97" customFormat="false" ht="15.75" hidden="false" customHeight="true" outlineLevel="0" collapsed="false">
      <c r="A97" s="135"/>
      <c r="B97" s="135"/>
      <c r="C97" s="135"/>
      <c r="D97" s="135"/>
      <c r="E97" s="135"/>
      <c r="F97" s="189"/>
      <c r="G97" s="135"/>
      <c r="H97" s="135"/>
      <c r="I97" s="135"/>
      <c r="J97" s="135"/>
      <c r="K97" s="135"/>
      <c r="L97" s="189"/>
      <c r="M97" s="135"/>
      <c r="N97" s="135"/>
      <c r="O97" s="135"/>
    </row>
    <row r="98" customFormat="false" ht="15.75" hidden="false" customHeight="true" outlineLevel="0" collapsed="false">
      <c r="A98" s="135"/>
      <c r="B98" s="135"/>
      <c r="C98" s="135"/>
      <c r="D98" s="135"/>
      <c r="E98" s="135"/>
      <c r="F98" s="189"/>
      <c r="G98" s="135"/>
      <c r="H98" s="135"/>
      <c r="I98" s="135"/>
      <c r="J98" s="135"/>
      <c r="K98" s="135"/>
      <c r="L98" s="189"/>
      <c r="M98" s="135"/>
      <c r="N98" s="135"/>
      <c r="O98" s="135"/>
    </row>
    <row r="99" customFormat="false" ht="15.75" hidden="false" customHeight="true" outlineLevel="0" collapsed="false">
      <c r="A99" s="135"/>
      <c r="B99" s="135"/>
      <c r="C99" s="135"/>
      <c r="D99" s="135"/>
      <c r="E99" s="135"/>
      <c r="F99" s="189"/>
      <c r="G99" s="135"/>
      <c r="H99" s="135"/>
      <c r="I99" s="135"/>
      <c r="J99" s="135"/>
      <c r="K99" s="135"/>
      <c r="L99" s="189"/>
      <c r="M99" s="135"/>
      <c r="N99" s="135"/>
      <c r="O99" s="135"/>
    </row>
    <row r="100" customFormat="false" ht="15.75" hidden="false" customHeight="true" outlineLevel="0" collapsed="false">
      <c r="A100" s="135"/>
      <c r="B100" s="135"/>
      <c r="C100" s="135"/>
      <c r="D100" s="135"/>
      <c r="E100" s="135"/>
      <c r="F100" s="189"/>
      <c r="G100" s="135"/>
      <c r="H100" s="135"/>
      <c r="I100" s="135"/>
      <c r="J100" s="135"/>
      <c r="K100" s="135"/>
      <c r="L100" s="189"/>
      <c r="M100" s="135"/>
      <c r="N100" s="135"/>
      <c r="O100" s="135"/>
    </row>
    <row r="101" customFormat="false" ht="15.75" hidden="false" customHeight="true" outlineLevel="0" collapsed="false">
      <c r="A101" s="135"/>
      <c r="B101" s="135"/>
      <c r="C101" s="135"/>
      <c r="D101" s="135"/>
      <c r="E101" s="135"/>
      <c r="F101" s="189"/>
      <c r="G101" s="135"/>
      <c r="H101" s="135"/>
      <c r="I101" s="135"/>
      <c r="J101" s="135"/>
      <c r="K101" s="135"/>
      <c r="L101" s="189"/>
      <c r="M101" s="135"/>
      <c r="N101" s="135"/>
      <c r="O101" s="135"/>
    </row>
    <row r="102" customFormat="false" ht="15.75" hidden="false" customHeight="true" outlineLevel="0" collapsed="false">
      <c r="A102" s="135"/>
      <c r="B102" s="135"/>
      <c r="C102" s="135"/>
      <c r="D102" s="135"/>
      <c r="E102" s="135"/>
      <c r="F102" s="189"/>
      <c r="G102" s="135"/>
      <c r="H102" s="135"/>
      <c r="I102" s="135"/>
      <c r="J102" s="135"/>
      <c r="K102" s="135"/>
      <c r="L102" s="189"/>
      <c r="M102" s="135"/>
      <c r="N102" s="135"/>
      <c r="O102" s="135"/>
    </row>
    <row r="103" customFormat="false" ht="15.75" hidden="false" customHeight="true" outlineLevel="0" collapsed="false">
      <c r="A103" s="135"/>
      <c r="B103" s="135"/>
      <c r="C103" s="135"/>
      <c r="D103" s="135"/>
      <c r="E103" s="135"/>
      <c r="F103" s="189"/>
      <c r="G103" s="135"/>
      <c r="H103" s="135"/>
      <c r="I103" s="135"/>
      <c r="J103" s="135"/>
      <c r="K103" s="135"/>
      <c r="L103" s="189"/>
      <c r="M103" s="135"/>
      <c r="N103" s="135"/>
      <c r="O103" s="135"/>
    </row>
    <row r="104" customFormat="false" ht="15.75" hidden="false" customHeight="true" outlineLevel="0" collapsed="false">
      <c r="A104" s="135"/>
      <c r="B104" s="135"/>
      <c r="C104" s="135"/>
      <c r="D104" s="135"/>
      <c r="E104" s="135"/>
      <c r="F104" s="189"/>
      <c r="G104" s="135"/>
      <c r="H104" s="135"/>
      <c r="I104" s="135"/>
      <c r="J104" s="135"/>
      <c r="K104" s="135"/>
      <c r="L104" s="189"/>
      <c r="M104" s="135"/>
      <c r="N104" s="135"/>
      <c r="O104" s="135"/>
    </row>
    <row r="105" customFormat="false" ht="15.75" hidden="false" customHeight="true" outlineLevel="0" collapsed="false">
      <c r="A105" s="135"/>
      <c r="B105" s="135"/>
      <c r="C105" s="135"/>
      <c r="D105" s="135"/>
      <c r="E105" s="135"/>
      <c r="F105" s="189"/>
      <c r="G105" s="135"/>
      <c r="H105" s="135"/>
      <c r="I105" s="135"/>
      <c r="J105" s="135"/>
      <c r="K105" s="135"/>
      <c r="L105" s="189"/>
      <c r="M105" s="135"/>
      <c r="N105" s="135"/>
      <c r="O105" s="135"/>
    </row>
    <row r="106" customFormat="false" ht="15.75" hidden="false" customHeight="true" outlineLevel="0" collapsed="false">
      <c r="A106" s="135"/>
      <c r="B106" s="135"/>
      <c r="C106" s="135"/>
      <c r="D106" s="135"/>
      <c r="E106" s="135"/>
      <c r="F106" s="189"/>
      <c r="G106" s="135"/>
      <c r="H106" s="135"/>
      <c r="I106" s="135"/>
      <c r="J106" s="135"/>
      <c r="K106" s="135"/>
      <c r="L106" s="189"/>
      <c r="M106" s="135"/>
      <c r="N106" s="135"/>
      <c r="O106" s="135"/>
    </row>
    <row r="107" customFormat="false" ht="15.75" hidden="false" customHeight="true" outlineLevel="0" collapsed="false">
      <c r="A107" s="135"/>
      <c r="B107" s="135"/>
      <c r="C107" s="135"/>
      <c r="D107" s="135"/>
      <c r="E107" s="135"/>
      <c r="F107" s="189"/>
      <c r="G107" s="135"/>
      <c r="H107" s="135"/>
      <c r="I107" s="135"/>
      <c r="J107" s="135"/>
      <c r="K107" s="135"/>
      <c r="L107" s="189"/>
      <c r="M107" s="135"/>
      <c r="N107" s="135"/>
      <c r="O107" s="135"/>
    </row>
    <row r="108" customFormat="false" ht="15.75" hidden="false" customHeight="true" outlineLevel="0" collapsed="false">
      <c r="A108" s="135"/>
      <c r="B108" s="135"/>
      <c r="C108" s="135"/>
      <c r="D108" s="135"/>
      <c r="E108" s="135"/>
      <c r="F108" s="189"/>
      <c r="G108" s="135"/>
      <c r="H108" s="135"/>
      <c r="I108" s="135"/>
      <c r="J108" s="135"/>
      <c r="K108" s="135"/>
      <c r="L108" s="189"/>
      <c r="M108" s="135"/>
      <c r="N108" s="135"/>
      <c r="O108" s="135"/>
    </row>
    <row r="109" customFormat="false" ht="15.75" hidden="false" customHeight="true" outlineLevel="0" collapsed="false">
      <c r="A109" s="135"/>
      <c r="B109" s="135"/>
      <c r="C109" s="135"/>
      <c r="D109" s="135"/>
      <c r="E109" s="135"/>
      <c r="F109" s="189"/>
      <c r="G109" s="135"/>
      <c r="H109" s="135"/>
      <c r="I109" s="135"/>
      <c r="J109" s="135"/>
      <c r="K109" s="135"/>
      <c r="L109" s="189"/>
      <c r="M109" s="135"/>
      <c r="N109" s="135"/>
      <c r="O109" s="135"/>
    </row>
    <row r="110" customFormat="false" ht="15.75" hidden="false" customHeight="true" outlineLevel="0" collapsed="false">
      <c r="A110" s="135"/>
      <c r="B110" s="135"/>
      <c r="C110" s="135"/>
      <c r="D110" s="135"/>
      <c r="E110" s="135"/>
      <c r="F110" s="189"/>
      <c r="G110" s="135"/>
      <c r="H110" s="135"/>
      <c r="I110" s="135"/>
      <c r="J110" s="135"/>
      <c r="K110" s="135"/>
      <c r="L110" s="189"/>
      <c r="M110" s="135"/>
      <c r="N110" s="135"/>
      <c r="O110" s="135"/>
    </row>
    <row r="111" customFormat="false" ht="15.75" hidden="false" customHeight="true" outlineLevel="0" collapsed="false">
      <c r="A111" s="135"/>
      <c r="B111" s="135"/>
      <c r="C111" s="135"/>
      <c r="D111" s="135"/>
      <c r="E111" s="135"/>
      <c r="F111" s="189"/>
      <c r="G111" s="135"/>
      <c r="H111" s="135"/>
      <c r="I111" s="135"/>
      <c r="J111" s="135"/>
      <c r="K111" s="135"/>
      <c r="L111" s="189"/>
      <c r="M111" s="135"/>
      <c r="N111" s="135"/>
      <c r="O111" s="135"/>
    </row>
    <row r="112" customFormat="false" ht="15.75" hidden="false" customHeight="true" outlineLevel="0" collapsed="false">
      <c r="A112" s="135"/>
      <c r="B112" s="135"/>
      <c r="C112" s="135"/>
      <c r="D112" s="135"/>
      <c r="E112" s="135"/>
      <c r="F112" s="189"/>
      <c r="G112" s="135"/>
      <c r="H112" s="135"/>
      <c r="I112" s="135"/>
      <c r="J112" s="135"/>
      <c r="K112" s="135"/>
      <c r="L112" s="189"/>
      <c r="M112" s="135"/>
      <c r="N112" s="135"/>
      <c r="O112" s="135"/>
    </row>
    <row r="113" customFormat="false" ht="15.75" hidden="false" customHeight="true" outlineLevel="0" collapsed="false">
      <c r="A113" s="135"/>
      <c r="B113" s="135"/>
      <c r="C113" s="135"/>
      <c r="D113" s="135"/>
      <c r="E113" s="135"/>
      <c r="F113" s="189"/>
      <c r="G113" s="135"/>
      <c r="H113" s="135"/>
      <c r="I113" s="135"/>
      <c r="J113" s="135"/>
      <c r="K113" s="135"/>
      <c r="L113" s="189"/>
      <c r="M113" s="135"/>
      <c r="N113" s="135"/>
      <c r="O113" s="135"/>
    </row>
    <row r="114" customFormat="false" ht="15.75" hidden="false" customHeight="true" outlineLevel="0" collapsed="false">
      <c r="A114" s="135"/>
      <c r="B114" s="135"/>
      <c r="C114" s="135"/>
      <c r="D114" s="135"/>
      <c r="E114" s="135"/>
      <c r="F114" s="189"/>
      <c r="G114" s="135"/>
      <c r="H114" s="135"/>
      <c r="I114" s="135"/>
      <c r="J114" s="135"/>
      <c r="K114" s="135"/>
      <c r="L114" s="189"/>
      <c r="M114" s="135"/>
      <c r="N114" s="135"/>
      <c r="O114" s="135"/>
    </row>
    <row r="115" customFormat="false" ht="15.75" hidden="false" customHeight="true" outlineLevel="0" collapsed="false">
      <c r="A115" s="135"/>
      <c r="B115" s="135"/>
      <c r="C115" s="135"/>
      <c r="D115" s="135"/>
      <c r="E115" s="135"/>
      <c r="F115" s="189"/>
      <c r="G115" s="135"/>
      <c r="H115" s="135"/>
      <c r="I115" s="135"/>
      <c r="J115" s="135"/>
      <c r="K115" s="135"/>
      <c r="L115" s="189"/>
      <c r="M115" s="135"/>
      <c r="N115" s="135"/>
      <c r="O115" s="135"/>
    </row>
    <row r="116" customFormat="false" ht="15.75" hidden="false" customHeight="true" outlineLevel="0" collapsed="false">
      <c r="A116" s="135"/>
      <c r="B116" s="135"/>
      <c r="C116" s="135"/>
      <c r="D116" s="135"/>
      <c r="E116" s="135"/>
      <c r="F116" s="189"/>
      <c r="G116" s="135"/>
      <c r="H116" s="135"/>
      <c r="I116" s="135"/>
      <c r="J116" s="135"/>
      <c r="K116" s="135"/>
      <c r="L116" s="189"/>
      <c r="M116" s="135"/>
      <c r="N116" s="135"/>
      <c r="O116" s="135"/>
    </row>
    <row r="117" customFormat="false" ht="15.75" hidden="false" customHeight="true" outlineLevel="0" collapsed="false">
      <c r="A117" s="135"/>
      <c r="B117" s="135"/>
      <c r="C117" s="135"/>
      <c r="D117" s="135"/>
      <c r="E117" s="135"/>
      <c r="F117" s="189"/>
      <c r="G117" s="135"/>
      <c r="H117" s="135"/>
      <c r="I117" s="135"/>
      <c r="J117" s="135"/>
      <c r="K117" s="135"/>
      <c r="L117" s="189"/>
      <c r="M117" s="135"/>
      <c r="N117" s="135"/>
      <c r="O117" s="135"/>
    </row>
    <row r="118" customFormat="false" ht="15.75" hidden="false" customHeight="true" outlineLevel="0" collapsed="false">
      <c r="A118" s="135"/>
      <c r="B118" s="135"/>
      <c r="C118" s="135"/>
      <c r="D118" s="135"/>
      <c r="E118" s="135"/>
      <c r="F118" s="189"/>
      <c r="G118" s="135"/>
      <c r="H118" s="135"/>
      <c r="I118" s="135"/>
      <c r="J118" s="135"/>
      <c r="K118" s="135"/>
      <c r="L118" s="189"/>
      <c r="M118" s="135"/>
      <c r="N118" s="135"/>
      <c r="O118" s="135"/>
    </row>
    <row r="119" customFormat="false" ht="15.75" hidden="false" customHeight="true" outlineLevel="0" collapsed="false">
      <c r="A119" s="135"/>
      <c r="B119" s="135"/>
      <c r="C119" s="135"/>
      <c r="D119" s="135"/>
      <c r="E119" s="135"/>
      <c r="F119" s="189"/>
      <c r="G119" s="135"/>
      <c r="H119" s="135"/>
      <c r="I119" s="135"/>
      <c r="J119" s="135"/>
      <c r="K119" s="135"/>
      <c r="L119" s="189"/>
      <c r="M119" s="135"/>
      <c r="N119" s="135"/>
      <c r="O119" s="135"/>
    </row>
    <row r="120" customFormat="false" ht="15.75" hidden="false" customHeight="true" outlineLevel="0" collapsed="false">
      <c r="A120" s="135"/>
      <c r="B120" s="135"/>
      <c r="C120" s="135"/>
      <c r="D120" s="135"/>
      <c r="E120" s="135"/>
      <c r="F120" s="189"/>
      <c r="G120" s="135"/>
      <c r="H120" s="135"/>
      <c r="I120" s="135"/>
      <c r="J120" s="135"/>
      <c r="K120" s="135"/>
      <c r="L120" s="189"/>
      <c r="M120" s="135"/>
      <c r="N120" s="135"/>
      <c r="O120" s="135"/>
    </row>
    <row r="121" customFormat="false" ht="15.75" hidden="false" customHeight="true" outlineLevel="0" collapsed="false">
      <c r="A121" s="135"/>
      <c r="B121" s="135"/>
      <c r="C121" s="135"/>
      <c r="D121" s="135"/>
      <c r="E121" s="135"/>
      <c r="F121" s="189"/>
      <c r="G121" s="135"/>
      <c r="H121" s="135"/>
      <c r="I121" s="135"/>
      <c r="J121" s="135"/>
      <c r="K121" s="135"/>
      <c r="L121" s="189"/>
      <c r="M121" s="135"/>
      <c r="N121" s="135"/>
      <c r="O121" s="135"/>
    </row>
    <row r="122" customFormat="false" ht="15.75" hidden="false" customHeight="true" outlineLevel="0" collapsed="false">
      <c r="A122" s="135"/>
      <c r="B122" s="135"/>
      <c r="C122" s="135"/>
      <c r="D122" s="135"/>
      <c r="E122" s="135"/>
      <c r="F122" s="189"/>
      <c r="G122" s="135"/>
      <c r="H122" s="135"/>
      <c r="I122" s="135"/>
      <c r="J122" s="135"/>
      <c r="K122" s="135"/>
      <c r="L122" s="189"/>
      <c r="M122" s="135"/>
      <c r="N122" s="135"/>
      <c r="O122" s="135"/>
    </row>
    <row r="123" customFormat="false" ht="15.75" hidden="false" customHeight="true" outlineLevel="0" collapsed="false">
      <c r="A123" s="135"/>
      <c r="B123" s="135"/>
      <c r="C123" s="135"/>
      <c r="D123" s="135"/>
      <c r="E123" s="135"/>
      <c r="F123" s="189"/>
      <c r="G123" s="135"/>
      <c r="H123" s="135"/>
      <c r="I123" s="135"/>
      <c r="J123" s="135"/>
      <c r="K123" s="135"/>
      <c r="L123" s="189"/>
      <c r="M123" s="135"/>
      <c r="N123" s="135"/>
      <c r="O123" s="135"/>
    </row>
    <row r="124" customFormat="false" ht="15.75" hidden="false" customHeight="true" outlineLevel="0" collapsed="false">
      <c r="A124" s="135"/>
      <c r="B124" s="135"/>
      <c r="C124" s="135"/>
      <c r="D124" s="135"/>
      <c r="E124" s="135"/>
      <c r="F124" s="189"/>
      <c r="G124" s="135"/>
      <c r="H124" s="135"/>
      <c r="I124" s="135"/>
      <c r="J124" s="135"/>
      <c r="K124" s="135"/>
      <c r="L124" s="189"/>
      <c r="M124" s="135"/>
      <c r="N124" s="135"/>
      <c r="O124" s="135"/>
    </row>
    <row r="125" customFormat="false" ht="15.75" hidden="false" customHeight="true" outlineLevel="0" collapsed="false">
      <c r="A125" s="135"/>
      <c r="B125" s="135"/>
      <c r="C125" s="135"/>
      <c r="D125" s="135"/>
      <c r="E125" s="135"/>
      <c r="F125" s="189"/>
      <c r="G125" s="135"/>
      <c r="H125" s="135"/>
      <c r="I125" s="135"/>
      <c r="J125" s="135"/>
      <c r="K125" s="135"/>
      <c r="L125" s="189"/>
      <c r="M125" s="135"/>
      <c r="N125" s="135"/>
      <c r="O125" s="135"/>
    </row>
    <row r="126" customFormat="false" ht="15.75" hidden="false" customHeight="true" outlineLevel="0" collapsed="false">
      <c r="A126" s="135"/>
      <c r="B126" s="135"/>
      <c r="C126" s="135"/>
      <c r="D126" s="135"/>
      <c r="E126" s="135"/>
      <c r="F126" s="189"/>
      <c r="G126" s="135"/>
      <c r="H126" s="135"/>
      <c r="I126" s="135"/>
      <c r="J126" s="135"/>
      <c r="K126" s="135"/>
      <c r="L126" s="189"/>
      <c r="M126" s="135"/>
      <c r="N126" s="135"/>
      <c r="O126" s="135"/>
    </row>
    <row r="127" customFormat="false" ht="15.75" hidden="false" customHeight="true" outlineLevel="0" collapsed="false">
      <c r="A127" s="135"/>
      <c r="B127" s="135"/>
      <c r="C127" s="135"/>
      <c r="D127" s="135"/>
      <c r="E127" s="135"/>
      <c r="F127" s="189"/>
      <c r="G127" s="135"/>
      <c r="H127" s="135"/>
      <c r="I127" s="135"/>
      <c r="J127" s="135"/>
      <c r="K127" s="135"/>
      <c r="L127" s="189"/>
      <c r="M127" s="135"/>
      <c r="N127" s="135"/>
      <c r="O127" s="135"/>
    </row>
    <row r="128" customFormat="false" ht="15.75" hidden="false" customHeight="true" outlineLevel="0" collapsed="false">
      <c r="A128" s="135"/>
      <c r="B128" s="135"/>
      <c r="C128" s="135"/>
      <c r="D128" s="135"/>
      <c r="E128" s="135"/>
      <c r="F128" s="189"/>
      <c r="G128" s="135"/>
      <c r="H128" s="135"/>
      <c r="I128" s="135"/>
      <c r="J128" s="135"/>
      <c r="K128" s="135"/>
      <c r="L128" s="189"/>
      <c r="M128" s="135"/>
      <c r="N128" s="135"/>
      <c r="O128" s="135"/>
    </row>
    <row r="129" customFormat="false" ht="15.75" hidden="false" customHeight="true" outlineLevel="0" collapsed="false">
      <c r="A129" s="135"/>
      <c r="B129" s="135"/>
      <c r="C129" s="135"/>
      <c r="D129" s="135"/>
      <c r="E129" s="135"/>
      <c r="F129" s="189"/>
      <c r="G129" s="135"/>
      <c r="H129" s="135"/>
      <c r="I129" s="135"/>
      <c r="J129" s="135"/>
      <c r="K129" s="135"/>
      <c r="L129" s="189"/>
      <c r="M129" s="135"/>
      <c r="N129" s="135"/>
      <c r="O129" s="135"/>
    </row>
    <row r="130" customFormat="false" ht="15.75" hidden="false" customHeight="true" outlineLevel="0" collapsed="false">
      <c r="A130" s="135"/>
      <c r="B130" s="135"/>
      <c r="C130" s="135"/>
      <c r="D130" s="135"/>
      <c r="E130" s="135"/>
      <c r="F130" s="189"/>
      <c r="G130" s="135"/>
      <c r="H130" s="135"/>
      <c r="I130" s="135"/>
      <c r="J130" s="135"/>
      <c r="K130" s="135"/>
      <c r="L130" s="189"/>
      <c r="M130" s="135"/>
      <c r="N130" s="135"/>
      <c r="O130" s="135"/>
    </row>
    <row r="131" customFormat="false" ht="15.75" hidden="false" customHeight="true" outlineLevel="0" collapsed="false">
      <c r="A131" s="135"/>
      <c r="B131" s="135"/>
      <c r="C131" s="135"/>
      <c r="D131" s="135"/>
      <c r="E131" s="135"/>
      <c r="F131" s="189"/>
      <c r="G131" s="135"/>
      <c r="H131" s="135"/>
      <c r="I131" s="135"/>
      <c r="J131" s="135"/>
      <c r="K131" s="135"/>
      <c r="L131" s="189"/>
      <c r="M131" s="135"/>
      <c r="N131" s="135"/>
      <c r="O131" s="135"/>
    </row>
    <row r="132" customFormat="false" ht="15.75" hidden="false" customHeight="true" outlineLevel="0" collapsed="false">
      <c r="A132" s="135"/>
      <c r="B132" s="135"/>
      <c r="C132" s="135"/>
      <c r="D132" s="135"/>
      <c r="E132" s="135"/>
      <c r="F132" s="189"/>
      <c r="G132" s="135"/>
      <c r="H132" s="135"/>
      <c r="I132" s="135"/>
      <c r="J132" s="135"/>
      <c r="K132" s="135"/>
      <c r="L132" s="189"/>
      <c r="M132" s="135"/>
      <c r="N132" s="135"/>
      <c r="O132" s="135"/>
    </row>
    <row r="133" customFormat="false" ht="15.75" hidden="false" customHeight="true" outlineLevel="0" collapsed="false">
      <c r="A133" s="135"/>
      <c r="B133" s="135"/>
      <c r="C133" s="135"/>
      <c r="D133" s="135"/>
      <c r="E133" s="135"/>
      <c r="F133" s="189"/>
      <c r="G133" s="135"/>
      <c r="H133" s="135"/>
      <c r="I133" s="135"/>
      <c r="J133" s="135"/>
      <c r="K133" s="135"/>
      <c r="L133" s="189"/>
      <c r="M133" s="135"/>
      <c r="N133" s="135"/>
      <c r="O133" s="135"/>
    </row>
    <row r="134" customFormat="false" ht="15.75" hidden="false" customHeight="true" outlineLevel="0" collapsed="false">
      <c r="A134" s="135"/>
      <c r="B134" s="135"/>
      <c r="C134" s="135"/>
      <c r="D134" s="135"/>
      <c r="E134" s="135"/>
      <c r="F134" s="189"/>
      <c r="G134" s="135"/>
      <c r="H134" s="135"/>
      <c r="I134" s="135"/>
      <c r="J134" s="135"/>
      <c r="K134" s="135"/>
      <c r="L134" s="189"/>
      <c r="M134" s="135"/>
      <c r="N134" s="135"/>
      <c r="O134" s="135"/>
    </row>
    <row r="135" customFormat="false" ht="15.75" hidden="false" customHeight="true" outlineLevel="0" collapsed="false">
      <c r="A135" s="135"/>
      <c r="B135" s="135"/>
      <c r="C135" s="135"/>
      <c r="D135" s="135"/>
      <c r="E135" s="135"/>
      <c r="F135" s="189"/>
      <c r="G135" s="135"/>
      <c r="H135" s="135"/>
      <c r="I135" s="135"/>
      <c r="J135" s="135"/>
      <c r="K135" s="135"/>
      <c r="L135" s="189"/>
      <c r="M135" s="135"/>
      <c r="N135" s="135"/>
      <c r="O135" s="135"/>
    </row>
    <row r="136" customFormat="false" ht="15.75" hidden="false" customHeight="true" outlineLevel="0" collapsed="false">
      <c r="A136" s="135"/>
      <c r="B136" s="135"/>
      <c r="C136" s="135"/>
      <c r="D136" s="135"/>
      <c r="E136" s="135"/>
      <c r="F136" s="189"/>
      <c r="G136" s="135"/>
      <c r="H136" s="135"/>
      <c r="I136" s="135"/>
      <c r="J136" s="135"/>
      <c r="K136" s="135"/>
      <c r="L136" s="189"/>
      <c r="M136" s="135"/>
      <c r="N136" s="135"/>
      <c r="O136" s="135"/>
    </row>
    <row r="137" customFormat="false" ht="15.75" hidden="false" customHeight="true" outlineLevel="0" collapsed="false">
      <c r="A137" s="135"/>
      <c r="B137" s="135"/>
      <c r="C137" s="135"/>
      <c r="D137" s="135"/>
      <c r="E137" s="135"/>
      <c r="F137" s="189"/>
      <c r="G137" s="135"/>
      <c r="H137" s="135"/>
      <c r="I137" s="135"/>
      <c r="J137" s="135"/>
      <c r="K137" s="135"/>
      <c r="L137" s="189"/>
      <c r="M137" s="135"/>
      <c r="N137" s="135"/>
      <c r="O137" s="135"/>
    </row>
    <row r="138" customFormat="false" ht="15.75" hidden="false" customHeight="true" outlineLevel="0" collapsed="false">
      <c r="A138" s="135"/>
      <c r="B138" s="135"/>
      <c r="C138" s="135"/>
      <c r="D138" s="135"/>
      <c r="E138" s="135"/>
      <c r="F138" s="189"/>
      <c r="G138" s="135"/>
      <c r="H138" s="135"/>
      <c r="I138" s="135"/>
      <c r="J138" s="135"/>
      <c r="K138" s="135"/>
      <c r="L138" s="189"/>
      <c r="M138" s="135"/>
      <c r="N138" s="135"/>
      <c r="O138" s="135"/>
    </row>
    <row r="139" customFormat="false" ht="15.75" hidden="false" customHeight="true" outlineLevel="0" collapsed="false">
      <c r="A139" s="135"/>
      <c r="B139" s="135"/>
      <c r="C139" s="135"/>
      <c r="D139" s="135"/>
      <c r="E139" s="135"/>
      <c r="F139" s="189"/>
      <c r="G139" s="135"/>
      <c r="H139" s="135"/>
      <c r="I139" s="135"/>
      <c r="J139" s="135"/>
      <c r="K139" s="135"/>
      <c r="L139" s="189"/>
      <c r="M139" s="135"/>
      <c r="N139" s="135"/>
      <c r="O139" s="135"/>
    </row>
    <row r="140" customFormat="false" ht="15.75" hidden="false" customHeight="true" outlineLevel="0" collapsed="false">
      <c r="A140" s="135"/>
      <c r="B140" s="135"/>
      <c r="C140" s="135"/>
      <c r="D140" s="135"/>
      <c r="E140" s="135"/>
      <c r="F140" s="189"/>
      <c r="G140" s="135"/>
      <c r="H140" s="135"/>
      <c r="I140" s="135"/>
      <c r="J140" s="135"/>
      <c r="K140" s="135"/>
      <c r="L140" s="189"/>
      <c r="M140" s="135"/>
      <c r="N140" s="135"/>
      <c r="O140" s="135"/>
    </row>
    <row r="141" customFormat="false" ht="15.75" hidden="false" customHeight="true" outlineLevel="0" collapsed="false">
      <c r="A141" s="135"/>
      <c r="B141" s="135"/>
      <c r="C141" s="135"/>
      <c r="D141" s="135"/>
      <c r="E141" s="135"/>
      <c r="F141" s="189"/>
      <c r="G141" s="135"/>
      <c r="H141" s="135"/>
      <c r="I141" s="135"/>
      <c r="J141" s="135"/>
      <c r="K141" s="135"/>
      <c r="L141" s="189"/>
      <c r="M141" s="135"/>
      <c r="N141" s="135"/>
      <c r="O141" s="135"/>
    </row>
    <row r="142" customFormat="false" ht="15.75" hidden="false" customHeight="true" outlineLevel="0" collapsed="false">
      <c r="A142" s="135"/>
      <c r="B142" s="135"/>
      <c r="C142" s="135"/>
      <c r="D142" s="135"/>
      <c r="E142" s="135"/>
      <c r="F142" s="189"/>
      <c r="G142" s="135"/>
      <c r="H142" s="135"/>
      <c r="I142" s="135"/>
      <c r="J142" s="135"/>
      <c r="K142" s="135"/>
      <c r="L142" s="189"/>
      <c r="M142" s="135"/>
      <c r="N142" s="135"/>
      <c r="O142" s="135"/>
    </row>
    <row r="143" customFormat="false" ht="15.75" hidden="false" customHeight="true" outlineLevel="0" collapsed="false">
      <c r="A143" s="135"/>
      <c r="B143" s="135"/>
      <c r="C143" s="135"/>
      <c r="D143" s="135"/>
      <c r="E143" s="135"/>
      <c r="F143" s="189"/>
      <c r="G143" s="135"/>
      <c r="H143" s="135"/>
      <c r="I143" s="135"/>
      <c r="J143" s="135"/>
      <c r="K143" s="135"/>
      <c r="L143" s="189"/>
      <c r="M143" s="135"/>
      <c r="N143" s="135"/>
      <c r="O143" s="135"/>
    </row>
    <row r="144" customFormat="false" ht="15.75" hidden="false" customHeight="true" outlineLevel="0" collapsed="false">
      <c r="A144" s="135"/>
      <c r="B144" s="135"/>
      <c r="C144" s="135"/>
      <c r="D144" s="135"/>
      <c r="E144" s="135"/>
      <c r="F144" s="189"/>
      <c r="G144" s="135"/>
      <c r="H144" s="135"/>
      <c r="I144" s="135"/>
      <c r="J144" s="135"/>
      <c r="K144" s="135"/>
      <c r="L144" s="189"/>
      <c r="M144" s="135"/>
      <c r="N144" s="135"/>
      <c r="O144" s="135"/>
    </row>
    <row r="145" customFormat="false" ht="15.75" hidden="false" customHeight="true" outlineLevel="0" collapsed="false">
      <c r="A145" s="135"/>
      <c r="B145" s="135"/>
      <c r="C145" s="135"/>
      <c r="D145" s="135"/>
      <c r="E145" s="135"/>
      <c r="F145" s="189"/>
      <c r="G145" s="135"/>
      <c r="H145" s="135"/>
      <c r="I145" s="135"/>
      <c r="J145" s="135"/>
      <c r="K145" s="135"/>
      <c r="L145" s="189"/>
      <c r="M145" s="135"/>
      <c r="N145" s="135"/>
      <c r="O145" s="135"/>
    </row>
    <row r="146" customFormat="false" ht="15.75" hidden="false" customHeight="true" outlineLevel="0" collapsed="false">
      <c r="A146" s="135"/>
      <c r="B146" s="135"/>
      <c r="C146" s="135"/>
      <c r="D146" s="135"/>
      <c r="E146" s="135"/>
      <c r="F146" s="189"/>
      <c r="G146" s="135"/>
      <c r="H146" s="135"/>
      <c r="I146" s="135"/>
      <c r="J146" s="135"/>
      <c r="K146" s="135"/>
      <c r="L146" s="189"/>
      <c r="M146" s="135"/>
      <c r="N146" s="135"/>
      <c r="O146" s="135"/>
    </row>
    <row r="147" customFormat="false" ht="15.75" hidden="false" customHeight="true" outlineLevel="0" collapsed="false">
      <c r="A147" s="135"/>
      <c r="B147" s="135"/>
      <c r="C147" s="135"/>
      <c r="D147" s="135"/>
      <c r="E147" s="135"/>
      <c r="F147" s="189"/>
      <c r="G147" s="135"/>
      <c r="H147" s="135"/>
      <c r="I147" s="135"/>
      <c r="J147" s="135"/>
      <c r="K147" s="135"/>
      <c r="L147" s="189"/>
      <c r="M147" s="135"/>
      <c r="N147" s="135"/>
      <c r="O147" s="135"/>
    </row>
    <row r="148" customFormat="false" ht="15.75" hidden="false" customHeight="true" outlineLevel="0" collapsed="false">
      <c r="A148" s="135"/>
      <c r="B148" s="135"/>
      <c r="C148" s="135"/>
      <c r="D148" s="135"/>
      <c r="E148" s="135"/>
      <c r="F148" s="189"/>
      <c r="G148" s="135"/>
      <c r="H148" s="135"/>
      <c r="I148" s="135"/>
      <c r="J148" s="135"/>
      <c r="K148" s="135"/>
      <c r="L148" s="189"/>
      <c r="M148" s="135"/>
      <c r="N148" s="135"/>
      <c r="O148" s="135"/>
    </row>
    <row r="149" customFormat="false" ht="15.75" hidden="false" customHeight="true" outlineLevel="0" collapsed="false">
      <c r="A149" s="135"/>
      <c r="B149" s="135"/>
      <c r="C149" s="135"/>
      <c r="D149" s="135"/>
      <c r="E149" s="135"/>
      <c r="F149" s="189"/>
      <c r="G149" s="135"/>
      <c r="H149" s="135"/>
      <c r="I149" s="135"/>
      <c r="J149" s="135"/>
      <c r="K149" s="135"/>
      <c r="L149" s="189"/>
      <c r="M149" s="135"/>
      <c r="N149" s="135"/>
      <c r="O149" s="135"/>
    </row>
    <row r="150" customFormat="false" ht="15.75" hidden="false" customHeight="true" outlineLevel="0" collapsed="false">
      <c r="A150" s="135"/>
      <c r="B150" s="135"/>
      <c r="C150" s="135"/>
      <c r="D150" s="135"/>
      <c r="E150" s="135"/>
      <c r="F150" s="189"/>
      <c r="G150" s="135"/>
      <c r="H150" s="135"/>
      <c r="I150" s="135"/>
      <c r="J150" s="135"/>
      <c r="K150" s="135"/>
      <c r="L150" s="189"/>
      <c r="M150" s="135"/>
      <c r="N150" s="135"/>
      <c r="O150" s="135"/>
    </row>
    <row r="151" customFormat="false" ht="15.75" hidden="false" customHeight="true" outlineLevel="0" collapsed="false">
      <c r="A151" s="135"/>
      <c r="B151" s="135"/>
      <c r="C151" s="135"/>
      <c r="D151" s="135"/>
      <c r="E151" s="135"/>
      <c r="F151" s="189"/>
      <c r="G151" s="135"/>
      <c r="H151" s="135"/>
      <c r="I151" s="135"/>
      <c r="J151" s="135"/>
      <c r="K151" s="135"/>
      <c r="L151" s="189"/>
      <c r="M151" s="135"/>
      <c r="N151" s="135"/>
      <c r="O151" s="135"/>
    </row>
    <row r="152" customFormat="false" ht="15.75" hidden="false" customHeight="true" outlineLevel="0" collapsed="false">
      <c r="A152" s="135"/>
      <c r="B152" s="135"/>
      <c r="C152" s="135"/>
      <c r="D152" s="135"/>
      <c r="E152" s="135"/>
      <c r="F152" s="189"/>
      <c r="G152" s="135"/>
      <c r="H152" s="135"/>
      <c r="I152" s="135"/>
      <c r="J152" s="135"/>
      <c r="K152" s="135"/>
      <c r="L152" s="189"/>
      <c r="M152" s="135"/>
      <c r="N152" s="135"/>
      <c r="O152" s="135"/>
    </row>
    <row r="153" customFormat="false" ht="15.75" hidden="false" customHeight="true" outlineLevel="0" collapsed="false">
      <c r="A153" s="135"/>
      <c r="B153" s="135"/>
      <c r="C153" s="135"/>
      <c r="D153" s="135"/>
      <c r="E153" s="135"/>
      <c r="F153" s="189"/>
      <c r="G153" s="135"/>
      <c r="H153" s="135"/>
      <c r="I153" s="135"/>
      <c r="J153" s="135"/>
      <c r="K153" s="135"/>
      <c r="L153" s="189"/>
      <c r="M153" s="135"/>
      <c r="N153" s="135"/>
      <c r="O153" s="135"/>
    </row>
    <row r="154" customFormat="false" ht="15.75" hidden="false" customHeight="true" outlineLevel="0" collapsed="false">
      <c r="A154" s="135"/>
      <c r="B154" s="135"/>
      <c r="C154" s="135"/>
      <c r="D154" s="135"/>
      <c r="E154" s="135"/>
      <c r="F154" s="189"/>
      <c r="G154" s="135"/>
      <c r="H154" s="135"/>
      <c r="I154" s="135"/>
      <c r="J154" s="135"/>
      <c r="K154" s="135"/>
      <c r="L154" s="189"/>
      <c r="M154" s="135"/>
      <c r="N154" s="135"/>
      <c r="O154" s="135"/>
    </row>
    <row r="155" customFormat="false" ht="15.75" hidden="false" customHeight="true" outlineLevel="0" collapsed="false">
      <c r="A155" s="135"/>
      <c r="B155" s="135"/>
      <c r="C155" s="135"/>
      <c r="D155" s="135"/>
      <c r="E155" s="135"/>
      <c r="F155" s="189"/>
      <c r="G155" s="135"/>
      <c r="H155" s="135"/>
      <c r="I155" s="135"/>
      <c r="J155" s="135"/>
      <c r="K155" s="135"/>
      <c r="L155" s="189"/>
      <c r="M155" s="135"/>
      <c r="N155" s="135"/>
      <c r="O155" s="135"/>
    </row>
    <row r="156" customFormat="false" ht="15.75" hidden="false" customHeight="true" outlineLevel="0" collapsed="false">
      <c r="A156" s="135"/>
      <c r="B156" s="135"/>
      <c r="C156" s="135"/>
      <c r="D156" s="135"/>
      <c r="E156" s="135"/>
      <c r="F156" s="189"/>
      <c r="G156" s="135"/>
      <c r="H156" s="135"/>
      <c r="I156" s="135"/>
      <c r="J156" s="135"/>
      <c r="K156" s="135"/>
      <c r="L156" s="189"/>
      <c r="M156" s="135"/>
      <c r="N156" s="135"/>
      <c r="O156" s="135"/>
    </row>
    <row r="157" customFormat="false" ht="15.75" hidden="false" customHeight="true" outlineLevel="0" collapsed="false">
      <c r="A157" s="135"/>
      <c r="B157" s="135"/>
      <c r="C157" s="135"/>
      <c r="D157" s="135"/>
      <c r="E157" s="135"/>
      <c r="F157" s="189"/>
      <c r="G157" s="135"/>
      <c r="H157" s="135"/>
      <c r="I157" s="135"/>
      <c r="J157" s="135"/>
      <c r="K157" s="135"/>
      <c r="L157" s="189"/>
      <c r="M157" s="135"/>
      <c r="N157" s="135"/>
      <c r="O157" s="135"/>
    </row>
    <row r="158" customFormat="false" ht="15.75" hidden="false" customHeight="true" outlineLevel="0" collapsed="false">
      <c r="A158" s="135"/>
      <c r="B158" s="135"/>
      <c r="C158" s="135"/>
      <c r="D158" s="135"/>
      <c r="E158" s="135"/>
      <c r="F158" s="189"/>
      <c r="G158" s="135"/>
      <c r="H158" s="135"/>
      <c r="I158" s="135"/>
      <c r="J158" s="135"/>
      <c r="K158" s="135"/>
      <c r="L158" s="189"/>
      <c r="M158" s="135"/>
      <c r="N158" s="135"/>
      <c r="O158" s="135"/>
    </row>
    <row r="159" customFormat="false" ht="15.75" hidden="false" customHeight="true" outlineLevel="0" collapsed="false">
      <c r="A159" s="135"/>
      <c r="B159" s="135"/>
      <c r="C159" s="135"/>
      <c r="D159" s="135"/>
      <c r="E159" s="135"/>
      <c r="F159" s="189"/>
      <c r="G159" s="135"/>
      <c r="H159" s="135"/>
      <c r="I159" s="135"/>
      <c r="J159" s="135"/>
      <c r="K159" s="135"/>
      <c r="L159" s="189"/>
      <c r="M159" s="135"/>
      <c r="N159" s="135"/>
      <c r="O159" s="135"/>
    </row>
    <row r="160" customFormat="false" ht="15.75" hidden="false" customHeight="true" outlineLevel="0" collapsed="false">
      <c r="A160" s="135"/>
      <c r="B160" s="135"/>
      <c r="C160" s="135"/>
      <c r="D160" s="135"/>
      <c r="E160" s="135"/>
      <c r="F160" s="189"/>
      <c r="G160" s="135"/>
      <c r="H160" s="135"/>
      <c r="I160" s="135"/>
      <c r="J160" s="135"/>
      <c r="K160" s="135"/>
      <c r="L160" s="189"/>
      <c r="M160" s="135"/>
      <c r="N160" s="135"/>
      <c r="O160" s="135"/>
    </row>
    <row r="161" customFormat="false" ht="15.75" hidden="false" customHeight="true" outlineLevel="0" collapsed="false">
      <c r="A161" s="135"/>
      <c r="B161" s="135"/>
      <c r="C161" s="135"/>
      <c r="D161" s="135"/>
      <c r="E161" s="135"/>
      <c r="F161" s="189"/>
      <c r="G161" s="135"/>
      <c r="H161" s="135"/>
      <c r="I161" s="135"/>
      <c r="J161" s="135"/>
      <c r="K161" s="135"/>
      <c r="L161" s="189"/>
      <c r="M161" s="135"/>
      <c r="N161" s="135"/>
      <c r="O161" s="135"/>
    </row>
    <row r="162" customFormat="false" ht="15.75" hidden="false" customHeight="true" outlineLevel="0" collapsed="false">
      <c r="A162" s="135"/>
      <c r="B162" s="135"/>
      <c r="C162" s="135"/>
      <c r="D162" s="135"/>
      <c r="E162" s="135"/>
      <c r="F162" s="189"/>
      <c r="G162" s="135"/>
      <c r="H162" s="135"/>
      <c r="I162" s="135"/>
      <c r="J162" s="135"/>
      <c r="K162" s="135"/>
      <c r="L162" s="189"/>
      <c r="M162" s="135"/>
      <c r="N162" s="135"/>
      <c r="O162" s="135"/>
    </row>
    <row r="163" customFormat="false" ht="15.75" hidden="false" customHeight="true" outlineLevel="0" collapsed="false">
      <c r="A163" s="135"/>
      <c r="B163" s="135"/>
      <c r="C163" s="135"/>
      <c r="D163" s="135"/>
      <c r="E163" s="135"/>
      <c r="F163" s="189"/>
      <c r="G163" s="135"/>
      <c r="H163" s="135"/>
      <c r="I163" s="135"/>
      <c r="J163" s="135"/>
      <c r="K163" s="135"/>
      <c r="L163" s="189"/>
      <c r="M163" s="135"/>
      <c r="N163" s="135"/>
      <c r="O163" s="135"/>
    </row>
    <row r="164" customFormat="false" ht="15.75" hidden="false" customHeight="true" outlineLevel="0" collapsed="false">
      <c r="A164" s="135"/>
      <c r="B164" s="135"/>
      <c r="C164" s="135"/>
      <c r="D164" s="135"/>
      <c r="E164" s="135"/>
      <c r="F164" s="189"/>
      <c r="G164" s="135"/>
      <c r="H164" s="135"/>
      <c r="I164" s="135"/>
      <c r="J164" s="135"/>
      <c r="K164" s="135"/>
      <c r="L164" s="189"/>
      <c r="M164" s="135"/>
      <c r="N164" s="135"/>
      <c r="O164" s="135"/>
    </row>
    <row r="165" customFormat="false" ht="15.75" hidden="false" customHeight="true" outlineLevel="0" collapsed="false">
      <c r="A165" s="135"/>
      <c r="B165" s="135"/>
      <c r="C165" s="135"/>
      <c r="D165" s="135"/>
      <c r="E165" s="135"/>
      <c r="F165" s="189"/>
      <c r="G165" s="135"/>
      <c r="H165" s="135"/>
      <c r="I165" s="135"/>
      <c r="J165" s="135"/>
      <c r="K165" s="135"/>
      <c r="L165" s="189"/>
      <c r="M165" s="135"/>
      <c r="N165" s="135"/>
      <c r="O165" s="135"/>
    </row>
    <row r="166" customFormat="false" ht="15.75" hidden="false" customHeight="true" outlineLevel="0" collapsed="false">
      <c r="A166" s="135"/>
      <c r="B166" s="135"/>
      <c r="C166" s="135"/>
      <c r="D166" s="135"/>
      <c r="E166" s="135"/>
      <c r="F166" s="189"/>
      <c r="G166" s="135"/>
      <c r="H166" s="135"/>
      <c r="I166" s="135"/>
      <c r="J166" s="135"/>
      <c r="K166" s="135"/>
      <c r="L166" s="189"/>
      <c r="M166" s="135"/>
      <c r="N166" s="135"/>
      <c r="O166" s="135"/>
    </row>
    <row r="167" customFormat="false" ht="15.75" hidden="false" customHeight="true" outlineLevel="0" collapsed="false">
      <c r="A167" s="135"/>
      <c r="B167" s="135"/>
      <c r="C167" s="135"/>
      <c r="D167" s="135"/>
      <c r="E167" s="135"/>
      <c r="F167" s="189"/>
      <c r="G167" s="135"/>
      <c r="H167" s="135"/>
      <c r="I167" s="135"/>
      <c r="J167" s="135"/>
      <c r="K167" s="135"/>
      <c r="L167" s="189"/>
      <c r="M167" s="135"/>
      <c r="N167" s="135"/>
      <c r="O167" s="135"/>
    </row>
    <row r="168" customFormat="false" ht="15.75" hidden="false" customHeight="true" outlineLevel="0" collapsed="false">
      <c r="A168" s="135"/>
      <c r="B168" s="135"/>
      <c r="C168" s="135"/>
      <c r="D168" s="135"/>
      <c r="E168" s="135"/>
      <c r="F168" s="189"/>
      <c r="G168" s="135"/>
      <c r="H168" s="135"/>
      <c r="I168" s="135"/>
      <c r="J168" s="135"/>
      <c r="K168" s="135"/>
      <c r="L168" s="189"/>
      <c r="M168" s="135"/>
      <c r="N168" s="135"/>
      <c r="O168" s="135"/>
    </row>
    <row r="169" customFormat="false" ht="15.75" hidden="false" customHeight="true" outlineLevel="0" collapsed="false">
      <c r="A169" s="135"/>
      <c r="B169" s="135"/>
      <c r="C169" s="135"/>
      <c r="D169" s="135"/>
      <c r="E169" s="135"/>
      <c r="F169" s="189"/>
      <c r="G169" s="135"/>
      <c r="H169" s="135"/>
      <c r="I169" s="135"/>
      <c r="J169" s="135"/>
      <c r="K169" s="135"/>
      <c r="L169" s="189"/>
      <c r="M169" s="135"/>
      <c r="N169" s="135"/>
      <c r="O169" s="135"/>
    </row>
    <row r="170" customFormat="false" ht="15.75" hidden="false" customHeight="true" outlineLevel="0" collapsed="false">
      <c r="A170" s="135"/>
      <c r="B170" s="135"/>
      <c r="C170" s="135"/>
      <c r="D170" s="135"/>
      <c r="E170" s="135"/>
      <c r="F170" s="189"/>
      <c r="G170" s="135"/>
      <c r="H170" s="135"/>
      <c r="I170" s="135"/>
      <c r="J170" s="135"/>
      <c r="K170" s="135"/>
      <c r="L170" s="189"/>
      <c r="M170" s="135"/>
      <c r="N170" s="135"/>
      <c r="O170" s="135"/>
    </row>
    <row r="171" customFormat="false" ht="15.75" hidden="false" customHeight="true" outlineLevel="0" collapsed="false">
      <c r="A171" s="135"/>
      <c r="B171" s="135"/>
      <c r="C171" s="135"/>
      <c r="D171" s="135"/>
      <c r="E171" s="135"/>
      <c r="F171" s="189"/>
      <c r="G171" s="135"/>
      <c r="H171" s="135"/>
      <c r="I171" s="135"/>
      <c r="J171" s="135"/>
      <c r="K171" s="135"/>
      <c r="L171" s="189"/>
      <c r="M171" s="135"/>
      <c r="N171" s="135"/>
      <c r="O171" s="135"/>
    </row>
    <row r="172" customFormat="false" ht="15.75" hidden="false" customHeight="true" outlineLevel="0" collapsed="false">
      <c r="A172" s="135"/>
      <c r="B172" s="135"/>
      <c r="C172" s="135"/>
      <c r="D172" s="135"/>
      <c r="E172" s="135"/>
      <c r="F172" s="189"/>
      <c r="G172" s="135"/>
      <c r="H172" s="135"/>
      <c r="I172" s="135"/>
      <c r="J172" s="135"/>
      <c r="K172" s="135"/>
      <c r="L172" s="189"/>
      <c r="M172" s="135"/>
      <c r="N172" s="135"/>
      <c r="O172" s="135"/>
    </row>
    <row r="173" customFormat="false" ht="15.75" hidden="false" customHeight="true" outlineLevel="0" collapsed="false">
      <c r="A173" s="135"/>
      <c r="B173" s="135"/>
      <c r="C173" s="135"/>
      <c r="D173" s="135"/>
      <c r="E173" s="135"/>
      <c r="F173" s="189"/>
      <c r="G173" s="135"/>
      <c r="H173" s="135"/>
      <c r="I173" s="135"/>
      <c r="J173" s="135"/>
      <c r="K173" s="135"/>
      <c r="L173" s="189"/>
      <c r="M173" s="135"/>
      <c r="N173" s="135"/>
      <c r="O173" s="135"/>
    </row>
    <row r="174" customFormat="false" ht="15.75" hidden="false" customHeight="true" outlineLevel="0" collapsed="false">
      <c r="A174" s="135"/>
      <c r="B174" s="135"/>
      <c r="C174" s="135"/>
      <c r="D174" s="135"/>
      <c r="E174" s="135"/>
      <c r="F174" s="189"/>
      <c r="G174" s="135"/>
      <c r="H174" s="135"/>
      <c r="I174" s="135"/>
      <c r="J174" s="135"/>
      <c r="K174" s="135"/>
      <c r="L174" s="189"/>
      <c r="M174" s="135"/>
      <c r="N174" s="135"/>
      <c r="O174" s="135"/>
    </row>
    <row r="175" customFormat="false" ht="15.75" hidden="false" customHeight="true" outlineLevel="0" collapsed="false">
      <c r="A175" s="135"/>
      <c r="B175" s="135"/>
      <c r="C175" s="135"/>
      <c r="D175" s="135"/>
      <c r="E175" s="135"/>
      <c r="F175" s="189"/>
      <c r="G175" s="135"/>
      <c r="H175" s="135"/>
      <c r="I175" s="135"/>
      <c r="J175" s="135"/>
      <c r="K175" s="135"/>
      <c r="L175" s="189"/>
      <c r="M175" s="135"/>
      <c r="N175" s="135"/>
      <c r="O175" s="135"/>
    </row>
    <row r="176" customFormat="false" ht="15.75" hidden="false" customHeight="true" outlineLevel="0" collapsed="false">
      <c r="A176" s="135"/>
      <c r="B176" s="135"/>
      <c r="C176" s="135"/>
      <c r="D176" s="135"/>
      <c r="E176" s="135"/>
      <c r="F176" s="189"/>
      <c r="G176" s="135"/>
      <c r="H176" s="135"/>
      <c r="I176" s="135"/>
      <c r="J176" s="135"/>
      <c r="K176" s="135"/>
      <c r="L176" s="189"/>
      <c r="M176" s="135"/>
      <c r="N176" s="135"/>
      <c r="O176" s="135"/>
    </row>
    <row r="177" customFormat="false" ht="15.75" hidden="false" customHeight="true" outlineLevel="0" collapsed="false">
      <c r="A177" s="135"/>
      <c r="B177" s="135"/>
      <c r="C177" s="135"/>
      <c r="D177" s="135"/>
      <c r="E177" s="135"/>
      <c r="F177" s="189"/>
      <c r="G177" s="135"/>
      <c r="H177" s="135"/>
      <c r="I177" s="135"/>
      <c r="J177" s="135"/>
      <c r="K177" s="135"/>
      <c r="L177" s="189"/>
      <c r="M177" s="135"/>
      <c r="N177" s="135"/>
      <c r="O177" s="135"/>
    </row>
    <row r="178" customFormat="false" ht="15.75" hidden="false" customHeight="true" outlineLevel="0" collapsed="false">
      <c r="A178" s="135"/>
      <c r="B178" s="135"/>
      <c r="C178" s="135"/>
      <c r="D178" s="135"/>
      <c r="E178" s="135"/>
      <c r="F178" s="189"/>
      <c r="G178" s="135"/>
      <c r="H178" s="135"/>
      <c r="I178" s="135"/>
      <c r="J178" s="135"/>
      <c r="K178" s="135"/>
      <c r="L178" s="189"/>
      <c r="M178" s="135"/>
      <c r="N178" s="135"/>
      <c r="O178" s="135"/>
    </row>
    <row r="179" customFormat="false" ht="15.75" hidden="false" customHeight="true" outlineLevel="0" collapsed="false">
      <c r="A179" s="135"/>
      <c r="B179" s="135"/>
      <c r="C179" s="135"/>
      <c r="D179" s="135"/>
      <c r="E179" s="135"/>
      <c r="F179" s="189"/>
      <c r="G179" s="135"/>
      <c r="H179" s="135"/>
      <c r="I179" s="135"/>
      <c r="J179" s="135"/>
      <c r="K179" s="135"/>
      <c r="L179" s="189"/>
      <c r="M179" s="135"/>
      <c r="N179" s="135"/>
      <c r="O179" s="135"/>
    </row>
    <row r="180" customFormat="false" ht="15.75" hidden="false" customHeight="true" outlineLevel="0" collapsed="false">
      <c r="A180" s="135"/>
      <c r="B180" s="135"/>
      <c r="C180" s="135"/>
      <c r="D180" s="135"/>
      <c r="E180" s="135"/>
      <c r="F180" s="189"/>
      <c r="G180" s="135"/>
      <c r="H180" s="135"/>
      <c r="I180" s="135"/>
      <c r="J180" s="135"/>
      <c r="K180" s="135"/>
      <c r="L180" s="189"/>
      <c r="M180" s="135"/>
      <c r="N180" s="135"/>
      <c r="O180" s="135"/>
    </row>
    <row r="181" customFormat="false" ht="15.75" hidden="false" customHeight="true" outlineLevel="0" collapsed="false">
      <c r="A181" s="135"/>
      <c r="B181" s="135"/>
      <c r="C181" s="135"/>
      <c r="D181" s="135"/>
      <c r="E181" s="135"/>
      <c r="F181" s="189"/>
      <c r="G181" s="135"/>
      <c r="H181" s="135"/>
      <c r="I181" s="135"/>
      <c r="J181" s="135"/>
      <c r="K181" s="135"/>
      <c r="L181" s="189"/>
      <c r="M181" s="135"/>
      <c r="N181" s="135"/>
      <c r="O181" s="135"/>
    </row>
    <row r="182" customFormat="false" ht="15.75" hidden="false" customHeight="true" outlineLevel="0" collapsed="false">
      <c r="A182" s="135"/>
      <c r="B182" s="135"/>
      <c r="C182" s="135"/>
      <c r="D182" s="135"/>
      <c r="E182" s="135"/>
      <c r="F182" s="189"/>
      <c r="G182" s="135"/>
      <c r="H182" s="135"/>
      <c r="I182" s="135"/>
      <c r="J182" s="135"/>
      <c r="K182" s="135"/>
      <c r="L182" s="189"/>
      <c r="M182" s="135"/>
      <c r="N182" s="135"/>
      <c r="O182" s="135"/>
    </row>
    <row r="183" customFormat="false" ht="15.75" hidden="false" customHeight="true" outlineLevel="0" collapsed="false">
      <c r="A183" s="135"/>
      <c r="B183" s="135"/>
      <c r="C183" s="135"/>
      <c r="D183" s="135"/>
      <c r="E183" s="135"/>
      <c r="F183" s="189"/>
      <c r="G183" s="135"/>
      <c r="H183" s="135"/>
      <c r="I183" s="135"/>
      <c r="J183" s="135"/>
      <c r="K183" s="135"/>
      <c r="L183" s="189"/>
      <c r="M183" s="135"/>
      <c r="N183" s="135"/>
      <c r="O183" s="135"/>
    </row>
    <row r="184" customFormat="false" ht="15.75" hidden="false" customHeight="true" outlineLevel="0" collapsed="false">
      <c r="A184" s="135"/>
      <c r="B184" s="135"/>
      <c r="C184" s="135"/>
      <c r="D184" s="135"/>
      <c r="E184" s="135"/>
      <c r="F184" s="189"/>
      <c r="G184" s="135"/>
      <c r="H184" s="135"/>
      <c r="I184" s="135"/>
      <c r="J184" s="135"/>
      <c r="K184" s="135"/>
      <c r="L184" s="189"/>
      <c r="M184" s="135"/>
      <c r="N184" s="135"/>
      <c r="O184" s="135"/>
    </row>
    <row r="185" customFormat="false" ht="15.75" hidden="false" customHeight="true" outlineLevel="0" collapsed="false">
      <c r="A185" s="135"/>
      <c r="B185" s="135"/>
      <c r="C185" s="135"/>
      <c r="D185" s="135"/>
      <c r="E185" s="135"/>
      <c r="F185" s="189"/>
      <c r="G185" s="135"/>
      <c r="H185" s="135"/>
      <c r="I185" s="135"/>
      <c r="J185" s="135"/>
      <c r="K185" s="135"/>
      <c r="L185" s="189"/>
      <c r="M185" s="135"/>
      <c r="N185" s="135"/>
      <c r="O185" s="135"/>
    </row>
    <row r="186" customFormat="false" ht="15.75" hidden="false" customHeight="true" outlineLevel="0" collapsed="false">
      <c r="A186" s="135"/>
      <c r="B186" s="135"/>
      <c r="C186" s="135"/>
      <c r="D186" s="135"/>
      <c r="E186" s="135"/>
      <c r="F186" s="189"/>
      <c r="G186" s="135"/>
      <c r="H186" s="135"/>
      <c r="I186" s="135"/>
      <c r="J186" s="135"/>
      <c r="K186" s="135"/>
      <c r="L186" s="189"/>
      <c r="M186" s="135"/>
      <c r="N186" s="135"/>
      <c r="O186" s="135"/>
    </row>
    <row r="187" customFormat="false" ht="15.75" hidden="false" customHeight="true" outlineLevel="0" collapsed="false">
      <c r="A187" s="135"/>
      <c r="B187" s="135"/>
      <c r="C187" s="135"/>
      <c r="D187" s="135"/>
      <c r="E187" s="135"/>
      <c r="F187" s="189"/>
      <c r="G187" s="135"/>
      <c r="H187" s="135"/>
      <c r="I187" s="135"/>
      <c r="J187" s="135"/>
      <c r="K187" s="135"/>
      <c r="L187" s="189"/>
      <c r="M187" s="135"/>
      <c r="N187" s="135"/>
      <c r="O187" s="135"/>
    </row>
    <row r="188" customFormat="false" ht="15.75" hidden="false" customHeight="true" outlineLevel="0" collapsed="false">
      <c r="A188" s="135"/>
      <c r="B188" s="135"/>
      <c r="C188" s="135"/>
      <c r="D188" s="135"/>
      <c r="E188" s="135"/>
      <c r="F188" s="189"/>
      <c r="G188" s="135"/>
      <c r="H188" s="135"/>
      <c r="I188" s="135"/>
      <c r="J188" s="135"/>
      <c r="K188" s="135"/>
      <c r="L188" s="189"/>
      <c r="M188" s="135"/>
      <c r="N188" s="135"/>
      <c r="O188" s="135"/>
    </row>
    <row r="189" customFormat="false" ht="15.75" hidden="false" customHeight="true" outlineLevel="0" collapsed="false">
      <c r="A189" s="135"/>
      <c r="B189" s="135"/>
      <c r="C189" s="135"/>
      <c r="D189" s="135"/>
      <c r="E189" s="135"/>
      <c r="F189" s="189"/>
      <c r="G189" s="135"/>
      <c r="H189" s="135"/>
      <c r="I189" s="135"/>
      <c r="J189" s="135"/>
      <c r="K189" s="135"/>
      <c r="L189" s="189"/>
      <c r="M189" s="135"/>
      <c r="N189" s="135"/>
      <c r="O189" s="135"/>
    </row>
    <row r="190" customFormat="false" ht="15.75" hidden="false" customHeight="true" outlineLevel="0" collapsed="false">
      <c r="A190" s="135"/>
      <c r="B190" s="135"/>
      <c r="C190" s="135"/>
      <c r="D190" s="135"/>
      <c r="E190" s="135"/>
      <c r="F190" s="189"/>
      <c r="G190" s="135"/>
      <c r="H190" s="135"/>
      <c r="I190" s="135"/>
      <c r="J190" s="135"/>
      <c r="K190" s="135"/>
      <c r="L190" s="189"/>
      <c r="M190" s="135"/>
      <c r="N190" s="135"/>
      <c r="O190" s="135"/>
    </row>
    <row r="191" customFormat="false" ht="15.75" hidden="false" customHeight="true" outlineLevel="0" collapsed="false">
      <c r="A191" s="135"/>
      <c r="B191" s="135"/>
      <c r="C191" s="135"/>
      <c r="D191" s="135"/>
      <c r="E191" s="135"/>
      <c r="F191" s="189"/>
      <c r="G191" s="135"/>
      <c r="H191" s="135"/>
      <c r="I191" s="135"/>
      <c r="J191" s="135"/>
      <c r="K191" s="135"/>
      <c r="L191" s="189"/>
      <c r="M191" s="135"/>
      <c r="N191" s="135"/>
      <c r="O191" s="135"/>
    </row>
    <row r="192" customFormat="false" ht="15.75" hidden="false" customHeight="true" outlineLevel="0" collapsed="false">
      <c r="A192" s="135"/>
      <c r="B192" s="135"/>
      <c r="C192" s="135"/>
      <c r="D192" s="135"/>
      <c r="E192" s="135"/>
      <c r="F192" s="189"/>
      <c r="G192" s="135"/>
      <c r="H192" s="135"/>
      <c r="I192" s="135"/>
      <c r="J192" s="135"/>
      <c r="K192" s="135"/>
      <c r="L192" s="189"/>
      <c r="M192" s="135"/>
      <c r="N192" s="135"/>
      <c r="O192" s="135"/>
    </row>
    <row r="193" customFormat="false" ht="15.75" hidden="false" customHeight="true" outlineLevel="0" collapsed="false">
      <c r="A193" s="135"/>
      <c r="B193" s="135"/>
      <c r="C193" s="135"/>
      <c r="D193" s="135"/>
      <c r="E193" s="135"/>
      <c r="F193" s="189"/>
      <c r="G193" s="135"/>
      <c r="H193" s="135"/>
      <c r="I193" s="135"/>
      <c r="J193" s="135"/>
      <c r="K193" s="135"/>
      <c r="L193" s="189"/>
      <c r="M193" s="135"/>
      <c r="N193" s="135"/>
      <c r="O193" s="135"/>
    </row>
    <row r="194" customFormat="false" ht="15.75" hidden="false" customHeight="true" outlineLevel="0" collapsed="false">
      <c r="A194" s="135"/>
      <c r="B194" s="135"/>
      <c r="C194" s="135"/>
      <c r="D194" s="135"/>
      <c r="E194" s="135"/>
      <c r="F194" s="189"/>
      <c r="G194" s="135"/>
      <c r="H194" s="135"/>
      <c r="I194" s="135"/>
      <c r="J194" s="135"/>
      <c r="K194" s="135"/>
      <c r="L194" s="189"/>
      <c r="M194" s="135"/>
      <c r="N194" s="135"/>
      <c r="O194" s="135"/>
    </row>
    <row r="195" customFormat="false" ht="15.75" hidden="false" customHeight="true" outlineLevel="0" collapsed="false">
      <c r="A195" s="135"/>
      <c r="B195" s="135"/>
      <c r="C195" s="135"/>
      <c r="D195" s="135"/>
      <c r="E195" s="135"/>
      <c r="F195" s="189"/>
      <c r="G195" s="135"/>
      <c r="H195" s="135"/>
      <c r="I195" s="135"/>
      <c r="J195" s="135"/>
      <c r="K195" s="135"/>
      <c r="L195" s="189"/>
      <c r="M195" s="135"/>
      <c r="N195" s="135"/>
      <c r="O195" s="135"/>
    </row>
    <row r="196" customFormat="false" ht="15.75" hidden="false" customHeight="true" outlineLevel="0" collapsed="false">
      <c r="A196" s="135"/>
      <c r="B196" s="135"/>
      <c r="C196" s="135"/>
      <c r="D196" s="135"/>
      <c r="E196" s="135"/>
      <c r="F196" s="189"/>
      <c r="G196" s="135"/>
      <c r="H196" s="135"/>
      <c r="I196" s="135"/>
      <c r="J196" s="135"/>
      <c r="K196" s="135"/>
      <c r="L196" s="189"/>
      <c r="M196" s="135"/>
      <c r="N196" s="135"/>
      <c r="O196" s="135"/>
    </row>
    <row r="197" customFormat="false" ht="15.75" hidden="false" customHeight="true" outlineLevel="0" collapsed="false">
      <c r="A197" s="135"/>
      <c r="B197" s="135"/>
      <c r="C197" s="135"/>
      <c r="D197" s="135"/>
      <c r="E197" s="135"/>
      <c r="F197" s="189"/>
      <c r="G197" s="135"/>
      <c r="H197" s="135"/>
      <c r="I197" s="135"/>
      <c r="J197" s="135"/>
      <c r="K197" s="135"/>
      <c r="L197" s="189"/>
      <c r="M197" s="135"/>
      <c r="N197" s="135"/>
      <c r="O197" s="135"/>
    </row>
    <row r="198" customFormat="false" ht="15.75" hidden="false" customHeight="true" outlineLevel="0" collapsed="false">
      <c r="A198" s="135"/>
      <c r="B198" s="135"/>
      <c r="C198" s="135"/>
      <c r="D198" s="135"/>
      <c r="E198" s="135"/>
      <c r="F198" s="189"/>
      <c r="G198" s="135"/>
      <c r="H198" s="135"/>
      <c r="I198" s="135"/>
      <c r="J198" s="135"/>
      <c r="K198" s="135"/>
      <c r="L198" s="189"/>
      <c r="M198" s="135"/>
      <c r="N198" s="135"/>
      <c r="O198" s="135"/>
    </row>
    <row r="199" customFormat="false" ht="15.75" hidden="false" customHeight="true" outlineLevel="0" collapsed="false">
      <c r="A199" s="135"/>
      <c r="B199" s="135"/>
      <c r="C199" s="135"/>
      <c r="D199" s="135"/>
      <c r="E199" s="135"/>
      <c r="F199" s="189"/>
      <c r="G199" s="135"/>
      <c r="H199" s="135"/>
      <c r="I199" s="135"/>
      <c r="J199" s="135"/>
      <c r="K199" s="135"/>
      <c r="L199" s="189"/>
      <c r="M199" s="135"/>
      <c r="N199" s="135"/>
      <c r="O199" s="135"/>
    </row>
    <row r="200" customFormat="false" ht="15.75" hidden="false" customHeight="true" outlineLevel="0" collapsed="false">
      <c r="A200" s="135"/>
      <c r="B200" s="135"/>
      <c r="C200" s="135"/>
      <c r="D200" s="135"/>
      <c r="E200" s="135"/>
      <c r="F200" s="189"/>
      <c r="G200" s="135"/>
      <c r="H200" s="135"/>
      <c r="I200" s="135"/>
      <c r="J200" s="135"/>
      <c r="K200" s="135"/>
      <c r="L200" s="189"/>
      <c r="M200" s="135"/>
      <c r="N200" s="135"/>
      <c r="O200" s="135"/>
    </row>
    <row r="201" customFormat="false" ht="15.75" hidden="false" customHeight="true" outlineLevel="0" collapsed="false">
      <c r="A201" s="135"/>
      <c r="B201" s="135"/>
      <c r="C201" s="135"/>
      <c r="D201" s="135"/>
      <c r="E201" s="135"/>
      <c r="F201" s="189"/>
      <c r="G201" s="135"/>
      <c r="H201" s="135"/>
      <c r="I201" s="135"/>
      <c r="J201" s="135"/>
      <c r="K201" s="135"/>
      <c r="L201" s="189"/>
      <c r="M201" s="135"/>
      <c r="N201" s="135"/>
      <c r="O201" s="135"/>
    </row>
    <row r="202" customFormat="false" ht="15.75" hidden="false" customHeight="true" outlineLevel="0" collapsed="false">
      <c r="A202" s="135"/>
      <c r="B202" s="135"/>
      <c r="C202" s="135"/>
      <c r="D202" s="135"/>
      <c r="E202" s="135"/>
      <c r="F202" s="189"/>
      <c r="G202" s="135"/>
      <c r="H202" s="135"/>
      <c r="I202" s="135"/>
      <c r="J202" s="135"/>
      <c r="K202" s="135"/>
      <c r="L202" s="189"/>
      <c r="M202" s="135"/>
      <c r="N202" s="135"/>
      <c r="O202" s="135"/>
    </row>
    <row r="203" customFormat="false" ht="15.75" hidden="false" customHeight="true" outlineLevel="0" collapsed="false">
      <c r="A203" s="135"/>
      <c r="B203" s="135"/>
      <c r="C203" s="135"/>
      <c r="D203" s="135"/>
      <c r="E203" s="135"/>
      <c r="F203" s="189"/>
      <c r="G203" s="135"/>
      <c r="H203" s="135"/>
      <c r="I203" s="135"/>
      <c r="J203" s="135"/>
      <c r="K203" s="135"/>
      <c r="L203" s="189"/>
      <c r="M203" s="135"/>
      <c r="N203" s="135"/>
      <c r="O203" s="135"/>
    </row>
    <row r="204" customFormat="false" ht="15.75" hidden="false" customHeight="true" outlineLevel="0" collapsed="false">
      <c r="A204" s="135"/>
      <c r="B204" s="135"/>
      <c r="C204" s="135"/>
      <c r="D204" s="135"/>
      <c r="E204" s="135"/>
      <c r="F204" s="189"/>
      <c r="G204" s="135"/>
      <c r="H204" s="135"/>
      <c r="I204" s="135"/>
      <c r="J204" s="135"/>
      <c r="K204" s="135"/>
      <c r="L204" s="189"/>
      <c r="M204" s="135"/>
      <c r="N204" s="135"/>
      <c r="O204" s="135"/>
    </row>
    <row r="205" customFormat="false" ht="15.75" hidden="false" customHeight="true" outlineLevel="0" collapsed="false">
      <c r="A205" s="135"/>
      <c r="B205" s="135"/>
      <c r="C205" s="135"/>
      <c r="D205" s="135"/>
      <c r="E205" s="135"/>
      <c r="F205" s="189"/>
      <c r="G205" s="135"/>
      <c r="H205" s="135"/>
      <c r="I205" s="135"/>
      <c r="J205" s="135"/>
      <c r="K205" s="135"/>
      <c r="L205" s="189"/>
      <c r="M205" s="135"/>
      <c r="N205" s="135"/>
      <c r="O205" s="135"/>
    </row>
    <row r="206" customFormat="false" ht="15.75" hidden="false" customHeight="true" outlineLevel="0" collapsed="false">
      <c r="A206" s="135"/>
      <c r="B206" s="135"/>
      <c r="C206" s="135"/>
      <c r="D206" s="135"/>
      <c r="E206" s="135"/>
      <c r="F206" s="189"/>
      <c r="G206" s="135"/>
      <c r="H206" s="135"/>
      <c r="I206" s="135"/>
      <c r="J206" s="135"/>
      <c r="K206" s="135"/>
      <c r="L206" s="189"/>
      <c r="M206" s="135"/>
      <c r="N206" s="135"/>
      <c r="O206" s="135"/>
    </row>
    <row r="207" customFormat="false" ht="15.75" hidden="false" customHeight="true" outlineLevel="0" collapsed="false">
      <c r="A207" s="135"/>
      <c r="B207" s="135"/>
      <c r="C207" s="135"/>
      <c r="D207" s="135"/>
      <c r="E207" s="135"/>
      <c r="F207" s="189"/>
      <c r="G207" s="135"/>
      <c r="H207" s="135"/>
      <c r="I207" s="135"/>
      <c r="J207" s="135"/>
      <c r="K207" s="135"/>
      <c r="L207" s="189"/>
      <c r="M207" s="135"/>
      <c r="N207" s="135"/>
      <c r="O207" s="135"/>
    </row>
    <row r="208" customFormat="false" ht="15.75" hidden="false" customHeight="true" outlineLevel="0" collapsed="false">
      <c r="A208" s="135"/>
      <c r="B208" s="135"/>
      <c r="C208" s="135"/>
      <c r="D208" s="135"/>
      <c r="E208" s="135"/>
      <c r="F208" s="189"/>
      <c r="G208" s="135"/>
      <c r="H208" s="135"/>
      <c r="I208" s="135"/>
      <c r="J208" s="135"/>
      <c r="K208" s="135"/>
      <c r="L208" s="189"/>
      <c r="M208" s="135"/>
      <c r="N208" s="135"/>
      <c r="O208" s="135"/>
    </row>
    <row r="209" customFormat="false" ht="15.75" hidden="false" customHeight="true" outlineLevel="0" collapsed="false">
      <c r="A209" s="135"/>
      <c r="B209" s="135"/>
      <c r="C209" s="135"/>
      <c r="D209" s="135"/>
      <c r="E209" s="135"/>
      <c r="F209" s="189"/>
      <c r="G209" s="135"/>
      <c r="H209" s="135"/>
      <c r="I209" s="135"/>
      <c r="J209" s="135"/>
      <c r="K209" s="135"/>
      <c r="L209" s="189"/>
      <c r="M209" s="135"/>
      <c r="N209" s="135"/>
      <c r="O209" s="135"/>
    </row>
    <row r="210" customFormat="false" ht="15.75" hidden="false" customHeight="true" outlineLevel="0" collapsed="false">
      <c r="A210" s="135"/>
      <c r="B210" s="135"/>
      <c r="C210" s="135"/>
      <c r="D210" s="135"/>
      <c r="E210" s="135"/>
      <c r="F210" s="189"/>
      <c r="G210" s="135"/>
      <c r="H210" s="135"/>
      <c r="I210" s="135"/>
      <c r="J210" s="135"/>
      <c r="K210" s="135"/>
      <c r="L210" s="189"/>
      <c r="M210" s="135"/>
      <c r="N210" s="135"/>
      <c r="O210" s="135"/>
    </row>
    <row r="211" customFormat="false" ht="15.75" hidden="false" customHeight="true" outlineLevel="0" collapsed="false">
      <c r="A211" s="135"/>
      <c r="B211" s="135"/>
      <c r="C211" s="135"/>
      <c r="D211" s="135"/>
      <c r="E211" s="135"/>
      <c r="F211" s="189"/>
      <c r="G211" s="135"/>
      <c r="H211" s="135"/>
      <c r="I211" s="135"/>
      <c r="J211" s="135"/>
      <c r="K211" s="135"/>
      <c r="L211" s="189"/>
      <c r="M211" s="135"/>
      <c r="N211" s="135"/>
      <c r="O211" s="135"/>
    </row>
    <row r="212" customFormat="false" ht="15.75" hidden="false" customHeight="true" outlineLevel="0" collapsed="false">
      <c r="A212" s="135"/>
      <c r="B212" s="135"/>
      <c r="C212" s="135"/>
      <c r="D212" s="135"/>
      <c r="E212" s="135"/>
      <c r="F212" s="189"/>
      <c r="G212" s="135"/>
      <c r="H212" s="135"/>
      <c r="I212" s="135"/>
      <c r="J212" s="135"/>
      <c r="K212" s="135"/>
      <c r="L212" s="189"/>
      <c r="M212" s="135"/>
      <c r="N212" s="135"/>
      <c r="O212" s="135"/>
    </row>
    <row r="213" customFormat="false" ht="15.75" hidden="false" customHeight="true" outlineLevel="0" collapsed="false">
      <c r="A213" s="135"/>
      <c r="B213" s="135"/>
      <c r="C213" s="135"/>
      <c r="D213" s="135"/>
      <c r="E213" s="135"/>
      <c r="F213" s="189"/>
      <c r="G213" s="135"/>
      <c r="H213" s="135"/>
      <c r="I213" s="135"/>
      <c r="J213" s="135"/>
      <c r="K213" s="135"/>
      <c r="L213" s="189"/>
      <c r="M213" s="135"/>
      <c r="N213" s="135"/>
      <c r="O213" s="135"/>
    </row>
    <row r="214" customFormat="false" ht="15.75" hidden="false" customHeight="true" outlineLevel="0" collapsed="false">
      <c r="A214" s="135"/>
      <c r="B214" s="135"/>
      <c r="C214" s="135"/>
      <c r="D214" s="135"/>
      <c r="E214" s="135"/>
      <c r="F214" s="189"/>
      <c r="G214" s="135"/>
      <c r="H214" s="135"/>
      <c r="I214" s="135"/>
      <c r="J214" s="135"/>
      <c r="K214" s="135"/>
      <c r="L214" s="189"/>
      <c r="M214" s="135"/>
      <c r="N214" s="135"/>
      <c r="O214" s="135"/>
    </row>
    <row r="215" customFormat="false" ht="15.75" hidden="false" customHeight="true" outlineLevel="0" collapsed="false">
      <c r="A215" s="135"/>
      <c r="B215" s="135"/>
      <c r="C215" s="135"/>
      <c r="D215" s="135"/>
      <c r="E215" s="135"/>
      <c r="F215" s="189"/>
      <c r="G215" s="135"/>
      <c r="H215" s="135"/>
      <c r="I215" s="135"/>
      <c r="J215" s="135"/>
      <c r="K215" s="135"/>
      <c r="L215" s="189"/>
      <c r="M215" s="135"/>
      <c r="N215" s="135"/>
      <c r="O215" s="135"/>
    </row>
    <row r="216" customFormat="false" ht="15.75" hidden="false" customHeight="true" outlineLevel="0" collapsed="false">
      <c r="A216" s="135"/>
      <c r="B216" s="135"/>
      <c r="C216" s="135"/>
      <c r="D216" s="135"/>
      <c r="E216" s="135"/>
      <c r="F216" s="189"/>
      <c r="G216" s="135"/>
      <c r="H216" s="135"/>
      <c r="I216" s="135"/>
      <c r="J216" s="135"/>
      <c r="K216" s="135"/>
      <c r="L216" s="189"/>
      <c r="M216" s="135"/>
      <c r="N216" s="135"/>
      <c r="O216" s="135"/>
    </row>
    <row r="217" customFormat="false" ht="15.75" hidden="false" customHeight="true" outlineLevel="0" collapsed="false">
      <c r="A217" s="135"/>
      <c r="B217" s="135"/>
      <c r="C217" s="135"/>
      <c r="D217" s="135"/>
      <c r="E217" s="135"/>
      <c r="F217" s="189"/>
      <c r="G217" s="135"/>
      <c r="H217" s="135"/>
      <c r="I217" s="135"/>
      <c r="J217" s="135"/>
      <c r="K217" s="135"/>
      <c r="L217" s="189"/>
      <c r="M217" s="135"/>
      <c r="N217" s="135"/>
      <c r="O217" s="135"/>
    </row>
    <row r="218" customFormat="false" ht="15.75" hidden="false" customHeight="true" outlineLevel="0" collapsed="false">
      <c r="A218" s="135"/>
      <c r="B218" s="135"/>
      <c r="C218" s="135"/>
      <c r="D218" s="135"/>
      <c r="E218" s="135"/>
      <c r="F218" s="189"/>
      <c r="G218" s="135"/>
      <c r="H218" s="135"/>
      <c r="I218" s="135"/>
      <c r="J218" s="135"/>
      <c r="K218" s="135"/>
      <c r="L218" s="189"/>
      <c r="M218" s="135"/>
      <c r="N218" s="135"/>
      <c r="O218" s="135"/>
    </row>
    <row r="219" customFormat="false" ht="15.75" hidden="false" customHeight="true" outlineLevel="0" collapsed="false">
      <c r="A219" s="135"/>
      <c r="B219" s="135"/>
      <c r="C219" s="135"/>
      <c r="D219" s="135"/>
      <c r="E219" s="135"/>
      <c r="F219" s="189"/>
      <c r="G219" s="135"/>
      <c r="H219" s="135"/>
      <c r="I219" s="135"/>
      <c r="J219" s="135"/>
      <c r="K219" s="135"/>
      <c r="L219" s="189"/>
      <c r="M219" s="135"/>
      <c r="N219" s="135"/>
      <c r="O219" s="135"/>
    </row>
    <row r="220" customFormat="false" ht="15.75" hidden="false" customHeight="true" outlineLevel="0" collapsed="false">
      <c r="A220" s="135"/>
      <c r="B220" s="135"/>
      <c r="C220" s="135"/>
      <c r="D220" s="135"/>
      <c r="E220" s="135"/>
      <c r="F220" s="189"/>
      <c r="G220" s="135"/>
      <c r="H220" s="135"/>
      <c r="I220" s="135"/>
      <c r="J220" s="135"/>
      <c r="K220" s="135"/>
      <c r="L220" s="189"/>
      <c r="M220" s="135"/>
      <c r="N220" s="135"/>
      <c r="O220" s="135"/>
    </row>
    <row r="221" customFormat="false" ht="15.75" hidden="false" customHeight="true" outlineLevel="0" collapsed="false">
      <c r="A221" s="135"/>
      <c r="B221" s="135"/>
      <c r="C221" s="135"/>
      <c r="D221" s="135"/>
      <c r="E221" s="135"/>
      <c r="F221" s="189"/>
      <c r="G221" s="135"/>
      <c r="H221" s="135"/>
      <c r="I221" s="135"/>
      <c r="J221" s="135"/>
      <c r="K221" s="135"/>
      <c r="L221" s="189"/>
      <c r="M221" s="135"/>
      <c r="N221" s="135"/>
      <c r="O221" s="135"/>
    </row>
    <row r="222" customFormat="false" ht="15.75" hidden="false" customHeight="true" outlineLevel="0" collapsed="false">
      <c r="A222" s="135"/>
      <c r="B222" s="135"/>
      <c r="C222" s="135"/>
      <c r="D222" s="135"/>
      <c r="E222" s="135"/>
      <c r="F222" s="189"/>
      <c r="G222" s="135"/>
      <c r="H222" s="135"/>
      <c r="I222" s="135"/>
      <c r="J222" s="135"/>
      <c r="K222" s="135"/>
      <c r="L222" s="189"/>
      <c r="M222" s="135"/>
      <c r="N222" s="135"/>
      <c r="O222" s="135"/>
    </row>
    <row r="223" customFormat="false" ht="15.75" hidden="false" customHeight="true" outlineLevel="0" collapsed="false">
      <c r="A223" s="135"/>
      <c r="B223" s="135"/>
      <c r="C223" s="135"/>
      <c r="D223" s="135"/>
      <c r="E223" s="135"/>
      <c r="F223" s="189"/>
      <c r="G223" s="135"/>
      <c r="H223" s="135"/>
      <c r="I223" s="135"/>
      <c r="J223" s="135"/>
      <c r="K223" s="135"/>
      <c r="L223" s="189"/>
      <c r="M223" s="135"/>
      <c r="N223" s="135"/>
      <c r="O223" s="135"/>
    </row>
    <row r="224" customFormat="false" ht="15.75" hidden="false" customHeight="true" outlineLevel="0" collapsed="false">
      <c r="A224" s="135"/>
      <c r="B224" s="135"/>
      <c r="C224" s="135"/>
      <c r="D224" s="135"/>
      <c r="E224" s="135"/>
      <c r="F224" s="189"/>
      <c r="G224" s="135"/>
      <c r="H224" s="135"/>
      <c r="I224" s="135"/>
      <c r="J224" s="135"/>
      <c r="K224" s="135"/>
      <c r="L224" s="189"/>
      <c r="M224" s="135"/>
      <c r="N224" s="135"/>
      <c r="O224" s="135"/>
    </row>
    <row r="225" customFormat="false" ht="15.75" hidden="false" customHeight="true" outlineLevel="0" collapsed="false">
      <c r="A225" s="135"/>
      <c r="B225" s="135"/>
      <c r="C225" s="135"/>
      <c r="D225" s="135"/>
      <c r="E225" s="135"/>
      <c r="F225" s="189"/>
      <c r="G225" s="135"/>
      <c r="H225" s="135"/>
      <c r="I225" s="135"/>
      <c r="J225" s="135"/>
      <c r="K225" s="135"/>
      <c r="L225" s="189"/>
      <c r="M225" s="135"/>
      <c r="N225" s="135"/>
      <c r="O225" s="135"/>
    </row>
    <row r="226" customFormat="false" ht="15.75" hidden="false" customHeight="true" outlineLevel="0" collapsed="false">
      <c r="A226" s="135"/>
      <c r="B226" s="135"/>
      <c r="C226" s="135"/>
      <c r="D226" s="135"/>
      <c r="E226" s="135"/>
      <c r="F226" s="189"/>
      <c r="G226" s="135"/>
      <c r="H226" s="135"/>
      <c r="I226" s="135"/>
      <c r="J226" s="135"/>
      <c r="K226" s="135"/>
      <c r="L226" s="189"/>
      <c r="M226" s="135"/>
      <c r="N226" s="135"/>
      <c r="O226" s="135"/>
    </row>
    <row r="227" customFormat="false" ht="15.75" hidden="false" customHeight="true" outlineLevel="0" collapsed="false">
      <c r="A227" s="135"/>
      <c r="B227" s="135"/>
      <c r="C227" s="135"/>
      <c r="D227" s="135"/>
      <c r="E227" s="135"/>
      <c r="F227" s="189"/>
      <c r="G227" s="135"/>
      <c r="H227" s="135"/>
      <c r="I227" s="135"/>
      <c r="J227" s="135"/>
      <c r="K227" s="135"/>
      <c r="L227" s="189"/>
      <c r="M227" s="135"/>
      <c r="N227" s="135"/>
      <c r="O227" s="135"/>
    </row>
    <row r="228" customFormat="false" ht="15.75" hidden="false" customHeight="true" outlineLevel="0" collapsed="false">
      <c r="A228" s="135"/>
      <c r="B228" s="135"/>
      <c r="C228" s="135"/>
      <c r="D228" s="135"/>
      <c r="E228" s="135"/>
      <c r="F228" s="189"/>
      <c r="G228" s="135"/>
      <c r="H228" s="135"/>
      <c r="I228" s="135"/>
      <c r="J228" s="135"/>
      <c r="K228" s="135"/>
      <c r="L228" s="189"/>
      <c r="M228" s="135"/>
      <c r="N228" s="135"/>
      <c r="O228" s="135"/>
    </row>
    <row r="229" customFormat="false" ht="15.75" hidden="false" customHeight="true" outlineLevel="0" collapsed="false">
      <c r="A229" s="135"/>
      <c r="B229" s="135"/>
      <c r="C229" s="135"/>
      <c r="D229" s="135"/>
      <c r="E229" s="135"/>
      <c r="F229" s="189"/>
      <c r="G229" s="135"/>
      <c r="H229" s="135"/>
      <c r="I229" s="135"/>
      <c r="J229" s="135"/>
      <c r="K229" s="135"/>
      <c r="L229" s="189"/>
      <c r="M229" s="135"/>
      <c r="N229" s="135"/>
      <c r="O229" s="135"/>
    </row>
    <row r="230" customFormat="false" ht="15.75" hidden="false" customHeight="true" outlineLevel="0" collapsed="false">
      <c r="A230" s="135"/>
      <c r="B230" s="135"/>
      <c r="C230" s="135"/>
      <c r="D230" s="135"/>
      <c r="E230" s="135"/>
      <c r="F230" s="189"/>
      <c r="G230" s="135"/>
      <c r="H230" s="135"/>
      <c r="I230" s="135"/>
      <c r="J230" s="135"/>
      <c r="K230" s="135"/>
      <c r="L230" s="189"/>
      <c r="M230" s="135"/>
      <c r="N230" s="135"/>
      <c r="O230" s="135"/>
    </row>
    <row r="231" customFormat="false" ht="15.75" hidden="false" customHeight="true" outlineLevel="0" collapsed="false">
      <c r="A231" s="135"/>
      <c r="B231" s="135"/>
      <c r="C231" s="135"/>
      <c r="D231" s="135"/>
      <c r="E231" s="135"/>
      <c r="F231" s="189"/>
      <c r="G231" s="135"/>
      <c r="H231" s="135"/>
      <c r="I231" s="135"/>
      <c r="J231" s="135"/>
      <c r="K231" s="135"/>
      <c r="L231" s="189"/>
      <c r="M231" s="135"/>
      <c r="N231" s="135"/>
      <c r="O231" s="135"/>
    </row>
    <row r="232" customFormat="false" ht="15.75" hidden="false" customHeight="true" outlineLevel="0" collapsed="false">
      <c r="A232" s="135"/>
      <c r="B232" s="135"/>
      <c r="C232" s="135"/>
      <c r="D232" s="135"/>
      <c r="E232" s="135"/>
      <c r="F232" s="189"/>
      <c r="G232" s="135"/>
      <c r="H232" s="135"/>
      <c r="I232" s="135"/>
      <c r="J232" s="135"/>
      <c r="K232" s="135"/>
      <c r="L232" s="189"/>
      <c r="M232" s="135"/>
      <c r="N232" s="135"/>
      <c r="O232" s="135"/>
    </row>
    <row r="233" customFormat="false" ht="15.75" hidden="false" customHeight="true" outlineLevel="0" collapsed="false">
      <c r="A233" s="135"/>
      <c r="B233" s="135"/>
      <c r="C233" s="135"/>
      <c r="D233" s="135"/>
      <c r="E233" s="135"/>
      <c r="F233" s="189"/>
      <c r="G233" s="135"/>
      <c r="H233" s="135"/>
      <c r="I233" s="135"/>
      <c r="J233" s="135"/>
      <c r="K233" s="135"/>
      <c r="L233" s="189"/>
      <c r="M233" s="135"/>
      <c r="N233" s="135"/>
      <c r="O233" s="135"/>
    </row>
    <row r="234" customFormat="false" ht="15.75" hidden="false" customHeight="true" outlineLevel="0" collapsed="false">
      <c r="A234" s="135"/>
      <c r="B234" s="135"/>
      <c r="C234" s="135"/>
      <c r="D234" s="135"/>
      <c r="E234" s="135"/>
      <c r="F234" s="189"/>
      <c r="G234" s="135"/>
      <c r="H234" s="135"/>
      <c r="I234" s="135"/>
      <c r="J234" s="135"/>
      <c r="K234" s="135"/>
      <c r="L234" s="189"/>
      <c r="M234" s="135"/>
      <c r="N234" s="135"/>
      <c r="O234" s="135"/>
    </row>
    <row r="235" customFormat="false" ht="15.75" hidden="false" customHeight="true" outlineLevel="0" collapsed="false">
      <c r="A235" s="135"/>
      <c r="B235" s="135"/>
      <c r="C235" s="135"/>
      <c r="D235" s="135"/>
      <c r="E235" s="135"/>
      <c r="F235" s="189"/>
      <c r="G235" s="135"/>
      <c r="H235" s="135"/>
      <c r="I235" s="135"/>
      <c r="J235" s="135"/>
      <c r="K235" s="135"/>
      <c r="L235" s="189"/>
      <c r="M235" s="135"/>
      <c r="N235" s="135"/>
      <c r="O235" s="135"/>
    </row>
    <row r="236" customFormat="false" ht="15.75" hidden="false" customHeight="true" outlineLevel="0" collapsed="false">
      <c r="A236" s="135"/>
      <c r="B236" s="135"/>
      <c r="C236" s="135"/>
      <c r="D236" s="135"/>
      <c r="E236" s="135"/>
      <c r="F236" s="189"/>
      <c r="G236" s="135"/>
      <c r="H236" s="135"/>
      <c r="I236" s="135"/>
      <c r="J236" s="135"/>
      <c r="K236" s="135"/>
      <c r="L236" s="189"/>
      <c r="M236" s="135"/>
      <c r="N236" s="135"/>
      <c r="O236" s="135"/>
    </row>
    <row r="237" customFormat="false" ht="15.75" hidden="false" customHeight="true" outlineLevel="0" collapsed="false">
      <c r="A237" s="135"/>
      <c r="B237" s="135"/>
      <c r="C237" s="135"/>
      <c r="D237" s="135"/>
      <c r="E237" s="135"/>
      <c r="F237" s="189"/>
      <c r="G237" s="135"/>
      <c r="H237" s="135"/>
      <c r="I237" s="135"/>
      <c r="J237" s="135"/>
      <c r="K237" s="135"/>
      <c r="L237" s="189"/>
      <c r="M237" s="135"/>
      <c r="N237" s="135"/>
      <c r="O237" s="135"/>
    </row>
    <row r="238" customFormat="false" ht="15.75" hidden="false" customHeight="true" outlineLevel="0" collapsed="false">
      <c r="A238" s="135"/>
      <c r="B238" s="135"/>
      <c r="C238" s="135"/>
      <c r="D238" s="135"/>
      <c r="E238" s="135"/>
      <c r="F238" s="189"/>
      <c r="G238" s="135"/>
      <c r="H238" s="135"/>
      <c r="I238" s="135"/>
      <c r="J238" s="135"/>
      <c r="K238" s="135"/>
      <c r="L238" s="189"/>
      <c r="M238" s="135"/>
      <c r="N238" s="135"/>
      <c r="O238" s="135"/>
    </row>
    <row r="239" customFormat="false" ht="15.75" hidden="false" customHeight="true" outlineLevel="0" collapsed="false">
      <c r="A239" s="135"/>
      <c r="B239" s="135"/>
      <c r="C239" s="135"/>
      <c r="D239" s="135"/>
      <c r="E239" s="135"/>
      <c r="F239" s="189"/>
      <c r="G239" s="135"/>
      <c r="H239" s="135"/>
      <c r="I239" s="135"/>
      <c r="J239" s="135"/>
      <c r="K239" s="135"/>
      <c r="L239" s="189"/>
      <c r="M239" s="135"/>
      <c r="N239" s="135"/>
      <c r="O239" s="135"/>
    </row>
    <row r="240" customFormat="false" ht="15.75" hidden="false" customHeight="true" outlineLevel="0" collapsed="false">
      <c r="A240" s="135"/>
      <c r="B240" s="135"/>
      <c r="C240" s="135"/>
      <c r="D240" s="135"/>
      <c r="E240" s="135"/>
      <c r="F240" s="189"/>
      <c r="G240" s="135"/>
      <c r="H240" s="135"/>
      <c r="I240" s="135"/>
      <c r="J240" s="135"/>
      <c r="K240" s="135"/>
      <c r="L240" s="189"/>
      <c r="M240" s="135"/>
      <c r="N240" s="135"/>
      <c r="O240" s="135"/>
    </row>
    <row r="241" customFormat="false" ht="15.75" hidden="false" customHeight="true" outlineLevel="0" collapsed="false">
      <c r="A241" s="135"/>
      <c r="B241" s="135"/>
      <c r="C241" s="135"/>
      <c r="D241" s="135"/>
      <c r="E241" s="135"/>
      <c r="F241" s="189"/>
      <c r="G241" s="135"/>
      <c r="H241" s="135"/>
      <c r="I241" s="135"/>
      <c r="J241" s="135"/>
      <c r="K241" s="135"/>
      <c r="L241" s="189"/>
      <c r="M241" s="135"/>
      <c r="N241" s="135"/>
      <c r="O241" s="135"/>
    </row>
    <row r="242" customFormat="false" ht="15.75" hidden="false" customHeight="true" outlineLevel="0" collapsed="false">
      <c r="A242" s="135"/>
      <c r="B242" s="135"/>
      <c r="C242" s="135"/>
      <c r="D242" s="135"/>
      <c r="E242" s="135"/>
      <c r="F242" s="189"/>
      <c r="G242" s="135"/>
      <c r="H242" s="135"/>
      <c r="I242" s="135"/>
      <c r="J242" s="135"/>
      <c r="K242" s="135"/>
      <c r="L242" s="189"/>
      <c r="M242" s="135"/>
      <c r="N242" s="135"/>
      <c r="O242" s="135"/>
    </row>
    <row r="243" customFormat="false" ht="15.75" hidden="false" customHeight="true" outlineLevel="0" collapsed="false">
      <c r="A243" s="135"/>
      <c r="B243" s="135"/>
      <c r="C243" s="135"/>
      <c r="D243" s="135"/>
      <c r="E243" s="135"/>
      <c r="F243" s="189"/>
      <c r="G243" s="135"/>
      <c r="H243" s="135"/>
      <c r="I243" s="135"/>
      <c r="J243" s="135"/>
      <c r="K243" s="135"/>
      <c r="L243" s="189"/>
      <c r="M243" s="135"/>
      <c r="N243" s="135"/>
      <c r="O243" s="135"/>
    </row>
    <row r="244" customFormat="false" ht="15.75" hidden="false" customHeight="true" outlineLevel="0" collapsed="false">
      <c r="A244" s="135"/>
      <c r="B244" s="135"/>
      <c r="C244" s="135"/>
      <c r="D244" s="135"/>
      <c r="E244" s="135"/>
      <c r="F244" s="189"/>
      <c r="G244" s="135"/>
      <c r="H244" s="135"/>
      <c r="I244" s="135"/>
      <c r="J244" s="135"/>
      <c r="K244" s="135"/>
      <c r="L244" s="189"/>
      <c r="M244" s="135"/>
      <c r="N244" s="135"/>
      <c r="O244" s="135"/>
    </row>
    <row r="245" customFormat="false" ht="15.75" hidden="false" customHeight="true" outlineLevel="0" collapsed="false">
      <c r="A245" s="135"/>
      <c r="B245" s="135"/>
      <c r="C245" s="135"/>
      <c r="D245" s="135"/>
      <c r="E245" s="135"/>
      <c r="F245" s="189"/>
      <c r="G245" s="135"/>
      <c r="H245" s="135"/>
      <c r="I245" s="135"/>
      <c r="J245" s="135"/>
      <c r="K245" s="135"/>
      <c r="L245" s="189"/>
      <c r="M245" s="135"/>
      <c r="N245" s="135"/>
      <c r="O245" s="135"/>
    </row>
    <row r="246" customFormat="false" ht="15.75" hidden="false" customHeight="true" outlineLevel="0" collapsed="false">
      <c r="A246" s="135"/>
      <c r="B246" s="135"/>
      <c r="C246" s="135"/>
      <c r="D246" s="135"/>
      <c r="E246" s="135"/>
      <c r="F246" s="189"/>
      <c r="G246" s="135"/>
      <c r="H246" s="135"/>
      <c r="I246" s="135"/>
      <c r="J246" s="135"/>
      <c r="K246" s="135"/>
      <c r="L246" s="189"/>
      <c r="M246" s="135"/>
      <c r="N246" s="135"/>
      <c r="O246" s="135"/>
    </row>
    <row r="247" customFormat="false" ht="15.75" hidden="false" customHeight="true" outlineLevel="0" collapsed="false">
      <c r="A247" s="135"/>
      <c r="B247" s="135"/>
      <c r="C247" s="135"/>
      <c r="D247" s="135"/>
      <c r="E247" s="135"/>
      <c r="F247" s="189"/>
      <c r="G247" s="135"/>
      <c r="H247" s="135"/>
      <c r="I247" s="135"/>
      <c r="J247" s="135"/>
      <c r="K247" s="135"/>
      <c r="L247" s="189"/>
      <c r="M247" s="135"/>
      <c r="N247" s="135"/>
      <c r="O247" s="135"/>
    </row>
    <row r="248" customFormat="false" ht="15.75" hidden="false" customHeight="true" outlineLevel="0" collapsed="false">
      <c r="A248" s="135"/>
      <c r="B248" s="135"/>
      <c r="C248" s="135"/>
      <c r="D248" s="135"/>
      <c r="E248" s="135"/>
      <c r="F248" s="189"/>
      <c r="G248" s="135"/>
      <c r="H248" s="135"/>
      <c r="I248" s="135"/>
      <c r="J248" s="135"/>
      <c r="K248" s="135"/>
      <c r="L248" s="189"/>
      <c r="M248" s="135"/>
      <c r="N248" s="135"/>
      <c r="O248" s="135"/>
    </row>
    <row r="249" customFormat="false" ht="15.75" hidden="false" customHeight="true" outlineLevel="0" collapsed="false">
      <c r="A249" s="135"/>
      <c r="B249" s="135"/>
      <c r="C249" s="135"/>
      <c r="D249" s="135"/>
      <c r="E249" s="135"/>
      <c r="F249" s="189"/>
      <c r="G249" s="135"/>
      <c r="H249" s="135"/>
      <c r="I249" s="135"/>
      <c r="J249" s="135"/>
      <c r="K249" s="135"/>
      <c r="L249" s="189"/>
      <c r="M249" s="135"/>
      <c r="N249" s="135"/>
      <c r="O249" s="135"/>
    </row>
    <row r="250" customFormat="false" ht="15.75" hidden="false" customHeight="true" outlineLevel="0" collapsed="false">
      <c r="A250" s="135"/>
      <c r="B250" s="135"/>
      <c r="C250" s="135"/>
      <c r="D250" s="135"/>
      <c r="E250" s="135"/>
      <c r="F250" s="189"/>
      <c r="G250" s="135"/>
      <c r="H250" s="135"/>
      <c r="I250" s="135"/>
      <c r="J250" s="135"/>
      <c r="K250" s="135"/>
      <c r="L250" s="189"/>
      <c r="M250" s="135"/>
      <c r="N250" s="135"/>
      <c r="O250" s="135"/>
    </row>
    <row r="251" customFormat="false" ht="15.75" hidden="false" customHeight="true" outlineLevel="0" collapsed="false">
      <c r="A251" s="135"/>
      <c r="B251" s="135"/>
      <c r="C251" s="135"/>
      <c r="D251" s="135"/>
      <c r="E251" s="135"/>
      <c r="F251" s="189"/>
      <c r="G251" s="135"/>
      <c r="H251" s="135"/>
      <c r="I251" s="135"/>
      <c r="J251" s="135"/>
      <c r="K251" s="135"/>
      <c r="L251" s="189"/>
      <c r="M251" s="135"/>
      <c r="N251" s="135"/>
      <c r="O251" s="135"/>
    </row>
    <row r="252" customFormat="false" ht="15.75" hidden="false" customHeight="true" outlineLevel="0" collapsed="false">
      <c r="A252" s="135"/>
      <c r="B252" s="135"/>
      <c r="C252" s="135"/>
      <c r="D252" s="135"/>
      <c r="E252" s="135"/>
      <c r="F252" s="189"/>
      <c r="G252" s="135"/>
      <c r="H252" s="135"/>
      <c r="I252" s="135"/>
      <c r="J252" s="135"/>
      <c r="K252" s="135"/>
      <c r="L252" s="189"/>
      <c r="M252" s="135"/>
      <c r="N252" s="135"/>
      <c r="O252" s="135"/>
    </row>
    <row r="253" customFormat="false" ht="15.75" hidden="false" customHeight="true" outlineLevel="0" collapsed="false">
      <c r="A253" s="135"/>
      <c r="B253" s="135"/>
      <c r="C253" s="135"/>
      <c r="D253" s="135"/>
      <c r="E253" s="135"/>
      <c r="F253" s="189"/>
      <c r="G253" s="135"/>
      <c r="H253" s="135"/>
      <c r="I253" s="135"/>
      <c r="J253" s="135"/>
      <c r="K253" s="135"/>
      <c r="L253" s="189"/>
      <c r="M253" s="135"/>
      <c r="N253" s="135"/>
      <c r="O253" s="135"/>
    </row>
    <row r="254" customFormat="false" ht="15.75" hidden="false" customHeight="true" outlineLevel="0" collapsed="false">
      <c r="A254" s="135"/>
      <c r="B254" s="135"/>
      <c r="C254" s="135"/>
      <c r="D254" s="135"/>
      <c r="E254" s="135"/>
      <c r="F254" s="189"/>
      <c r="G254" s="135"/>
      <c r="H254" s="135"/>
      <c r="I254" s="135"/>
      <c r="J254" s="135"/>
      <c r="K254" s="135"/>
      <c r="L254" s="189"/>
      <c r="M254" s="135"/>
      <c r="N254" s="135"/>
      <c r="O254" s="135"/>
    </row>
    <row r="255" customFormat="false" ht="15.75" hidden="false" customHeight="true" outlineLevel="0" collapsed="false">
      <c r="A255" s="135"/>
      <c r="B255" s="135"/>
      <c r="C255" s="135"/>
      <c r="D255" s="135"/>
      <c r="E255" s="135"/>
      <c r="F255" s="189"/>
      <c r="G255" s="135"/>
      <c r="H255" s="135"/>
      <c r="I255" s="135"/>
      <c r="J255" s="135"/>
      <c r="K255" s="135"/>
      <c r="L255" s="189"/>
      <c r="M255" s="135"/>
      <c r="N255" s="135"/>
      <c r="O255" s="135"/>
    </row>
    <row r="256" customFormat="false" ht="15.75" hidden="false" customHeight="true" outlineLevel="0" collapsed="false">
      <c r="A256" s="135"/>
      <c r="B256" s="135"/>
      <c r="C256" s="135"/>
      <c r="D256" s="135"/>
      <c r="E256" s="135"/>
      <c r="F256" s="189"/>
      <c r="G256" s="135"/>
      <c r="H256" s="135"/>
      <c r="I256" s="135"/>
      <c r="J256" s="135"/>
      <c r="K256" s="135"/>
      <c r="L256" s="189"/>
      <c r="M256" s="135"/>
      <c r="N256" s="135"/>
      <c r="O256" s="135"/>
    </row>
    <row r="257" customFormat="false" ht="15.75" hidden="false" customHeight="true" outlineLevel="0" collapsed="false">
      <c r="A257" s="135"/>
      <c r="B257" s="135"/>
      <c r="C257" s="135"/>
      <c r="D257" s="135"/>
      <c r="E257" s="135"/>
      <c r="F257" s="189"/>
      <c r="G257" s="135"/>
      <c r="H257" s="135"/>
      <c r="I257" s="135"/>
      <c r="J257" s="135"/>
      <c r="K257" s="135"/>
      <c r="L257" s="189"/>
      <c r="M257" s="135"/>
      <c r="N257" s="135"/>
      <c r="O257" s="135"/>
    </row>
    <row r="258" customFormat="false" ht="15.75" hidden="false" customHeight="true" outlineLevel="0" collapsed="false">
      <c r="A258" s="135"/>
      <c r="B258" s="135"/>
      <c r="C258" s="135"/>
      <c r="D258" s="135"/>
      <c r="E258" s="135"/>
      <c r="F258" s="189"/>
      <c r="G258" s="135"/>
      <c r="H258" s="135"/>
      <c r="I258" s="135"/>
      <c r="J258" s="135"/>
      <c r="K258" s="135"/>
      <c r="L258" s="189"/>
      <c r="M258" s="135"/>
      <c r="N258" s="135"/>
      <c r="O258" s="135"/>
    </row>
    <row r="259" customFormat="false" ht="15.75" hidden="false" customHeight="true" outlineLevel="0" collapsed="false">
      <c r="A259" s="135"/>
      <c r="B259" s="135"/>
      <c r="C259" s="135"/>
      <c r="D259" s="135"/>
      <c r="E259" s="135"/>
      <c r="F259" s="189"/>
      <c r="G259" s="135"/>
      <c r="H259" s="135"/>
      <c r="I259" s="135"/>
      <c r="J259" s="135"/>
      <c r="K259" s="135"/>
      <c r="L259" s="189"/>
      <c r="M259" s="135"/>
      <c r="N259" s="135"/>
      <c r="O259" s="135"/>
    </row>
    <row r="260" customFormat="false" ht="15.75" hidden="false" customHeight="true" outlineLevel="0" collapsed="false">
      <c r="A260" s="135"/>
      <c r="B260" s="135"/>
      <c r="C260" s="135"/>
      <c r="D260" s="135"/>
      <c r="E260" s="135"/>
      <c r="F260" s="189"/>
      <c r="G260" s="135"/>
      <c r="H260" s="135"/>
      <c r="I260" s="135"/>
      <c r="J260" s="135"/>
      <c r="K260" s="135"/>
      <c r="L260" s="189"/>
      <c r="M260" s="135"/>
      <c r="N260" s="135"/>
      <c r="O260" s="135"/>
    </row>
    <row r="261" customFormat="false" ht="15.75" hidden="false" customHeight="true" outlineLevel="0" collapsed="false">
      <c r="A261" s="135"/>
      <c r="B261" s="135"/>
      <c r="C261" s="135"/>
      <c r="D261" s="135"/>
      <c r="E261" s="135"/>
      <c r="F261" s="189"/>
      <c r="G261" s="135"/>
      <c r="H261" s="135"/>
      <c r="I261" s="135"/>
      <c r="J261" s="135"/>
      <c r="K261" s="135"/>
      <c r="L261" s="189"/>
      <c r="M261" s="135"/>
      <c r="N261" s="135"/>
      <c r="O261" s="135"/>
    </row>
    <row r="262" customFormat="false" ht="15.75" hidden="false" customHeight="true" outlineLevel="0" collapsed="false">
      <c r="A262" s="135"/>
      <c r="B262" s="135"/>
      <c r="C262" s="135"/>
      <c r="D262" s="135"/>
      <c r="E262" s="135"/>
      <c r="F262" s="189"/>
      <c r="G262" s="135"/>
      <c r="H262" s="135"/>
      <c r="I262" s="135"/>
      <c r="J262" s="135"/>
      <c r="K262" s="135"/>
      <c r="L262" s="189"/>
      <c r="M262" s="135"/>
      <c r="N262" s="135"/>
      <c r="O262" s="135"/>
    </row>
    <row r="263" customFormat="false" ht="15.75" hidden="false" customHeight="true" outlineLevel="0" collapsed="false">
      <c r="A263" s="135"/>
      <c r="B263" s="135"/>
      <c r="C263" s="135"/>
      <c r="D263" s="135"/>
      <c r="E263" s="135"/>
      <c r="F263" s="189"/>
      <c r="G263" s="135"/>
      <c r="H263" s="135"/>
      <c r="I263" s="135"/>
      <c r="J263" s="135"/>
      <c r="K263" s="135"/>
      <c r="L263" s="189"/>
      <c r="M263" s="135"/>
      <c r="N263" s="135"/>
      <c r="O263" s="135"/>
    </row>
    <row r="264" customFormat="false" ht="15.75" hidden="false" customHeight="true" outlineLevel="0" collapsed="false">
      <c r="A264" s="135"/>
      <c r="B264" s="135"/>
      <c r="C264" s="135"/>
      <c r="D264" s="135"/>
      <c r="E264" s="135"/>
      <c r="F264" s="189"/>
      <c r="G264" s="135"/>
      <c r="H264" s="135"/>
      <c r="I264" s="135"/>
      <c r="J264" s="135"/>
      <c r="K264" s="135"/>
      <c r="L264" s="189"/>
      <c r="M264" s="135"/>
      <c r="N264" s="135"/>
      <c r="O264" s="135"/>
    </row>
    <row r="265" customFormat="false" ht="15.75" hidden="false" customHeight="true" outlineLevel="0" collapsed="false">
      <c r="A265" s="135"/>
      <c r="B265" s="135"/>
      <c r="C265" s="135"/>
      <c r="D265" s="135"/>
      <c r="E265" s="135"/>
      <c r="F265" s="189"/>
      <c r="G265" s="135"/>
      <c r="H265" s="135"/>
      <c r="I265" s="135"/>
      <c r="J265" s="135"/>
      <c r="K265" s="135"/>
      <c r="L265" s="189"/>
      <c r="M265" s="135"/>
      <c r="N265" s="135"/>
      <c r="O265" s="135"/>
    </row>
    <row r="266" customFormat="false" ht="15.75" hidden="false" customHeight="true" outlineLevel="0" collapsed="false">
      <c r="A266" s="135"/>
      <c r="B266" s="135"/>
      <c r="C266" s="135"/>
      <c r="D266" s="135"/>
      <c r="E266" s="135"/>
      <c r="F266" s="189"/>
      <c r="G266" s="135"/>
      <c r="H266" s="135"/>
      <c r="I266" s="135"/>
      <c r="J266" s="135"/>
      <c r="K266" s="135"/>
      <c r="L266" s="189"/>
      <c r="M266" s="135"/>
      <c r="N266" s="135"/>
      <c r="O266" s="135"/>
    </row>
    <row r="267" customFormat="false" ht="15.75" hidden="false" customHeight="true" outlineLevel="0" collapsed="false">
      <c r="A267" s="135"/>
      <c r="B267" s="135"/>
      <c r="C267" s="135"/>
      <c r="D267" s="135"/>
      <c r="E267" s="135"/>
      <c r="F267" s="189"/>
      <c r="G267" s="135"/>
      <c r="H267" s="135"/>
      <c r="I267" s="135"/>
      <c r="J267" s="135"/>
      <c r="K267" s="135"/>
      <c r="L267" s="189"/>
      <c r="M267" s="135"/>
      <c r="N267" s="135"/>
      <c r="O267" s="135"/>
    </row>
    <row r="268" customFormat="false" ht="15.75" hidden="false" customHeight="true" outlineLevel="0" collapsed="false">
      <c r="A268" s="135"/>
      <c r="B268" s="135"/>
      <c r="C268" s="135"/>
      <c r="D268" s="135"/>
      <c r="E268" s="135"/>
      <c r="F268" s="189"/>
      <c r="G268" s="135"/>
      <c r="H268" s="135"/>
      <c r="I268" s="135"/>
      <c r="J268" s="135"/>
      <c r="K268" s="135"/>
      <c r="L268" s="189"/>
      <c r="M268" s="135"/>
      <c r="N268" s="135"/>
      <c r="O268" s="135"/>
    </row>
    <row r="269" customFormat="false" ht="15.75" hidden="false" customHeight="true" outlineLevel="0" collapsed="false">
      <c r="A269" s="135"/>
      <c r="B269" s="135"/>
      <c r="C269" s="135"/>
      <c r="D269" s="135"/>
      <c r="E269" s="135"/>
      <c r="F269" s="189"/>
      <c r="G269" s="135"/>
      <c r="H269" s="135"/>
      <c r="I269" s="135"/>
      <c r="J269" s="135"/>
      <c r="K269" s="135"/>
      <c r="L269" s="189"/>
      <c r="M269" s="135"/>
      <c r="N269" s="135"/>
      <c r="O269" s="135"/>
    </row>
    <row r="270" customFormat="false" ht="15.75" hidden="false" customHeight="true" outlineLevel="0" collapsed="false">
      <c r="A270" s="135"/>
      <c r="B270" s="135"/>
      <c r="C270" s="135"/>
      <c r="D270" s="135"/>
      <c r="E270" s="135"/>
      <c r="F270" s="189"/>
      <c r="G270" s="135"/>
      <c r="H270" s="135"/>
      <c r="I270" s="135"/>
      <c r="J270" s="135"/>
      <c r="K270" s="135"/>
      <c r="L270" s="189"/>
      <c r="M270" s="135"/>
      <c r="N270" s="135"/>
      <c r="O270" s="135"/>
    </row>
    <row r="271" customFormat="false" ht="15.75" hidden="false" customHeight="true" outlineLevel="0" collapsed="false">
      <c r="A271" s="135"/>
      <c r="B271" s="135"/>
      <c r="C271" s="135"/>
      <c r="D271" s="135"/>
      <c r="E271" s="135"/>
      <c r="F271" s="189"/>
      <c r="G271" s="135"/>
      <c r="H271" s="135"/>
      <c r="I271" s="135"/>
      <c r="J271" s="135"/>
      <c r="K271" s="135"/>
      <c r="L271" s="189"/>
      <c r="M271" s="135"/>
      <c r="N271" s="135"/>
      <c r="O271" s="135"/>
    </row>
    <row r="272" customFormat="false" ht="15.75" hidden="false" customHeight="true" outlineLevel="0" collapsed="false">
      <c r="A272" s="135"/>
      <c r="B272" s="135"/>
      <c r="C272" s="135"/>
      <c r="D272" s="135"/>
      <c r="E272" s="135"/>
      <c r="F272" s="189"/>
      <c r="G272" s="135"/>
      <c r="H272" s="135"/>
      <c r="I272" s="135"/>
      <c r="J272" s="135"/>
      <c r="K272" s="135"/>
      <c r="L272" s="189"/>
      <c r="M272" s="135"/>
      <c r="N272" s="135"/>
      <c r="O272" s="135"/>
    </row>
    <row r="273" customFormat="false" ht="15.75" hidden="false" customHeight="true" outlineLevel="0" collapsed="false">
      <c r="A273" s="135"/>
      <c r="B273" s="135"/>
      <c r="C273" s="135"/>
      <c r="D273" s="135"/>
      <c r="E273" s="135"/>
      <c r="F273" s="189"/>
      <c r="G273" s="135"/>
      <c r="H273" s="135"/>
      <c r="I273" s="135"/>
      <c r="J273" s="135"/>
      <c r="K273" s="135"/>
      <c r="L273" s="189"/>
      <c r="M273" s="135"/>
      <c r="N273" s="135"/>
      <c r="O273" s="135"/>
    </row>
    <row r="274" customFormat="false" ht="15.75" hidden="false" customHeight="true" outlineLevel="0" collapsed="false">
      <c r="A274" s="135"/>
      <c r="B274" s="135"/>
      <c r="C274" s="135"/>
      <c r="D274" s="135"/>
      <c r="E274" s="135"/>
      <c r="F274" s="189"/>
      <c r="G274" s="135"/>
      <c r="H274" s="135"/>
      <c r="I274" s="135"/>
      <c r="J274" s="135"/>
      <c r="K274" s="135"/>
      <c r="L274" s="189"/>
      <c r="M274" s="135"/>
      <c r="N274" s="135"/>
      <c r="O274" s="135"/>
    </row>
    <row r="275" customFormat="false" ht="15.75" hidden="false" customHeight="true" outlineLevel="0" collapsed="false">
      <c r="A275" s="135"/>
      <c r="B275" s="135"/>
      <c r="C275" s="135"/>
      <c r="D275" s="135"/>
      <c r="E275" s="135"/>
      <c r="F275" s="189"/>
      <c r="G275" s="135"/>
      <c r="H275" s="135"/>
      <c r="I275" s="135"/>
      <c r="J275" s="135"/>
      <c r="K275" s="135"/>
      <c r="L275" s="189"/>
      <c r="M275" s="135"/>
      <c r="N275" s="135"/>
      <c r="O275" s="135"/>
    </row>
    <row r="276" customFormat="false" ht="15.75" hidden="false" customHeight="true" outlineLevel="0" collapsed="false">
      <c r="A276" s="135"/>
      <c r="B276" s="135"/>
      <c r="C276" s="135"/>
      <c r="D276" s="135"/>
      <c r="E276" s="135"/>
      <c r="F276" s="189"/>
      <c r="G276" s="135"/>
      <c r="H276" s="135"/>
      <c r="I276" s="135"/>
      <c r="J276" s="135"/>
      <c r="K276" s="135"/>
      <c r="L276" s="189"/>
      <c r="M276" s="135"/>
      <c r="N276" s="135"/>
      <c r="O276" s="135"/>
    </row>
    <row r="277" customFormat="false" ht="15.75" hidden="false" customHeight="true" outlineLevel="0" collapsed="false">
      <c r="A277" s="135"/>
      <c r="B277" s="135"/>
      <c r="C277" s="135"/>
      <c r="D277" s="135"/>
      <c r="E277" s="135"/>
      <c r="F277" s="189"/>
      <c r="G277" s="135"/>
      <c r="H277" s="135"/>
      <c r="I277" s="135"/>
      <c r="J277" s="135"/>
      <c r="K277" s="135"/>
      <c r="L277" s="189"/>
      <c r="M277" s="135"/>
      <c r="N277" s="135"/>
      <c r="O277" s="135"/>
    </row>
    <row r="278" customFormat="false" ht="15.75" hidden="false" customHeight="true" outlineLevel="0" collapsed="false">
      <c r="A278" s="135"/>
      <c r="B278" s="135"/>
      <c r="C278" s="135"/>
      <c r="D278" s="135"/>
      <c r="E278" s="135"/>
      <c r="F278" s="189"/>
      <c r="G278" s="135"/>
      <c r="H278" s="135"/>
      <c r="I278" s="135"/>
      <c r="J278" s="135"/>
      <c r="K278" s="135"/>
      <c r="L278" s="189"/>
      <c r="M278" s="135"/>
      <c r="N278" s="135"/>
      <c r="O278" s="135"/>
    </row>
    <row r="279" customFormat="false" ht="15.75" hidden="false" customHeight="true" outlineLevel="0" collapsed="false">
      <c r="A279" s="135"/>
      <c r="B279" s="135"/>
      <c r="C279" s="135"/>
      <c r="D279" s="135"/>
      <c r="E279" s="135"/>
      <c r="F279" s="189"/>
      <c r="G279" s="135"/>
      <c r="H279" s="135"/>
      <c r="I279" s="135"/>
      <c r="J279" s="135"/>
      <c r="K279" s="135"/>
      <c r="L279" s="189"/>
      <c r="M279" s="135"/>
      <c r="N279" s="135"/>
      <c r="O279" s="135"/>
    </row>
    <row r="280" customFormat="false" ht="15.75" hidden="false" customHeight="true" outlineLevel="0" collapsed="false">
      <c r="A280" s="135"/>
      <c r="B280" s="135"/>
      <c r="C280" s="135"/>
      <c r="D280" s="135"/>
      <c r="E280" s="135"/>
      <c r="F280" s="189"/>
      <c r="G280" s="135"/>
      <c r="H280" s="135"/>
      <c r="I280" s="135"/>
      <c r="J280" s="135"/>
      <c r="K280" s="135"/>
      <c r="L280" s="189"/>
      <c r="M280" s="135"/>
      <c r="N280" s="135"/>
      <c r="O280" s="135"/>
    </row>
    <row r="281" customFormat="false" ht="15.75" hidden="false" customHeight="true" outlineLevel="0" collapsed="false">
      <c r="A281" s="135"/>
      <c r="B281" s="135"/>
      <c r="C281" s="135"/>
      <c r="D281" s="135"/>
      <c r="E281" s="135"/>
      <c r="F281" s="189"/>
      <c r="G281" s="135"/>
      <c r="H281" s="135"/>
      <c r="I281" s="135"/>
      <c r="J281" s="135"/>
      <c r="K281" s="135"/>
      <c r="L281" s="189"/>
      <c r="M281" s="135"/>
      <c r="N281" s="135"/>
      <c r="O281" s="135"/>
    </row>
    <row r="282" customFormat="false" ht="15.75" hidden="false" customHeight="true" outlineLevel="0" collapsed="false">
      <c r="A282" s="135"/>
      <c r="B282" s="135"/>
      <c r="C282" s="135"/>
      <c r="D282" s="135"/>
      <c r="E282" s="135"/>
      <c r="F282" s="189"/>
      <c r="G282" s="135"/>
      <c r="H282" s="135"/>
      <c r="I282" s="135"/>
      <c r="J282" s="135"/>
      <c r="K282" s="135"/>
      <c r="L282" s="189"/>
      <c r="M282" s="135"/>
      <c r="N282" s="135"/>
      <c r="O282" s="135"/>
    </row>
    <row r="283" customFormat="false" ht="15.75" hidden="false" customHeight="true" outlineLevel="0" collapsed="false">
      <c r="A283" s="135"/>
      <c r="B283" s="135"/>
      <c r="C283" s="135"/>
      <c r="D283" s="135"/>
      <c r="E283" s="135"/>
      <c r="F283" s="189"/>
      <c r="G283" s="135"/>
      <c r="H283" s="135"/>
      <c r="I283" s="135"/>
      <c r="J283" s="135"/>
      <c r="K283" s="135"/>
      <c r="L283" s="189"/>
      <c r="M283" s="135"/>
      <c r="N283" s="135"/>
      <c r="O283" s="135"/>
    </row>
    <row r="284" customFormat="false" ht="15.75" hidden="false" customHeight="true" outlineLevel="0" collapsed="false">
      <c r="A284" s="135"/>
      <c r="B284" s="135"/>
      <c r="C284" s="135"/>
      <c r="D284" s="135"/>
      <c r="E284" s="135"/>
      <c r="F284" s="189"/>
      <c r="G284" s="135"/>
      <c r="H284" s="135"/>
      <c r="I284" s="135"/>
      <c r="J284" s="135"/>
      <c r="K284" s="135"/>
      <c r="L284" s="189"/>
      <c r="M284" s="135"/>
      <c r="N284" s="135"/>
      <c r="O284" s="135"/>
    </row>
    <row r="285" customFormat="false" ht="15.75" hidden="false" customHeight="true" outlineLevel="0" collapsed="false">
      <c r="A285" s="135"/>
      <c r="B285" s="135"/>
      <c r="C285" s="135"/>
      <c r="D285" s="135"/>
      <c r="E285" s="135"/>
      <c r="F285" s="189"/>
      <c r="G285" s="135"/>
      <c r="H285" s="135"/>
      <c r="I285" s="135"/>
      <c r="J285" s="135"/>
      <c r="K285" s="135"/>
      <c r="L285" s="189"/>
      <c r="M285" s="135"/>
      <c r="N285" s="135"/>
      <c r="O285" s="135"/>
    </row>
    <row r="286" customFormat="false" ht="15.75" hidden="false" customHeight="true" outlineLevel="0" collapsed="false">
      <c r="A286" s="135"/>
      <c r="B286" s="135"/>
      <c r="C286" s="135"/>
      <c r="D286" s="135"/>
      <c r="E286" s="135"/>
      <c r="F286" s="189"/>
      <c r="G286" s="135"/>
      <c r="H286" s="135"/>
      <c r="I286" s="135"/>
      <c r="J286" s="135"/>
      <c r="K286" s="135"/>
      <c r="L286" s="189"/>
      <c r="M286" s="135"/>
      <c r="N286" s="135"/>
      <c r="O286" s="135"/>
    </row>
    <row r="287" customFormat="false" ht="15.75" hidden="false" customHeight="true" outlineLevel="0" collapsed="false">
      <c r="A287" s="135"/>
      <c r="B287" s="135"/>
      <c r="C287" s="135"/>
      <c r="D287" s="135"/>
      <c r="E287" s="135"/>
      <c r="F287" s="189"/>
      <c r="G287" s="135"/>
      <c r="H287" s="135"/>
      <c r="I287" s="135"/>
      <c r="J287" s="135"/>
      <c r="K287" s="135"/>
      <c r="L287" s="189"/>
      <c r="M287" s="135"/>
      <c r="N287" s="135"/>
      <c r="O287" s="135"/>
    </row>
    <row r="288" customFormat="false" ht="15.75" hidden="false" customHeight="true" outlineLevel="0" collapsed="false">
      <c r="A288" s="135"/>
      <c r="B288" s="135"/>
      <c r="C288" s="135"/>
      <c r="D288" s="135"/>
      <c r="E288" s="135"/>
      <c r="F288" s="189"/>
      <c r="G288" s="135"/>
      <c r="H288" s="135"/>
      <c r="I288" s="135"/>
      <c r="J288" s="135"/>
      <c r="K288" s="135"/>
      <c r="L288" s="189"/>
      <c r="M288" s="135"/>
      <c r="N288" s="135"/>
      <c r="O288" s="135"/>
    </row>
    <row r="289" customFormat="false" ht="15.75" hidden="false" customHeight="true" outlineLevel="0" collapsed="false">
      <c r="A289" s="135"/>
      <c r="B289" s="135"/>
      <c r="C289" s="135"/>
      <c r="D289" s="135"/>
      <c r="E289" s="135"/>
      <c r="F289" s="189"/>
      <c r="G289" s="135"/>
      <c r="H289" s="135"/>
      <c r="I289" s="135"/>
      <c r="J289" s="135"/>
      <c r="K289" s="135"/>
      <c r="L289" s="189"/>
      <c r="M289" s="135"/>
      <c r="N289" s="135"/>
      <c r="O289" s="135"/>
    </row>
    <row r="290" customFormat="false" ht="15.75" hidden="false" customHeight="true" outlineLevel="0" collapsed="false">
      <c r="A290" s="135"/>
      <c r="B290" s="135"/>
      <c r="C290" s="135"/>
      <c r="D290" s="135"/>
      <c r="E290" s="135"/>
      <c r="F290" s="189"/>
      <c r="G290" s="135"/>
      <c r="H290" s="135"/>
      <c r="I290" s="135"/>
      <c r="J290" s="135"/>
      <c r="K290" s="135"/>
      <c r="L290" s="189"/>
      <c r="M290" s="135"/>
      <c r="N290" s="135"/>
      <c r="O290" s="135"/>
    </row>
    <row r="291" customFormat="false" ht="15.75" hidden="false" customHeight="true" outlineLevel="0" collapsed="false">
      <c r="A291" s="135"/>
      <c r="B291" s="135"/>
      <c r="C291" s="135"/>
      <c r="D291" s="135"/>
      <c r="E291" s="135"/>
      <c r="F291" s="189"/>
      <c r="G291" s="135"/>
      <c r="H291" s="135"/>
      <c r="I291" s="135"/>
      <c r="J291" s="135"/>
      <c r="K291" s="135"/>
      <c r="L291" s="189"/>
      <c r="M291" s="135"/>
      <c r="N291" s="135"/>
      <c r="O291" s="135"/>
    </row>
    <row r="292" customFormat="false" ht="15.75" hidden="false" customHeight="true" outlineLevel="0" collapsed="false">
      <c r="A292" s="135"/>
      <c r="B292" s="135"/>
      <c r="C292" s="135"/>
      <c r="D292" s="135"/>
      <c r="E292" s="135"/>
      <c r="F292" s="189"/>
      <c r="G292" s="135"/>
      <c r="H292" s="135"/>
      <c r="I292" s="135"/>
      <c r="J292" s="135"/>
      <c r="K292" s="135"/>
      <c r="L292" s="189"/>
      <c r="M292" s="135"/>
      <c r="N292" s="135"/>
      <c r="O292" s="135"/>
    </row>
    <row r="293" customFormat="false" ht="15.75" hidden="false" customHeight="true" outlineLevel="0" collapsed="false">
      <c r="A293" s="135"/>
      <c r="B293" s="135"/>
      <c r="C293" s="135"/>
      <c r="D293" s="135"/>
      <c r="E293" s="135"/>
      <c r="F293" s="189"/>
      <c r="G293" s="135"/>
      <c r="H293" s="135"/>
      <c r="I293" s="135"/>
      <c r="J293" s="135"/>
      <c r="K293" s="135"/>
      <c r="L293" s="189"/>
      <c r="M293" s="135"/>
      <c r="N293" s="135"/>
      <c r="O293" s="135"/>
    </row>
    <row r="294" customFormat="false" ht="15.75" hidden="false" customHeight="true" outlineLevel="0" collapsed="false">
      <c r="A294" s="135"/>
      <c r="B294" s="135"/>
      <c r="C294" s="135"/>
      <c r="D294" s="135"/>
      <c r="E294" s="135"/>
      <c r="F294" s="189"/>
      <c r="G294" s="135"/>
      <c r="H294" s="135"/>
      <c r="I294" s="135"/>
      <c r="J294" s="135"/>
      <c r="K294" s="135"/>
      <c r="L294" s="189"/>
      <c r="M294" s="135"/>
      <c r="N294" s="135"/>
      <c r="O294" s="135"/>
    </row>
    <row r="295" customFormat="false" ht="15.75" hidden="false" customHeight="true" outlineLevel="0" collapsed="false">
      <c r="A295" s="135"/>
      <c r="B295" s="135"/>
      <c r="C295" s="135"/>
      <c r="D295" s="135"/>
      <c r="E295" s="135"/>
      <c r="F295" s="189"/>
      <c r="G295" s="135"/>
      <c r="H295" s="135"/>
      <c r="I295" s="135"/>
      <c r="J295" s="135"/>
      <c r="K295" s="135"/>
      <c r="L295" s="189"/>
      <c r="M295" s="135"/>
      <c r="N295" s="135"/>
      <c r="O295" s="135"/>
    </row>
    <row r="296" customFormat="false" ht="15.75" hidden="false" customHeight="true" outlineLevel="0" collapsed="false">
      <c r="A296" s="135"/>
      <c r="B296" s="135"/>
      <c r="C296" s="135"/>
      <c r="D296" s="135"/>
      <c r="E296" s="135"/>
      <c r="F296" s="189"/>
      <c r="G296" s="135"/>
      <c r="H296" s="135"/>
      <c r="I296" s="135"/>
      <c r="J296" s="135"/>
      <c r="K296" s="135"/>
      <c r="L296" s="189"/>
      <c r="M296" s="135"/>
      <c r="N296" s="135"/>
      <c r="O296" s="135"/>
    </row>
    <row r="297" customFormat="false" ht="15.75" hidden="false" customHeight="true" outlineLevel="0" collapsed="false">
      <c r="A297" s="135"/>
      <c r="B297" s="135"/>
      <c r="C297" s="135"/>
      <c r="D297" s="135"/>
      <c r="E297" s="135"/>
      <c r="F297" s="189"/>
      <c r="G297" s="135"/>
      <c r="H297" s="135"/>
      <c r="I297" s="135"/>
      <c r="J297" s="135"/>
      <c r="K297" s="135"/>
      <c r="L297" s="189"/>
      <c r="M297" s="135"/>
      <c r="N297" s="135"/>
      <c r="O297" s="135"/>
    </row>
    <row r="298" customFormat="false" ht="15.75" hidden="false" customHeight="true" outlineLevel="0" collapsed="false">
      <c r="A298" s="135"/>
      <c r="B298" s="135"/>
      <c r="C298" s="135"/>
      <c r="D298" s="135"/>
      <c r="E298" s="135"/>
      <c r="F298" s="189"/>
      <c r="G298" s="135"/>
      <c r="H298" s="135"/>
      <c r="I298" s="135"/>
      <c r="J298" s="135"/>
      <c r="K298" s="135"/>
      <c r="L298" s="189"/>
      <c r="M298" s="135"/>
      <c r="N298" s="135"/>
      <c r="O298" s="135"/>
    </row>
    <row r="299" customFormat="false" ht="15.75" hidden="false" customHeight="true" outlineLevel="0" collapsed="false">
      <c r="A299" s="135"/>
      <c r="B299" s="135"/>
      <c r="C299" s="135"/>
      <c r="D299" s="135"/>
      <c r="E299" s="135"/>
      <c r="F299" s="189"/>
      <c r="G299" s="135"/>
      <c r="H299" s="135"/>
      <c r="I299" s="135"/>
      <c r="J299" s="135"/>
      <c r="K299" s="135"/>
      <c r="L299" s="189"/>
      <c r="M299" s="135"/>
      <c r="N299" s="135"/>
      <c r="O299" s="135"/>
    </row>
    <row r="300" customFormat="false" ht="15.75" hidden="false" customHeight="true" outlineLevel="0" collapsed="false">
      <c r="A300" s="135"/>
      <c r="B300" s="135"/>
      <c r="C300" s="135"/>
      <c r="D300" s="135"/>
      <c r="E300" s="135"/>
      <c r="F300" s="189"/>
      <c r="G300" s="135"/>
      <c r="H300" s="135"/>
      <c r="I300" s="135"/>
      <c r="J300" s="135"/>
      <c r="K300" s="135"/>
      <c r="L300" s="189"/>
      <c r="M300" s="135"/>
      <c r="N300" s="135"/>
      <c r="O300" s="135"/>
    </row>
    <row r="301" customFormat="false" ht="15.75" hidden="false" customHeight="true" outlineLevel="0" collapsed="false">
      <c r="A301" s="135"/>
      <c r="B301" s="135"/>
      <c r="C301" s="135"/>
      <c r="D301" s="135"/>
      <c r="E301" s="135"/>
      <c r="F301" s="189"/>
      <c r="G301" s="135"/>
      <c r="H301" s="135"/>
      <c r="I301" s="135"/>
      <c r="J301" s="135"/>
      <c r="K301" s="135"/>
      <c r="L301" s="189"/>
      <c r="M301" s="135"/>
      <c r="N301" s="135"/>
      <c r="O301" s="135"/>
    </row>
    <row r="302" customFormat="false" ht="15.75" hidden="false" customHeight="true" outlineLevel="0" collapsed="false">
      <c r="A302" s="135"/>
      <c r="B302" s="135"/>
      <c r="C302" s="135"/>
      <c r="D302" s="135"/>
      <c r="E302" s="135"/>
      <c r="F302" s="189"/>
      <c r="G302" s="135"/>
      <c r="H302" s="135"/>
      <c r="I302" s="135"/>
      <c r="J302" s="135"/>
      <c r="K302" s="135"/>
      <c r="L302" s="189"/>
      <c r="M302" s="135"/>
      <c r="N302" s="135"/>
      <c r="O302" s="135"/>
    </row>
    <row r="303" customFormat="false" ht="15.75" hidden="false" customHeight="true" outlineLevel="0" collapsed="false">
      <c r="A303" s="135"/>
      <c r="B303" s="135"/>
      <c r="C303" s="135"/>
      <c r="D303" s="135"/>
      <c r="E303" s="135"/>
      <c r="F303" s="189"/>
      <c r="G303" s="135"/>
      <c r="H303" s="135"/>
      <c r="I303" s="135"/>
      <c r="J303" s="135"/>
      <c r="K303" s="135"/>
      <c r="L303" s="189"/>
      <c r="M303" s="135"/>
      <c r="N303" s="135"/>
      <c r="O303" s="135"/>
    </row>
    <row r="304" customFormat="false" ht="15.75" hidden="false" customHeight="true" outlineLevel="0" collapsed="false">
      <c r="A304" s="135"/>
      <c r="B304" s="135"/>
      <c r="C304" s="135"/>
      <c r="D304" s="135"/>
      <c r="E304" s="135"/>
      <c r="F304" s="189"/>
      <c r="G304" s="135"/>
      <c r="H304" s="135"/>
      <c r="I304" s="135"/>
      <c r="J304" s="135"/>
      <c r="K304" s="135"/>
      <c r="L304" s="189"/>
      <c r="M304" s="135"/>
      <c r="N304" s="135"/>
      <c r="O304" s="135"/>
    </row>
    <row r="305" customFormat="false" ht="15.75" hidden="false" customHeight="true" outlineLevel="0" collapsed="false">
      <c r="A305" s="135"/>
      <c r="B305" s="135"/>
      <c r="C305" s="135"/>
      <c r="D305" s="135"/>
      <c r="E305" s="135"/>
      <c r="F305" s="189"/>
      <c r="G305" s="135"/>
      <c r="H305" s="135"/>
      <c r="I305" s="135"/>
      <c r="J305" s="135"/>
      <c r="K305" s="135"/>
      <c r="L305" s="189"/>
      <c r="M305" s="135"/>
      <c r="N305" s="135"/>
      <c r="O305" s="135"/>
    </row>
    <row r="306" customFormat="false" ht="15.75" hidden="false" customHeight="true" outlineLevel="0" collapsed="false">
      <c r="A306" s="135"/>
      <c r="B306" s="135"/>
      <c r="C306" s="135"/>
      <c r="D306" s="135"/>
      <c r="E306" s="135"/>
      <c r="F306" s="189"/>
      <c r="G306" s="135"/>
      <c r="H306" s="135"/>
      <c r="I306" s="135"/>
      <c r="J306" s="135"/>
      <c r="K306" s="135"/>
      <c r="L306" s="189"/>
      <c r="M306" s="135"/>
      <c r="N306" s="135"/>
      <c r="O306" s="135"/>
    </row>
    <row r="307" customFormat="false" ht="15.75" hidden="false" customHeight="true" outlineLevel="0" collapsed="false">
      <c r="A307" s="135"/>
      <c r="B307" s="135"/>
      <c r="C307" s="135"/>
      <c r="D307" s="135"/>
      <c r="E307" s="135"/>
      <c r="F307" s="189"/>
      <c r="G307" s="135"/>
      <c r="H307" s="135"/>
      <c r="I307" s="135"/>
      <c r="J307" s="135"/>
      <c r="K307" s="135"/>
      <c r="L307" s="189"/>
      <c r="M307" s="135"/>
      <c r="N307" s="135"/>
      <c r="O307" s="135"/>
    </row>
    <row r="308" customFormat="false" ht="15.75" hidden="false" customHeight="true" outlineLevel="0" collapsed="false">
      <c r="A308" s="135"/>
      <c r="B308" s="135"/>
      <c r="C308" s="135"/>
      <c r="D308" s="135"/>
      <c r="E308" s="135"/>
      <c r="F308" s="189"/>
      <c r="G308" s="135"/>
      <c r="H308" s="135"/>
      <c r="I308" s="135"/>
      <c r="J308" s="135"/>
      <c r="K308" s="135"/>
      <c r="L308" s="189"/>
      <c r="M308" s="135"/>
      <c r="N308" s="135"/>
      <c r="O308" s="135"/>
    </row>
    <row r="309" customFormat="false" ht="15.75" hidden="false" customHeight="true" outlineLevel="0" collapsed="false">
      <c r="A309" s="135"/>
      <c r="B309" s="135"/>
      <c r="C309" s="135"/>
      <c r="D309" s="135"/>
      <c r="E309" s="135"/>
      <c r="F309" s="189"/>
      <c r="G309" s="135"/>
      <c r="H309" s="135"/>
      <c r="I309" s="135"/>
      <c r="J309" s="135"/>
      <c r="K309" s="135"/>
      <c r="L309" s="189"/>
      <c r="M309" s="135"/>
      <c r="N309" s="135"/>
      <c r="O309" s="135"/>
    </row>
    <row r="310" customFormat="false" ht="15.75" hidden="false" customHeight="true" outlineLevel="0" collapsed="false">
      <c r="A310" s="135"/>
      <c r="B310" s="135"/>
      <c r="C310" s="135"/>
      <c r="D310" s="135"/>
      <c r="E310" s="135"/>
      <c r="F310" s="189"/>
      <c r="G310" s="135"/>
      <c r="H310" s="135"/>
      <c r="I310" s="135"/>
      <c r="J310" s="135"/>
      <c r="K310" s="135"/>
      <c r="L310" s="189"/>
      <c r="M310" s="135"/>
      <c r="N310" s="135"/>
      <c r="O310" s="135"/>
    </row>
    <row r="311" customFormat="false" ht="15.75" hidden="false" customHeight="true" outlineLevel="0" collapsed="false">
      <c r="A311" s="135"/>
      <c r="B311" s="135"/>
      <c r="C311" s="135"/>
      <c r="D311" s="135"/>
      <c r="E311" s="135"/>
      <c r="F311" s="189"/>
      <c r="G311" s="135"/>
      <c r="H311" s="135"/>
      <c r="I311" s="135"/>
      <c r="J311" s="135"/>
      <c r="K311" s="135"/>
      <c r="L311" s="189"/>
      <c r="M311" s="135"/>
      <c r="N311" s="135"/>
      <c r="O311" s="135"/>
    </row>
    <row r="312" customFormat="false" ht="15.75" hidden="false" customHeight="true" outlineLevel="0" collapsed="false">
      <c r="A312" s="135"/>
      <c r="B312" s="135"/>
      <c r="C312" s="135"/>
      <c r="D312" s="135"/>
      <c r="E312" s="135"/>
      <c r="F312" s="189"/>
      <c r="G312" s="135"/>
      <c r="H312" s="135"/>
      <c r="I312" s="135"/>
      <c r="J312" s="135"/>
      <c r="K312" s="135"/>
      <c r="L312" s="189"/>
      <c r="M312" s="135"/>
      <c r="N312" s="135"/>
      <c r="O312" s="135"/>
    </row>
    <row r="313" customFormat="false" ht="15.75" hidden="false" customHeight="true" outlineLevel="0" collapsed="false">
      <c r="A313" s="135"/>
      <c r="B313" s="135"/>
      <c r="C313" s="135"/>
      <c r="D313" s="135"/>
      <c r="E313" s="135"/>
      <c r="F313" s="189"/>
      <c r="G313" s="135"/>
      <c r="H313" s="135"/>
      <c r="I313" s="135"/>
      <c r="J313" s="135"/>
      <c r="K313" s="135"/>
      <c r="L313" s="189"/>
      <c r="M313" s="135"/>
      <c r="N313" s="135"/>
      <c r="O313" s="135"/>
    </row>
    <row r="314" customFormat="false" ht="15.75" hidden="false" customHeight="true" outlineLevel="0" collapsed="false">
      <c r="A314" s="135"/>
      <c r="B314" s="135"/>
      <c r="C314" s="135"/>
      <c r="D314" s="135"/>
      <c r="E314" s="135"/>
      <c r="F314" s="189"/>
      <c r="G314" s="135"/>
      <c r="H314" s="135"/>
      <c r="I314" s="135"/>
      <c r="J314" s="135"/>
      <c r="K314" s="135"/>
      <c r="L314" s="189"/>
      <c r="M314" s="135"/>
      <c r="N314" s="135"/>
      <c r="O314" s="135"/>
    </row>
    <row r="315" customFormat="false" ht="15.75" hidden="false" customHeight="true" outlineLevel="0" collapsed="false">
      <c r="A315" s="135"/>
      <c r="B315" s="135"/>
      <c r="C315" s="135"/>
      <c r="D315" s="135"/>
      <c r="E315" s="135"/>
      <c r="F315" s="189"/>
      <c r="G315" s="135"/>
      <c r="H315" s="135"/>
      <c r="I315" s="135"/>
      <c r="J315" s="135"/>
      <c r="K315" s="135"/>
      <c r="L315" s="189"/>
      <c r="M315" s="135"/>
      <c r="N315" s="135"/>
      <c r="O315" s="135"/>
    </row>
    <row r="316" customFormat="false" ht="15.75" hidden="false" customHeight="true" outlineLevel="0" collapsed="false">
      <c r="A316" s="135"/>
      <c r="B316" s="135"/>
      <c r="C316" s="135"/>
      <c r="D316" s="135"/>
      <c r="E316" s="135"/>
      <c r="F316" s="189"/>
      <c r="G316" s="135"/>
      <c r="H316" s="135"/>
      <c r="I316" s="135"/>
      <c r="J316" s="135"/>
      <c r="K316" s="135"/>
      <c r="L316" s="189"/>
      <c r="M316" s="135"/>
      <c r="N316" s="135"/>
      <c r="O316" s="135"/>
    </row>
    <row r="317" customFormat="false" ht="15.75" hidden="false" customHeight="true" outlineLevel="0" collapsed="false">
      <c r="A317" s="135"/>
      <c r="B317" s="135"/>
      <c r="C317" s="135"/>
      <c r="D317" s="135"/>
      <c r="E317" s="135"/>
      <c r="F317" s="189"/>
      <c r="G317" s="135"/>
      <c r="H317" s="135"/>
      <c r="I317" s="135"/>
      <c r="J317" s="135"/>
      <c r="K317" s="135"/>
      <c r="L317" s="189"/>
      <c r="M317" s="135"/>
      <c r="N317" s="135"/>
      <c r="O317" s="135"/>
    </row>
    <row r="318" customFormat="false" ht="15.75" hidden="false" customHeight="true" outlineLevel="0" collapsed="false">
      <c r="A318" s="135"/>
      <c r="B318" s="135"/>
      <c r="C318" s="135"/>
      <c r="D318" s="135"/>
      <c r="E318" s="135"/>
      <c r="F318" s="189"/>
      <c r="G318" s="135"/>
      <c r="H318" s="135"/>
      <c r="I318" s="135"/>
      <c r="J318" s="135"/>
      <c r="K318" s="135"/>
      <c r="L318" s="189"/>
      <c r="M318" s="135"/>
      <c r="N318" s="135"/>
      <c r="O318" s="135"/>
    </row>
    <row r="319" customFormat="false" ht="15.75" hidden="false" customHeight="true" outlineLevel="0" collapsed="false">
      <c r="A319" s="135"/>
      <c r="B319" s="135"/>
      <c r="C319" s="135"/>
      <c r="D319" s="135"/>
      <c r="E319" s="135"/>
      <c r="F319" s="189"/>
      <c r="G319" s="135"/>
      <c r="H319" s="135"/>
      <c r="I319" s="135"/>
      <c r="J319" s="135"/>
      <c r="K319" s="135"/>
      <c r="L319" s="189"/>
      <c r="M319" s="135"/>
      <c r="N319" s="135"/>
      <c r="O319" s="135"/>
    </row>
    <row r="320" customFormat="false" ht="15.75" hidden="false" customHeight="true" outlineLevel="0" collapsed="false">
      <c r="A320" s="135"/>
      <c r="B320" s="135"/>
      <c r="C320" s="135"/>
      <c r="D320" s="135"/>
      <c r="E320" s="135"/>
      <c r="F320" s="189"/>
      <c r="G320" s="135"/>
      <c r="H320" s="135"/>
      <c r="I320" s="135"/>
      <c r="J320" s="135"/>
      <c r="K320" s="135"/>
      <c r="L320" s="189"/>
      <c r="M320" s="135"/>
      <c r="N320" s="135"/>
      <c r="O320" s="135"/>
    </row>
    <row r="321" customFormat="false" ht="15.75" hidden="false" customHeight="true" outlineLevel="0" collapsed="false">
      <c r="A321" s="135"/>
      <c r="B321" s="135"/>
      <c r="C321" s="135"/>
      <c r="D321" s="135"/>
      <c r="E321" s="135"/>
      <c r="F321" s="189"/>
      <c r="G321" s="135"/>
      <c r="H321" s="135"/>
      <c r="I321" s="135"/>
      <c r="J321" s="135"/>
      <c r="K321" s="135"/>
      <c r="L321" s="189"/>
      <c r="M321" s="135"/>
      <c r="N321" s="135"/>
      <c r="O321" s="135"/>
    </row>
    <row r="322" customFormat="false" ht="15.75" hidden="false" customHeight="true" outlineLevel="0" collapsed="false">
      <c r="A322" s="135"/>
      <c r="B322" s="135"/>
      <c r="C322" s="135"/>
      <c r="D322" s="135"/>
      <c r="E322" s="135"/>
      <c r="F322" s="189"/>
      <c r="G322" s="135"/>
      <c r="H322" s="135"/>
      <c r="I322" s="135"/>
      <c r="J322" s="135"/>
      <c r="K322" s="135"/>
      <c r="L322" s="189"/>
      <c r="M322" s="135"/>
      <c r="N322" s="135"/>
      <c r="O322" s="135"/>
    </row>
    <row r="323" customFormat="false" ht="15.75" hidden="false" customHeight="true" outlineLevel="0" collapsed="false">
      <c r="A323" s="135"/>
      <c r="B323" s="135"/>
      <c r="C323" s="135"/>
      <c r="D323" s="135"/>
      <c r="E323" s="135"/>
      <c r="F323" s="189"/>
      <c r="G323" s="135"/>
      <c r="H323" s="135"/>
      <c r="I323" s="135"/>
      <c r="J323" s="135"/>
      <c r="K323" s="135"/>
      <c r="L323" s="189"/>
      <c r="M323" s="135"/>
      <c r="N323" s="135"/>
      <c r="O323" s="135"/>
    </row>
    <row r="324" customFormat="false" ht="15.75" hidden="false" customHeight="true" outlineLevel="0" collapsed="false">
      <c r="A324" s="135"/>
      <c r="B324" s="135"/>
      <c r="C324" s="135"/>
      <c r="D324" s="135"/>
      <c r="E324" s="135"/>
      <c r="F324" s="189"/>
      <c r="G324" s="135"/>
      <c r="H324" s="135"/>
      <c r="I324" s="135"/>
      <c r="J324" s="135"/>
      <c r="K324" s="135"/>
      <c r="L324" s="189"/>
      <c r="M324" s="135"/>
      <c r="N324" s="135"/>
      <c r="O324" s="135"/>
    </row>
    <row r="325" customFormat="false" ht="15.75" hidden="false" customHeight="true" outlineLevel="0" collapsed="false">
      <c r="A325" s="135"/>
      <c r="B325" s="135"/>
      <c r="C325" s="135"/>
      <c r="D325" s="135"/>
      <c r="E325" s="135"/>
      <c r="F325" s="189"/>
      <c r="G325" s="135"/>
      <c r="H325" s="135"/>
      <c r="I325" s="135"/>
      <c r="J325" s="135"/>
      <c r="K325" s="135"/>
      <c r="L325" s="189"/>
      <c r="M325" s="135"/>
      <c r="N325" s="135"/>
      <c r="O325" s="135"/>
    </row>
    <row r="326" customFormat="false" ht="15.75" hidden="false" customHeight="true" outlineLevel="0" collapsed="false">
      <c r="A326" s="135"/>
      <c r="B326" s="135"/>
      <c r="C326" s="135"/>
      <c r="D326" s="135"/>
      <c r="E326" s="135"/>
      <c r="F326" s="189"/>
      <c r="G326" s="135"/>
      <c r="H326" s="135"/>
      <c r="I326" s="135"/>
      <c r="J326" s="135"/>
      <c r="K326" s="135"/>
      <c r="L326" s="189"/>
      <c r="M326" s="135"/>
      <c r="N326" s="135"/>
      <c r="O326" s="135"/>
    </row>
    <row r="327" customFormat="false" ht="15.75" hidden="false" customHeight="true" outlineLevel="0" collapsed="false">
      <c r="A327" s="135"/>
      <c r="B327" s="135"/>
      <c r="C327" s="135"/>
      <c r="D327" s="135"/>
      <c r="E327" s="135"/>
      <c r="F327" s="189"/>
      <c r="G327" s="135"/>
      <c r="H327" s="135"/>
      <c r="I327" s="135"/>
      <c r="J327" s="135"/>
      <c r="K327" s="135"/>
      <c r="L327" s="189"/>
      <c r="M327" s="135"/>
      <c r="N327" s="135"/>
      <c r="O327" s="135"/>
    </row>
    <row r="328" customFormat="false" ht="15.75" hidden="false" customHeight="true" outlineLevel="0" collapsed="false">
      <c r="A328" s="135"/>
      <c r="B328" s="135"/>
      <c r="C328" s="135"/>
      <c r="D328" s="135"/>
      <c r="E328" s="135"/>
      <c r="F328" s="189"/>
      <c r="G328" s="135"/>
      <c r="H328" s="135"/>
      <c r="I328" s="135"/>
      <c r="J328" s="135"/>
      <c r="K328" s="135"/>
      <c r="L328" s="189"/>
      <c r="M328" s="135"/>
      <c r="N328" s="135"/>
      <c r="O328" s="135"/>
    </row>
    <row r="329" customFormat="false" ht="15.75" hidden="false" customHeight="true" outlineLevel="0" collapsed="false">
      <c r="A329" s="135"/>
      <c r="B329" s="135"/>
      <c r="C329" s="135"/>
      <c r="D329" s="135"/>
      <c r="E329" s="135"/>
      <c r="F329" s="189"/>
      <c r="G329" s="135"/>
      <c r="H329" s="135"/>
      <c r="I329" s="135"/>
      <c r="J329" s="135"/>
      <c r="K329" s="135"/>
      <c r="L329" s="189"/>
      <c r="M329" s="135"/>
      <c r="N329" s="135"/>
      <c r="O329" s="135"/>
    </row>
    <row r="330" customFormat="false" ht="15.75" hidden="false" customHeight="true" outlineLevel="0" collapsed="false">
      <c r="A330" s="135"/>
      <c r="B330" s="135"/>
      <c r="C330" s="135"/>
      <c r="D330" s="135"/>
      <c r="E330" s="135"/>
      <c r="F330" s="189"/>
      <c r="G330" s="135"/>
      <c r="H330" s="135"/>
      <c r="I330" s="135"/>
      <c r="J330" s="135"/>
      <c r="K330" s="135"/>
      <c r="L330" s="189"/>
      <c r="M330" s="135"/>
      <c r="N330" s="135"/>
      <c r="O330" s="135"/>
    </row>
    <row r="331" customFormat="false" ht="15.75" hidden="false" customHeight="true" outlineLevel="0" collapsed="false">
      <c r="A331" s="135"/>
      <c r="B331" s="135"/>
      <c r="C331" s="135"/>
      <c r="D331" s="135"/>
      <c r="E331" s="135"/>
      <c r="F331" s="189"/>
      <c r="G331" s="135"/>
      <c r="H331" s="135"/>
      <c r="I331" s="135"/>
      <c r="J331" s="135"/>
      <c r="K331" s="135"/>
      <c r="L331" s="189"/>
      <c r="M331" s="135"/>
      <c r="N331" s="135"/>
      <c r="O331" s="135"/>
    </row>
    <row r="332" customFormat="false" ht="15.75" hidden="false" customHeight="true" outlineLevel="0" collapsed="false">
      <c r="A332" s="135"/>
      <c r="B332" s="135"/>
      <c r="C332" s="135"/>
      <c r="D332" s="135"/>
      <c r="E332" s="135"/>
      <c r="F332" s="189"/>
      <c r="G332" s="135"/>
      <c r="H332" s="135"/>
      <c r="I332" s="135"/>
      <c r="J332" s="135"/>
      <c r="K332" s="135"/>
      <c r="L332" s="189"/>
      <c r="M332" s="135"/>
      <c r="N332" s="135"/>
      <c r="O332" s="135"/>
    </row>
    <row r="333" customFormat="false" ht="15.75" hidden="false" customHeight="true" outlineLevel="0" collapsed="false">
      <c r="A333" s="135"/>
      <c r="B333" s="135"/>
      <c r="C333" s="135"/>
      <c r="D333" s="135"/>
      <c r="E333" s="135"/>
      <c r="F333" s="189"/>
      <c r="G333" s="135"/>
      <c r="H333" s="135"/>
      <c r="I333" s="135"/>
      <c r="J333" s="135"/>
      <c r="K333" s="135"/>
      <c r="L333" s="189"/>
      <c r="M333" s="135"/>
      <c r="N333" s="135"/>
      <c r="O333" s="135"/>
    </row>
    <row r="334" customFormat="false" ht="15.75" hidden="false" customHeight="true" outlineLevel="0" collapsed="false">
      <c r="A334" s="135"/>
      <c r="B334" s="135"/>
      <c r="C334" s="135"/>
      <c r="D334" s="135"/>
      <c r="E334" s="135"/>
      <c r="F334" s="189"/>
      <c r="G334" s="135"/>
      <c r="H334" s="135"/>
      <c r="I334" s="135"/>
      <c r="J334" s="135"/>
      <c r="K334" s="135"/>
      <c r="L334" s="189"/>
      <c r="M334" s="135"/>
      <c r="N334" s="135"/>
      <c r="O334" s="135"/>
    </row>
    <row r="335" customFormat="false" ht="15.75" hidden="false" customHeight="true" outlineLevel="0" collapsed="false">
      <c r="A335" s="135"/>
      <c r="B335" s="135"/>
      <c r="C335" s="135"/>
      <c r="D335" s="135"/>
      <c r="E335" s="135"/>
      <c r="F335" s="189"/>
      <c r="G335" s="135"/>
      <c r="H335" s="135"/>
      <c r="I335" s="135"/>
      <c r="J335" s="135"/>
      <c r="K335" s="135"/>
      <c r="L335" s="189"/>
      <c r="M335" s="135"/>
      <c r="N335" s="135"/>
      <c r="O335" s="135"/>
    </row>
    <row r="336" customFormat="false" ht="15.75" hidden="false" customHeight="true" outlineLevel="0" collapsed="false">
      <c r="A336" s="135"/>
      <c r="B336" s="135"/>
      <c r="C336" s="135"/>
      <c r="D336" s="135"/>
      <c r="E336" s="135"/>
      <c r="F336" s="189"/>
      <c r="G336" s="135"/>
      <c r="H336" s="135"/>
      <c r="I336" s="135"/>
      <c r="J336" s="135"/>
      <c r="K336" s="135"/>
      <c r="L336" s="189"/>
      <c r="M336" s="135"/>
      <c r="N336" s="135"/>
      <c r="O336" s="135"/>
    </row>
    <row r="337" customFormat="false" ht="15.75" hidden="false" customHeight="true" outlineLevel="0" collapsed="false">
      <c r="A337" s="135"/>
      <c r="B337" s="135"/>
      <c r="C337" s="135"/>
      <c r="D337" s="135"/>
      <c r="E337" s="135"/>
      <c r="F337" s="189"/>
      <c r="G337" s="135"/>
      <c r="H337" s="135"/>
      <c r="I337" s="135"/>
      <c r="J337" s="135"/>
      <c r="K337" s="135"/>
      <c r="L337" s="189"/>
      <c r="M337" s="135"/>
      <c r="N337" s="135"/>
      <c r="O337" s="135"/>
    </row>
    <row r="338" customFormat="false" ht="15.75" hidden="false" customHeight="true" outlineLevel="0" collapsed="false">
      <c r="A338" s="135"/>
      <c r="B338" s="135"/>
      <c r="C338" s="135"/>
      <c r="D338" s="135"/>
      <c r="E338" s="135"/>
      <c r="F338" s="189"/>
      <c r="G338" s="135"/>
      <c r="H338" s="135"/>
      <c r="I338" s="135"/>
      <c r="J338" s="135"/>
      <c r="K338" s="135"/>
      <c r="L338" s="189"/>
      <c r="M338" s="135"/>
      <c r="N338" s="135"/>
      <c r="O338" s="135"/>
    </row>
    <row r="339" customFormat="false" ht="15.75" hidden="false" customHeight="true" outlineLevel="0" collapsed="false">
      <c r="A339" s="135"/>
      <c r="B339" s="135"/>
      <c r="C339" s="135"/>
      <c r="D339" s="135"/>
      <c r="E339" s="135"/>
      <c r="F339" s="189"/>
      <c r="G339" s="135"/>
      <c r="H339" s="135"/>
      <c r="I339" s="135"/>
      <c r="J339" s="135"/>
      <c r="K339" s="135"/>
      <c r="L339" s="189"/>
      <c r="M339" s="135"/>
      <c r="N339" s="135"/>
      <c r="O339" s="135"/>
    </row>
    <row r="340" customFormat="false" ht="15.75" hidden="false" customHeight="true" outlineLevel="0" collapsed="false">
      <c r="A340" s="135"/>
      <c r="B340" s="135"/>
      <c r="C340" s="135"/>
      <c r="D340" s="135"/>
      <c r="E340" s="135"/>
      <c r="F340" s="189"/>
      <c r="G340" s="135"/>
      <c r="H340" s="135"/>
      <c r="I340" s="135"/>
      <c r="J340" s="135"/>
      <c r="K340" s="135"/>
      <c r="L340" s="189"/>
      <c r="M340" s="135"/>
      <c r="N340" s="135"/>
      <c r="O340" s="135"/>
    </row>
    <row r="341" customFormat="false" ht="15.75" hidden="false" customHeight="true" outlineLevel="0" collapsed="false">
      <c r="A341" s="135"/>
      <c r="B341" s="135"/>
      <c r="C341" s="135"/>
      <c r="D341" s="135"/>
      <c r="E341" s="135"/>
      <c r="F341" s="189"/>
      <c r="G341" s="135"/>
      <c r="H341" s="135"/>
      <c r="I341" s="135"/>
      <c r="J341" s="135"/>
      <c r="K341" s="135"/>
      <c r="L341" s="189"/>
      <c r="M341" s="135"/>
      <c r="N341" s="135"/>
      <c r="O341" s="135"/>
    </row>
    <row r="342" customFormat="false" ht="15.75" hidden="false" customHeight="true" outlineLevel="0" collapsed="false">
      <c r="A342" s="135"/>
      <c r="B342" s="135"/>
      <c r="C342" s="135"/>
      <c r="D342" s="135"/>
      <c r="E342" s="135"/>
      <c r="F342" s="189"/>
      <c r="G342" s="135"/>
      <c r="H342" s="135"/>
      <c r="I342" s="135"/>
      <c r="J342" s="135"/>
      <c r="K342" s="135"/>
      <c r="L342" s="189"/>
      <c r="M342" s="135"/>
      <c r="N342" s="135"/>
      <c r="O342" s="135"/>
    </row>
    <row r="343" customFormat="false" ht="15.75" hidden="false" customHeight="true" outlineLevel="0" collapsed="false">
      <c r="A343" s="135"/>
      <c r="B343" s="135"/>
      <c r="C343" s="135"/>
      <c r="D343" s="135"/>
      <c r="E343" s="135"/>
      <c r="F343" s="189"/>
      <c r="G343" s="135"/>
      <c r="H343" s="135"/>
      <c r="I343" s="135"/>
      <c r="J343" s="135"/>
      <c r="K343" s="135"/>
      <c r="L343" s="189"/>
      <c r="M343" s="135"/>
      <c r="N343" s="135"/>
      <c r="O343" s="135"/>
    </row>
    <row r="344" customFormat="false" ht="15.75" hidden="false" customHeight="true" outlineLevel="0" collapsed="false">
      <c r="A344" s="135"/>
      <c r="B344" s="135"/>
      <c r="C344" s="135"/>
      <c r="D344" s="135"/>
      <c r="E344" s="135"/>
      <c r="F344" s="189"/>
      <c r="G344" s="135"/>
      <c r="H344" s="135"/>
      <c r="I344" s="135"/>
      <c r="J344" s="135"/>
      <c r="K344" s="135"/>
      <c r="L344" s="189"/>
      <c r="M344" s="135"/>
      <c r="N344" s="135"/>
      <c r="O344" s="135"/>
    </row>
    <row r="345" customFormat="false" ht="15.75" hidden="false" customHeight="true" outlineLevel="0" collapsed="false">
      <c r="A345" s="135"/>
      <c r="B345" s="135"/>
      <c r="C345" s="135"/>
      <c r="D345" s="135"/>
      <c r="E345" s="135"/>
      <c r="F345" s="189"/>
      <c r="G345" s="135"/>
      <c r="H345" s="135"/>
      <c r="I345" s="135"/>
      <c r="J345" s="135"/>
      <c r="K345" s="135"/>
      <c r="L345" s="189"/>
      <c r="M345" s="135"/>
      <c r="N345" s="135"/>
      <c r="O345" s="135"/>
    </row>
    <row r="346" customFormat="false" ht="15.75" hidden="false" customHeight="true" outlineLevel="0" collapsed="false">
      <c r="A346" s="135"/>
      <c r="B346" s="135"/>
      <c r="C346" s="135"/>
      <c r="D346" s="135"/>
      <c r="E346" s="135"/>
      <c r="F346" s="189"/>
      <c r="G346" s="135"/>
      <c r="H346" s="135"/>
      <c r="I346" s="135"/>
      <c r="J346" s="135"/>
      <c r="K346" s="135"/>
      <c r="L346" s="189"/>
      <c r="M346" s="135"/>
      <c r="N346" s="135"/>
      <c r="O346" s="135"/>
    </row>
    <row r="347" customFormat="false" ht="15.75" hidden="false" customHeight="true" outlineLevel="0" collapsed="false">
      <c r="A347" s="135"/>
      <c r="B347" s="135"/>
      <c r="C347" s="135"/>
      <c r="D347" s="135"/>
      <c r="E347" s="135"/>
      <c r="F347" s="189"/>
      <c r="G347" s="135"/>
      <c r="H347" s="135"/>
      <c r="I347" s="135"/>
      <c r="J347" s="135"/>
      <c r="K347" s="135"/>
      <c r="L347" s="189"/>
      <c r="M347" s="135"/>
      <c r="N347" s="135"/>
      <c r="O347" s="135"/>
    </row>
    <row r="348" customFormat="false" ht="15.75" hidden="false" customHeight="true" outlineLevel="0" collapsed="false">
      <c r="A348" s="135"/>
      <c r="B348" s="135"/>
      <c r="C348" s="135"/>
      <c r="D348" s="135"/>
      <c r="E348" s="135"/>
      <c r="F348" s="189"/>
      <c r="G348" s="135"/>
      <c r="H348" s="135"/>
      <c r="I348" s="135"/>
      <c r="J348" s="135"/>
      <c r="K348" s="135"/>
      <c r="L348" s="189"/>
      <c r="M348" s="135"/>
      <c r="N348" s="135"/>
      <c r="O348" s="135"/>
    </row>
    <row r="349" customFormat="false" ht="15.75" hidden="false" customHeight="true" outlineLevel="0" collapsed="false">
      <c r="A349" s="135"/>
      <c r="B349" s="135"/>
      <c r="C349" s="135"/>
      <c r="D349" s="135"/>
      <c r="E349" s="135"/>
      <c r="F349" s="189"/>
      <c r="G349" s="135"/>
      <c r="H349" s="135"/>
      <c r="I349" s="135"/>
      <c r="J349" s="135"/>
      <c r="K349" s="135"/>
      <c r="L349" s="189"/>
      <c r="M349" s="135"/>
      <c r="N349" s="135"/>
      <c r="O349" s="135"/>
    </row>
    <row r="350" customFormat="false" ht="15.75" hidden="false" customHeight="true" outlineLevel="0" collapsed="false">
      <c r="A350" s="135"/>
      <c r="B350" s="135"/>
      <c r="C350" s="135"/>
      <c r="D350" s="135"/>
      <c r="E350" s="135"/>
      <c r="F350" s="189"/>
      <c r="G350" s="135"/>
      <c r="H350" s="135"/>
      <c r="I350" s="135"/>
      <c r="J350" s="135"/>
      <c r="K350" s="135"/>
      <c r="L350" s="189"/>
      <c r="M350" s="135"/>
      <c r="N350" s="135"/>
      <c r="O350" s="135"/>
    </row>
    <row r="351" customFormat="false" ht="15.75" hidden="false" customHeight="true" outlineLevel="0" collapsed="false">
      <c r="A351" s="135"/>
      <c r="B351" s="135"/>
      <c r="C351" s="135"/>
      <c r="D351" s="135"/>
      <c r="E351" s="135"/>
      <c r="F351" s="189"/>
      <c r="G351" s="135"/>
      <c r="H351" s="135"/>
      <c r="I351" s="135"/>
      <c r="J351" s="135"/>
      <c r="K351" s="135"/>
      <c r="L351" s="189"/>
      <c r="M351" s="135"/>
      <c r="N351" s="135"/>
      <c r="O351" s="135"/>
    </row>
    <row r="352" customFormat="false" ht="15.75" hidden="false" customHeight="true" outlineLevel="0" collapsed="false">
      <c r="A352" s="135"/>
      <c r="B352" s="135"/>
      <c r="C352" s="135"/>
      <c r="D352" s="135"/>
      <c r="E352" s="135"/>
      <c r="F352" s="189"/>
      <c r="G352" s="135"/>
      <c r="H352" s="135"/>
      <c r="I352" s="135"/>
      <c r="J352" s="135"/>
      <c r="K352" s="135"/>
      <c r="L352" s="189"/>
      <c r="M352" s="135"/>
      <c r="N352" s="135"/>
      <c r="O352" s="135"/>
    </row>
    <row r="353" customFormat="false" ht="15.75" hidden="false" customHeight="true" outlineLevel="0" collapsed="false">
      <c r="A353" s="135"/>
      <c r="B353" s="135"/>
      <c r="C353" s="135"/>
      <c r="D353" s="135"/>
      <c r="E353" s="135"/>
      <c r="F353" s="189"/>
      <c r="G353" s="135"/>
      <c r="H353" s="135"/>
      <c r="I353" s="135"/>
      <c r="J353" s="135"/>
      <c r="K353" s="135"/>
      <c r="L353" s="189"/>
      <c r="M353" s="135"/>
      <c r="N353" s="135"/>
      <c r="O353" s="135"/>
    </row>
    <row r="354" customFormat="false" ht="15.75" hidden="false" customHeight="true" outlineLevel="0" collapsed="false">
      <c r="A354" s="135"/>
      <c r="B354" s="135"/>
      <c r="C354" s="135"/>
      <c r="D354" s="135"/>
      <c r="E354" s="135"/>
      <c r="F354" s="189"/>
      <c r="G354" s="135"/>
      <c r="H354" s="135"/>
      <c r="I354" s="135"/>
      <c r="J354" s="135"/>
      <c r="K354" s="135"/>
      <c r="L354" s="189"/>
      <c r="M354" s="135"/>
      <c r="N354" s="135"/>
      <c r="O354" s="135"/>
    </row>
    <row r="355" customFormat="false" ht="15.75" hidden="false" customHeight="true" outlineLevel="0" collapsed="false">
      <c r="A355" s="135"/>
      <c r="B355" s="135"/>
      <c r="C355" s="135"/>
      <c r="D355" s="135"/>
      <c r="E355" s="135"/>
      <c r="F355" s="189"/>
      <c r="G355" s="135"/>
      <c r="H355" s="135"/>
      <c r="I355" s="135"/>
      <c r="J355" s="135"/>
      <c r="K355" s="135"/>
      <c r="L355" s="189"/>
      <c r="M355" s="135"/>
      <c r="N355" s="135"/>
      <c r="O355" s="135"/>
    </row>
    <row r="356" customFormat="false" ht="15.75" hidden="false" customHeight="true" outlineLevel="0" collapsed="false">
      <c r="A356" s="135"/>
      <c r="B356" s="135"/>
      <c r="C356" s="135"/>
      <c r="D356" s="135"/>
      <c r="E356" s="135"/>
      <c r="F356" s="189"/>
      <c r="G356" s="135"/>
      <c r="H356" s="135"/>
      <c r="I356" s="135"/>
      <c r="J356" s="135"/>
      <c r="K356" s="135"/>
      <c r="L356" s="189"/>
      <c r="M356" s="135"/>
      <c r="N356" s="135"/>
      <c r="O356" s="135"/>
    </row>
    <row r="357" customFormat="false" ht="15.75" hidden="false" customHeight="true" outlineLevel="0" collapsed="false">
      <c r="A357" s="135"/>
      <c r="B357" s="135"/>
      <c r="C357" s="135"/>
      <c r="D357" s="135"/>
      <c r="E357" s="135"/>
      <c r="F357" s="189"/>
      <c r="G357" s="135"/>
      <c r="H357" s="135"/>
      <c r="I357" s="135"/>
      <c r="J357" s="135"/>
      <c r="K357" s="135"/>
      <c r="L357" s="189"/>
      <c r="M357" s="135"/>
      <c r="N357" s="135"/>
      <c r="O357" s="135"/>
    </row>
    <row r="358" customFormat="false" ht="15.75" hidden="false" customHeight="true" outlineLevel="0" collapsed="false">
      <c r="A358" s="135"/>
      <c r="B358" s="135"/>
      <c r="C358" s="135"/>
      <c r="D358" s="135"/>
      <c r="E358" s="135"/>
      <c r="F358" s="189"/>
      <c r="G358" s="135"/>
      <c r="H358" s="135"/>
      <c r="I358" s="135"/>
      <c r="J358" s="135"/>
      <c r="K358" s="135"/>
      <c r="L358" s="189"/>
      <c r="M358" s="135"/>
      <c r="N358" s="135"/>
      <c r="O358" s="135"/>
    </row>
    <row r="359" customFormat="false" ht="15.75" hidden="false" customHeight="true" outlineLevel="0" collapsed="false">
      <c r="A359" s="135"/>
      <c r="B359" s="135"/>
      <c r="C359" s="135"/>
      <c r="D359" s="135"/>
      <c r="E359" s="135"/>
      <c r="F359" s="189"/>
      <c r="G359" s="135"/>
      <c r="H359" s="135"/>
      <c r="I359" s="135"/>
      <c r="J359" s="135"/>
      <c r="K359" s="135"/>
      <c r="L359" s="189"/>
      <c r="M359" s="135"/>
      <c r="N359" s="135"/>
      <c r="O359" s="135"/>
    </row>
    <row r="360" customFormat="false" ht="15.75" hidden="false" customHeight="true" outlineLevel="0" collapsed="false">
      <c r="A360" s="135"/>
      <c r="B360" s="135"/>
      <c r="C360" s="135"/>
      <c r="D360" s="135"/>
      <c r="E360" s="135"/>
      <c r="F360" s="189"/>
      <c r="G360" s="135"/>
      <c r="H360" s="135"/>
      <c r="I360" s="135"/>
      <c r="J360" s="135"/>
      <c r="K360" s="135"/>
      <c r="L360" s="189"/>
      <c r="M360" s="135"/>
      <c r="N360" s="135"/>
      <c r="O360" s="135"/>
    </row>
    <row r="361" customFormat="false" ht="15.75" hidden="false" customHeight="true" outlineLevel="0" collapsed="false">
      <c r="A361" s="135"/>
      <c r="B361" s="135"/>
      <c r="C361" s="135"/>
      <c r="D361" s="135"/>
      <c r="E361" s="135"/>
      <c r="F361" s="189"/>
      <c r="G361" s="135"/>
      <c r="H361" s="135"/>
      <c r="I361" s="135"/>
      <c r="J361" s="135"/>
      <c r="K361" s="135"/>
      <c r="L361" s="189"/>
      <c r="M361" s="135"/>
      <c r="N361" s="135"/>
      <c r="O361" s="135"/>
    </row>
    <row r="362" customFormat="false" ht="15.75" hidden="false" customHeight="true" outlineLevel="0" collapsed="false">
      <c r="A362" s="135"/>
      <c r="B362" s="135"/>
      <c r="C362" s="135"/>
      <c r="D362" s="135"/>
      <c r="E362" s="135"/>
      <c r="F362" s="189"/>
      <c r="G362" s="135"/>
      <c r="H362" s="135"/>
      <c r="I362" s="135"/>
      <c r="J362" s="135"/>
      <c r="K362" s="135"/>
      <c r="L362" s="189"/>
      <c r="M362" s="135"/>
      <c r="N362" s="135"/>
      <c r="O362" s="135"/>
    </row>
    <row r="363" customFormat="false" ht="15.75" hidden="false" customHeight="true" outlineLevel="0" collapsed="false">
      <c r="A363" s="135"/>
      <c r="B363" s="135"/>
      <c r="C363" s="135"/>
      <c r="D363" s="135"/>
      <c r="E363" s="135"/>
      <c r="F363" s="189"/>
      <c r="G363" s="135"/>
      <c r="H363" s="135"/>
      <c r="I363" s="135"/>
      <c r="J363" s="135"/>
      <c r="K363" s="135"/>
      <c r="L363" s="189"/>
      <c r="M363" s="135"/>
      <c r="N363" s="135"/>
      <c r="O363" s="135"/>
    </row>
    <row r="364" customFormat="false" ht="15.75" hidden="false" customHeight="true" outlineLevel="0" collapsed="false">
      <c r="A364" s="135"/>
      <c r="B364" s="135"/>
      <c r="C364" s="135"/>
      <c r="D364" s="135"/>
      <c r="E364" s="135"/>
      <c r="F364" s="189"/>
      <c r="G364" s="135"/>
      <c r="H364" s="135"/>
      <c r="I364" s="135"/>
      <c r="J364" s="135"/>
      <c r="K364" s="135"/>
      <c r="L364" s="189"/>
      <c r="M364" s="135"/>
      <c r="N364" s="135"/>
      <c r="O364" s="135"/>
    </row>
    <row r="365" customFormat="false" ht="15.75" hidden="false" customHeight="true" outlineLevel="0" collapsed="false">
      <c r="A365" s="135"/>
      <c r="B365" s="135"/>
      <c r="C365" s="135"/>
      <c r="D365" s="135"/>
      <c r="E365" s="135"/>
      <c r="F365" s="189"/>
      <c r="G365" s="135"/>
      <c r="H365" s="135"/>
      <c r="I365" s="135"/>
      <c r="J365" s="135"/>
      <c r="K365" s="135"/>
      <c r="L365" s="189"/>
      <c r="M365" s="135"/>
      <c r="N365" s="135"/>
      <c r="O365" s="135"/>
    </row>
    <row r="366" customFormat="false" ht="15.75" hidden="false" customHeight="true" outlineLevel="0" collapsed="false">
      <c r="A366" s="135"/>
      <c r="B366" s="135"/>
      <c r="C366" s="135"/>
      <c r="D366" s="135"/>
      <c r="E366" s="135"/>
      <c r="F366" s="189"/>
      <c r="G366" s="135"/>
      <c r="H366" s="135"/>
      <c r="I366" s="135"/>
      <c r="J366" s="135"/>
      <c r="K366" s="135"/>
      <c r="L366" s="189"/>
      <c r="M366" s="135"/>
      <c r="N366" s="135"/>
      <c r="O366" s="135"/>
    </row>
    <row r="367" customFormat="false" ht="15.75" hidden="false" customHeight="true" outlineLevel="0" collapsed="false">
      <c r="A367" s="135"/>
      <c r="B367" s="135"/>
      <c r="C367" s="135"/>
      <c r="D367" s="135"/>
      <c r="E367" s="135"/>
      <c r="F367" s="189"/>
      <c r="G367" s="135"/>
      <c r="H367" s="135"/>
      <c r="I367" s="135"/>
      <c r="J367" s="135"/>
      <c r="K367" s="135"/>
      <c r="L367" s="189"/>
      <c r="M367" s="135"/>
      <c r="N367" s="135"/>
      <c r="O367" s="135"/>
    </row>
    <row r="368" customFormat="false" ht="15.75" hidden="false" customHeight="true" outlineLevel="0" collapsed="false">
      <c r="A368" s="135"/>
      <c r="B368" s="135"/>
      <c r="C368" s="135"/>
      <c r="D368" s="135"/>
      <c r="E368" s="135"/>
      <c r="F368" s="189"/>
      <c r="G368" s="135"/>
      <c r="H368" s="135"/>
      <c r="I368" s="135"/>
      <c r="J368" s="135"/>
      <c r="K368" s="135"/>
      <c r="L368" s="189"/>
      <c r="M368" s="135"/>
      <c r="N368" s="135"/>
      <c r="O368" s="135"/>
    </row>
    <row r="369" customFormat="false" ht="15.75" hidden="false" customHeight="true" outlineLevel="0" collapsed="false">
      <c r="A369" s="135"/>
      <c r="B369" s="135"/>
      <c r="C369" s="135"/>
      <c r="D369" s="135"/>
      <c r="E369" s="135"/>
      <c r="F369" s="189"/>
      <c r="G369" s="135"/>
      <c r="H369" s="135"/>
      <c r="I369" s="135"/>
      <c r="J369" s="135"/>
      <c r="K369" s="135"/>
      <c r="L369" s="189"/>
      <c r="M369" s="135"/>
      <c r="N369" s="135"/>
      <c r="O369" s="135"/>
    </row>
    <row r="370" customFormat="false" ht="15.75" hidden="false" customHeight="true" outlineLevel="0" collapsed="false">
      <c r="A370" s="135"/>
      <c r="B370" s="135"/>
      <c r="C370" s="135"/>
      <c r="D370" s="135"/>
      <c r="E370" s="135"/>
      <c r="F370" s="189"/>
      <c r="G370" s="135"/>
      <c r="H370" s="135"/>
      <c r="I370" s="135"/>
      <c r="J370" s="135"/>
      <c r="K370" s="135"/>
      <c r="L370" s="189"/>
      <c r="M370" s="135"/>
      <c r="N370" s="135"/>
      <c r="O370" s="135"/>
    </row>
    <row r="371" customFormat="false" ht="15.75" hidden="false" customHeight="true" outlineLevel="0" collapsed="false">
      <c r="A371" s="135"/>
      <c r="B371" s="135"/>
      <c r="C371" s="135"/>
      <c r="D371" s="135"/>
      <c r="E371" s="135"/>
      <c r="F371" s="189"/>
      <c r="G371" s="135"/>
      <c r="H371" s="135"/>
      <c r="I371" s="135"/>
      <c r="J371" s="135"/>
      <c r="K371" s="135"/>
      <c r="L371" s="189"/>
      <c r="M371" s="135"/>
      <c r="N371" s="135"/>
      <c r="O371" s="135"/>
    </row>
    <row r="372" customFormat="false" ht="15.75" hidden="false" customHeight="true" outlineLevel="0" collapsed="false">
      <c r="A372" s="135"/>
      <c r="B372" s="135"/>
      <c r="C372" s="135"/>
      <c r="D372" s="135"/>
      <c r="E372" s="135"/>
      <c r="F372" s="189"/>
      <c r="G372" s="135"/>
      <c r="H372" s="135"/>
      <c r="I372" s="135"/>
      <c r="J372" s="135"/>
      <c r="K372" s="135"/>
      <c r="L372" s="189"/>
      <c r="M372" s="135"/>
      <c r="N372" s="135"/>
      <c r="O372" s="135"/>
    </row>
    <row r="373" customFormat="false" ht="15.75" hidden="false" customHeight="true" outlineLevel="0" collapsed="false">
      <c r="A373" s="135"/>
      <c r="B373" s="135"/>
      <c r="C373" s="135"/>
      <c r="D373" s="135"/>
      <c r="E373" s="135"/>
      <c r="F373" s="189"/>
      <c r="G373" s="135"/>
      <c r="H373" s="135"/>
      <c r="I373" s="135"/>
      <c r="J373" s="135"/>
      <c r="K373" s="135"/>
      <c r="L373" s="189"/>
      <c r="M373" s="135"/>
      <c r="N373" s="135"/>
      <c r="O373" s="135"/>
    </row>
    <row r="374" customFormat="false" ht="15.75" hidden="false" customHeight="true" outlineLevel="0" collapsed="false">
      <c r="A374" s="135"/>
      <c r="B374" s="135"/>
      <c r="C374" s="135"/>
      <c r="D374" s="135"/>
      <c r="E374" s="135"/>
      <c r="F374" s="189"/>
      <c r="G374" s="135"/>
      <c r="H374" s="135"/>
      <c r="I374" s="135"/>
      <c r="J374" s="135"/>
      <c r="K374" s="135"/>
      <c r="L374" s="189"/>
      <c r="M374" s="135"/>
      <c r="N374" s="135"/>
      <c r="O374" s="135"/>
    </row>
    <row r="375" customFormat="false" ht="15.75" hidden="false" customHeight="true" outlineLevel="0" collapsed="false">
      <c r="A375" s="135"/>
      <c r="B375" s="135"/>
      <c r="C375" s="135"/>
      <c r="D375" s="135"/>
      <c r="E375" s="135"/>
      <c r="F375" s="189"/>
      <c r="G375" s="135"/>
      <c r="H375" s="135"/>
      <c r="I375" s="135"/>
      <c r="J375" s="135"/>
      <c r="K375" s="135"/>
      <c r="L375" s="189"/>
      <c r="M375" s="135"/>
      <c r="N375" s="135"/>
      <c r="O375" s="135"/>
    </row>
    <row r="376" customFormat="false" ht="15.75" hidden="false" customHeight="true" outlineLevel="0" collapsed="false">
      <c r="A376" s="135"/>
      <c r="B376" s="135"/>
      <c r="C376" s="135"/>
      <c r="D376" s="135"/>
      <c r="E376" s="135"/>
      <c r="F376" s="189"/>
      <c r="G376" s="135"/>
      <c r="H376" s="135"/>
      <c r="I376" s="135"/>
      <c r="J376" s="135"/>
      <c r="K376" s="135"/>
      <c r="L376" s="189"/>
      <c r="M376" s="135"/>
      <c r="N376" s="135"/>
      <c r="O376" s="135"/>
    </row>
    <row r="377" customFormat="false" ht="15.75" hidden="false" customHeight="true" outlineLevel="0" collapsed="false">
      <c r="A377" s="135"/>
      <c r="B377" s="135"/>
      <c r="C377" s="135"/>
      <c r="D377" s="135"/>
      <c r="E377" s="135"/>
      <c r="F377" s="189"/>
      <c r="G377" s="135"/>
      <c r="H377" s="135"/>
      <c r="I377" s="135"/>
      <c r="J377" s="135"/>
      <c r="K377" s="135"/>
      <c r="L377" s="189"/>
      <c r="M377" s="135"/>
      <c r="N377" s="135"/>
      <c r="O377" s="135"/>
    </row>
    <row r="378" customFormat="false" ht="15.75" hidden="false" customHeight="true" outlineLevel="0" collapsed="false">
      <c r="A378" s="135"/>
      <c r="B378" s="135"/>
      <c r="C378" s="135"/>
      <c r="D378" s="135"/>
      <c r="E378" s="135"/>
      <c r="F378" s="189"/>
      <c r="G378" s="135"/>
      <c r="H378" s="135"/>
      <c r="I378" s="135"/>
      <c r="J378" s="135"/>
      <c r="K378" s="135"/>
      <c r="L378" s="189"/>
      <c r="M378" s="135"/>
      <c r="N378" s="135"/>
      <c r="O378" s="135"/>
    </row>
    <row r="379" customFormat="false" ht="15.75" hidden="false" customHeight="true" outlineLevel="0" collapsed="false">
      <c r="A379" s="135"/>
      <c r="B379" s="135"/>
      <c r="C379" s="135"/>
      <c r="D379" s="135"/>
      <c r="E379" s="135"/>
      <c r="F379" s="189"/>
      <c r="G379" s="135"/>
      <c r="H379" s="135"/>
      <c r="I379" s="135"/>
      <c r="J379" s="135"/>
      <c r="K379" s="135"/>
      <c r="L379" s="189"/>
      <c r="M379" s="135"/>
      <c r="N379" s="135"/>
      <c r="O379" s="135"/>
    </row>
    <row r="380" customFormat="false" ht="15.75" hidden="false" customHeight="true" outlineLevel="0" collapsed="false">
      <c r="A380" s="135"/>
      <c r="B380" s="135"/>
      <c r="C380" s="135"/>
      <c r="D380" s="135"/>
      <c r="E380" s="135"/>
      <c r="F380" s="189"/>
      <c r="G380" s="135"/>
      <c r="H380" s="135"/>
      <c r="I380" s="135"/>
      <c r="J380" s="135"/>
      <c r="K380" s="135"/>
      <c r="L380" s="189"/>
      <c r="M380" s="135"/>
      <c r="N380" s="135"/>
      <c r="O380" s="135"/>
    </row>
    <row r="381" customFormat="false" ht="15.75" hidden="false" customHeight="true" outlineLevel="0" collapsed="false">
      <c r="A381" s="135"/>
      <c r="B381" s="135"/>
      <c r="C381" s="135"/>
      <c r="D381" s="135"/>
      <c r="E381" s="135"/>
      <c r="F381" s="189"/>
      <c r="G381" s="135"/>
      <c r="H381" s="135"/>
      <c r="I381" s="135"/>
      <c r="J381" s="135"/>
      <c r="K381" s="135"/>
      <c r="L381" s="189"/>
      <c r="M381" s="135"/>
      <c r="N381" s="135"/>
      <c r="O381" s="135"/>
    </row>
    <row r="382" customFormat="false" ht="15.75" hidden="false" customHeight="true" outlineLevel="0" collapsed="false">
      <c r="A382" s="135"/>
      <c r="B382" s="135"/>
      <c r="C382" s="135"/>
      <c r="D382" s="135"/>
      <c r="E382" s="135"/>
      <c r="F382" s="189"/>
      <c r="G382" s="135"/>
      <c r="H382" s="135"/>
      <c r="I382" s="135"/>
      <c r="J382" s="135"/>
      <c r="K382" s="135"/>
      <c r="L382" s="189"/>
      <c r="M382" s="135"/>
      <c r="N382" s="135"/>
      <c r="O382" s="135"/>
    </row>
    <row r="383" customFormat="false" ht="15.75" hidden="false" customHeight="true" outlineLevel="0" collapsed="false">
      <c r="A383" s="135"/>
      <c r="B383" s="135"/>
      <c r="C383" s="135"/>
      <c r="D383" s="135"/>
      <c r="E383" s="135"/>
      <c r="F383" s="189"/>
      <c r="G383" s="135"/>
      <c r="H383" s="135"/>
      <c r="I383" s="135"/>
      <c r="J383" s="135"/>
      <c r="K383" s="135"/>
      <c r="L383" s="189"/>
      <c r="M383" s="135"/>
      <c r="N383" s="135"/>
      <c r="O383" s="135"/>
    </row>
    <row r="384" customFormat="false" ht="15.75" hidden="false" customHeight="true" outlineLevel="0" collapsed="false">
      <c r="A384" s="135"/>
      <c r="B384" s="135"/>
      <c r="C384" s="135"/>
      <c r="D384" s="135"/>
      <c r="E384" s="135"/>
      <c r="F384" s="189"/>
      <c r="G384" s="135"/>
      <c r="H384" s="135"/>
      <c r="I384" s="135"/>
      <c r="J384" s="135"/>
      <c r="K384" s="135"/>
      <c r="L384" s="189"/>
      <c r="M384" s="135"/>
      <c r="N384" s="135"/>
      <c r="O384" s="135"/>
    </row>
    <row r="385" customFormat="false" ht="15.75" hidden="false" customHeight="true" outlineLevel="0" collapsed="false">
      <c r="A385" s="135"/>
      <c r="B385" s="135"/>
      <c r="C385" s="135"/>
      <c r="D385" s="135"/>
      <c r="E385" s="135"/>
      <c r="F385" s="189"/>
      <c r="G385" s="135"/>
      <c r="H385" s="135"/>
      <c r="I385" s="135"/>
      <c r="J385" s="135"/>
      <c r="K385" s="135"/>
      <c r="L385" s="189"/>
      <c r="M385" s="135"/>
      <c r="N385" s="135"/>
      <c r="O385" s="135"/>
    </row>
    <row r="386" customFormat="false" ht="15.75" hidden="false" customHeight="true" outlineLevel="0" collapsed="false">
      <c r="A386" s="135"/>
      <c r="B386" s="135"/>
      <c r="C386" s="135"/>
      <c r="D386" s="135"/>
      <c r="E386" s="135"/>
      <c r="F386" s="189"/>
      <c r="G386" s="135"/>
      <c r="H386" s="135"/>
      <c r="I386" s="135"/>
      <c r="J386" s="135"/>
      <c r="K386" s="135"/>
      <c r="L386" s="189"/>
      <c r="M386" s="135"/>
      <c r="N386" s="135"/>
      <c r="O386" s="135"/>
    </row>
    <row r="387" customFormat="false" ht="15.75" hidden="false" customHeight="true" outlineLevel="0" collapsed="false">
      <c r="A387" s="135"/>
      <c r="B387" s="135"/>
      <c r="C387" s="135"/>
      <c r="D387" s="135"/>
      <c r="E387" s="135"/>
      <c r="F387" s="189"/>
      <c r="G387" s="135"/>
      <c r="H387" s="135"/>
      <c r="I387" s="135"/>
      <c r="J387" s="135"/>
      <c r="K387" s="135"/>
      <c r="L387" s="189"/>
      <c r="M387" s="135"/>
      <c r="N387" s="135"/>
      <c r="O387" s="135"/>
    </row>
    <row r="388" customFormat="false" ht="15.75" hidden="false" customHeight="true" outlineLevel="0" collapsed="false">
      <c r="A388" s="135"/>
      <c r="B388" s="135"/>
      <c r="C388" s="135"/>
      <c r="D388" s="135"/>
      <c r="E388" s="135"/>
      <c r="F388" s="189"/>
      <c r="G388" s="135"/>
      <c r="H388" s="135"/>
      <c r="I388" s="135"/>
      <c r="J388" s="135"/>
      <c r="K388" s="135"/>
      <c r="L388" s="189"/>
      <c r="M388" s="135"/>
      <c r="N388" s="135"/>
      <c r="O388" s="135"/>
    </row>
    <row r="389" customFormat="false" ht="15.75" hidden="false" customHeight="true" outlineLevel="0" collapsed="false">
      <c r="A389" s="135"/>
      <c r="B389" s="135"/>
      <c r="C389" s="135"/>
      <c r="D389" s="135"/>
      <c r="E389" s="135"/>
      <c r="F389" s="189"/>
      <c r="G389" s="135"/>
      <c r="H389" s="135"/>
      <c r="I389" s="135"/>
      <c r="J389" s="135"/>
      <c r="K389" s="135"/>
      <c r="L389" s="189"/>
      <c r="M389" s="135"/>
      <c r="N389" s="135"/>
      <c r="O389" s="135"/>
    </row>
    <row r="390" customFormat="false" ht="15.75" hidden="false" customHeight="true" outlineLevel="0" collapsed="false">
      <c r="A390" s="135"/>
      <c r="B390" s="135"/>
      <c r="C390" s="135"/>
      <c r="D390" s="135"/>
      <c r="E390" s="135"/>
      <c r="F390" s="189"/>
      <c r="G390" s="135"/>
      <c r="H390" s="135"/>
      <c r="I390" s="135"/>
      <c r="J390" s="135"/>
      <c r="K390" s="135"/>
      <c r="L390" s="189"/>
      <c r="M390" s="135"/>
      <c r="N390" s="135"/>
      <c r="O390" s="135"/>
    </row>
    <row r="391" customFormat="false" ht="15.75" hidden="false" customHeight="true" outlineLevel="0" collapsed="false">
      <c r="A391" s="135"/>
      <c r="B391" s="135"/>
      <c r="C391" s="135"/>
      <c r="D391" s="135"/>
      <c r="E391" s="135"/>
      <c r="F391" s="189"/>
      <c r="G391" s="135"/>
      <c r="H391" s="135"/>
      <c r="I391" s="135"/>
      <c r="J391" s="135"/>
      <c r="K391" s="135"/>
      <c r="L391" s="189"/>
      <c r="M391" s="135"/>
      <c r="N391" s="135"/>
      <c r="O391" s="135"/>
    </row>
    <row r="392" customFormat="false" ht="15.75" hidden="false" customHeight="true" outlineLevel="0" collapsed="false">
      <c r="A392" s="135"/>
      <c r="B392" s="135"/>
      <c r="C392" s="135"/>
      <c r="D392" s="135"/>
      <c r="E392" s="135"/>
      <c r="F392" s="189"/>
      <c r="G392" s="135"/>
      <c r="H392" s="135"/>
      <c r="I392" s="135"/>
      <c r="J392" s="135"/>
      <c r="K392" s="135"/>
      <c r="L392" s="189"/>
      <c r="M392" s="135"/>
      <c r="N392" s="135"/>
      <c r="O392" s="135"/>
    </row>
    <row r="393" customFormat="false" ht="15.75" hidden="false" customHeight="true" outlineLevel="0" collapsed="false">
      <c r="A393" s="135"/>
      <c r="B393" s="135"/>
      <c r="C393" s="135"/>
      <c r="D393" s="135"/>
      <c r="E393" s="135"/>
      <c r="F393" s="189"/>
      <c r="G393" s="135"/>
      <c r="H393" s="135"/>
      <c r="I393" s="135"/>
      <c r="J393" s="135"/>
      <c r="K393" s="135"/>
      <c r="L393" s="189"/>
      <c r="M393" s="135"/>
      <c r="N393" s="135"/>
      <c r="O393" s="135"/>
    </row>
    <row r="394" customFormat="false" ht="15.75" hidden="false" customHeight="true" outlineLevel="0" collapsed="false">
      <c r="A394" s="135"/>
      <c r="B394" s="135"/>
      <c r="C394" s="135"/>
      <c r="D394" s="135"/>
      <c r="E394" s="135"/>
      <c r="F394" s="189"/>
      <c r="G394" s="135"/>
      <c r="H394" s="135"/>
      <c r="I394" s="135"/>
      <c r="J394" s="135"/>
      <c r="K394" s="135"/>
      <c r="L394" s="189"/>
      <c r="M394" s="135"/>
      <c r="N394" s="135"/>
      <c r="O394" s="135"/>
    </row>
    <row r="395" customFormat="false" ht="15.75" hidden="false" customHeight="true" outlineLevel="0" collapsed="false">
      <c r="A395" s="135"/>
      <c r="B395" s="135"/>
      <c r="C395" s="135"/>
      <c r="D395" s="135"/>
      <c r="E395" s="135"/>
      <c r="F395" s="189"/>
      <c r="G395" s="135"/>
      <c r="H395" s="135"/>
      <c r="I395" s="135"/>
      <c r="J395" s="135"/>
      <c r="K395" s="135"/>
      <c r="L395" s="189"/>
      <c r="M395" s="135"/>
      <c r="N395" s="135"/>
      <c r="O395" s="135"/>
    </row>
    <row r="396" customFormat="false" ht="15.75" hidden="false" customHeight="true" outlineLevel="0" collapsed="false">
      <c r="A396" s="135"/>
      <c r="B396" s="135"/>
      <c r="C396" s="135"/>
      <c r="D396" s="135"/>
      <c r="E396" s="135"/>
      <c r="F396" s="189"/>
      <c r="G396" s="135"/>
      <c r="H396" s="135"/>
      <c r="I396" s="135"/>
      <c r="J396" s="135"/>
      <c r="K396" s="135"/>
      <c r="L396" s="189"/>
      <c r="M396" s="135"/>
      <c r="N396" s="135"/>
      <c r="O396" s="135"/>
    </row>
    <row r="397" customFormat="false" ht="15.75" hidden="false" customHeight="true" outlineLevel="0" collapsed="false">
      <c r="A397" s="135"/>
      <c r="B397" s="135"/>
      <c r="C397" s="135"/>
      <c r="D397" s="135"/>
      <c r="E397" s="135"/>
      <c r="F397" s="189"/>
      <c r="G397" s="135"/>
      <c r="H397" s="135"/>
      <c r="I397" s="135"/>
      <c r="J397" s="135"/>
      <c r="K397" s="135"/>
      <c r="L397" s="189"/>
      <c r="M397" s="135"/>
      <c r="N397" s="135"/>
      <c r="O397" s="135"/>
    </row>
    <row r="398" customFormat="false" ht="15.75" hidden="false" customHeight="true" outlineLevel="0" collapsed="false">
      <c r="A398" s="135"/>
      <c r="B398" s="135"/>
      <c r="C398" s="135"/>
      <c r="D398" s="135"/>
      <c r="E398" s="135"/>
      <c r="F398" s="189"/>
      <c r="G398" s="135"/>
      <c r="H398" s="135"/>
      <c r="I398" s="135"/>
      <c r="J398" s="135"/>
      <c r="K398" s="135"/>
      <c r="L398" s="189"/>
      <c r="M398" s="135"/>
      <c r="N398" s="135"/>
      <c r="O398" s="135"/>
    </row>
    <row r="399" customFormat="false" ht="15.75" hidden="false" customHeight="true" outlineLevel="0" collapsed="false">
      <c r="A399" s="135"/>
      <c r="B399" s="135"/>
      <c r="C399" s="135"/>
      <c r="D399" s="135"/>
      <c r="E399" s="135"/>
      <c r="F399" s="189"/>
      <c r="G399" s="135"/>
      <c r="H399" s="135"/>
      <c r="I399" s="135"/>
      <c r="J399" s="135"/>
      <c r="K399" s="135"/>
      <c r="L399" s="189"/>
      <c r="M399" s="135"/>
      <c r="N399" s="135"/>
      <c r="O399" s="135"/>
    </row>
    <row r="400" customFormat="false" ht="15.75" hidden="false" customHeight="true" outlineLevel="0" collapsed="false">
      <c r="A400" s="135"/>
      <c r="B400" s="135"/>
      <c r="C400" s="135"/>
      <c r="D400" s="135"/>
      <c r="E400" s="135"/>
      <c r="F400" s="189"/>
      <c r="G400" s="135"/>
      <c r="H400" s="135"/>
      <c r="I400" s="135"/>
      <c r="J400" s="135"/>
      <c r="K400" s="135"/>
      <c r="L400" s="189"/>
      <c r="M400" s="135"/>
      <c r="N400" s="135"/>
      <c r="O400" s="135"/>
    </row>
    <row r="401" customFormat="false" ht="15.75" hidden="false" customHeight="true" outlineLevel="0" collapsed="false">
      <c r="A401" s="135"/>
      <c r="B401" s="135"/>
      <c r="C401" s="135"/>
      <c r="D401" s="135"/>
      <c r="E401" s="135"/>
      <c r="F401" s="189"/>
      <c r="G401" s="135"/>
      <c r="H401" s="135"/>
      <c r="I401" s="135"/>
      <c r="J401" s="135"/>
      <c r="K401" s="135"/>
      <c r="L401" s="189"/>
      <c r="M401" s="135"/>
      <c r="N401" s="135"/>
      <c r="O401" s="135"/>
    </row>
    <row r="402" customFormat="false" ht="15.75" hidden="false" customHeight="true" outlineLevel="0" collapsed="false">
      <c r="A402" s="135"/>
      <c r="B402" s="135"/>
      <c r="C402" s="135"/>
      <c r="D402" s="135"/>
      <c r="E402" s="135"/>
      <c r="F402" s="189"/>
      <c r="G402" s="135"/>
      <c r="H402" s="135"/>
      <c r="I402" s="135"/>
      <c r="J402" s="135"/>
      <c r="K402" s="135"/>
      <c r="L402" s="189"/>
      <c r="M402" s="135"/>
      <c r="N402" s="135"/>
      <c r="O402" s="135"/>
    </row>
    <row r="403" customFormat="false" ht="15.75" hidden="false" customHeight="true" outlineLevel="0" collapsed="false">
      <c r="A403" s="135"/>
      <c r="B403" s="135"/>
      <c r="C403" s="135"/>
      <c r="D403" s="135"/>
      <c r="E403" s="135"/>
      <c r="F403" s="189"/>
      <c r="G403" s="135"/>
      <c r="H403" s="135"/>
      <c r="I403" s="135"/>
      <c r="J403" s="135"/>
      <c r="K403" s="135"/>
      <c r="L403" s="189"/>
      <c r="M403" s="135"/>
      <c r="N403" s="135"/>
      <c r="O403" s="135"/>
    </row>
    <row r="404" customFormat="false" ht="15.75" hidden="false" customHeight="true" outlineLevel="0" collapsed="false">
      <c r="A404" s="135"/>
      <c r="B404" s="135"/>
      <c r="C404" s="135"/>
      <c r="D404" s="135"/>
      <c r="E404" s="135"/>
      <c r="F404" s="189"/>
      <c r="G404" s="135"/>
      <c r="H404" s="135"/>
      <c r="I404" s="135"/>
      <c r="J404" s="135"/>
      <c r="K404" s="135"/>
      <c r="L404" s="189"/>
      <c r="M404" s="135"/>
      <c r="N404" s="135"/>
      <c r="O404" s="135"/>
    </row>
    <row r="405" customFormat="false" ht="15.75" hidden="false" customHeight="true" outlineLevel="0" collapsed="false">
      <c r="A405" s="135"/>
      <c r="B405" s="135"/>
      <c r="C405" s="135"/>
      <c r="D405" s="135"/>
      <c r="E405" s="135"/>
      <c r="F405" s="189"/>
      <c r="G405" s="135"/>
      <c r="H405" s="135"/>
      <c r="I405" s="135"/>
      <c r="J405" s="135"/>
      <c r="K405" s="135"/>
      <c r="L405" s="189"/>
      <c r="M405" s="135"/>
      <c r="N405" s="135"/>
      <c r="O405" s="135"/>
    </row>
    <row r="406" customFormat="false" ht="15.75" hidden="false" customHeight="true" outlineLevel="0" collapsed="false">
      <c r="A406" s="135"/>
      <c r="B406" s="135"/>
      <c r="C406" s="135"/>
      <c r="D406" s="135"/>
      <c r="E406" s="135"/>
      <c r="F406" s="189"/>
      <c r="G406" s="135"/>
      <c r="H406" s="135"/>
      <c r="I406" s="135"/>
      <c r="J406" s="135"/>
      <c r="K406" s="135"/>
      <c r="L406" s="189"/>
      <c r="M406" s="135"/>
      <c r="N406" s="135"/>
      <c r="O406" s="135"/>
    </row>
    <row r="407" customFormat="false" ht="15.75" hidden="false" customHeight="true" outlineLevel="0" collapsed="false">
      <c r="A407" s="135"/>
      <c r="B407" s="135"/>
      <c r="C407" s="135"/>
      <c r="D407" s="135"/>
      <c r="E407" s="135"/>
      <c r="F407" s="189"/>
      <c r="G407" s="135"/>
      <c r="H407" s="135"/>
      <c r="I407" s="135"/>
      <c r="J407" s="135"/>
      <c r="K407" s="135"/>
      <c r="L407" s="189"/>
      <c r="M407" s="135"/>
      <c r="N407" s="135"/>
      <c r="O407" s="135"/>
    </row>
    <row r="408" customFormat="false" ht="15.75" hidden="false" customHeight="true" outlineLevel="0" collapsed="false">
      <c r="A408" s="135"/>
      <c r="B408" s="135"/>
      <c r="C408" s="135"/>
      <c r="D408" s="135"/>
      <c r="E408" s="135"/>
      <c r="F408" s="189"/>
      <c r="G408" s="135"/>
      <c r="H408" s="135"/>
      <c r="I408" s="135"/>
      <c r="J408" s="135"/>
      <c r="K408" s="135"/>
      <c r="L408" s="189"/>
      <c r="M408" s="135"/>
      <c r="N408" s="135"/>
      <c r="O408" s="135"/>
    </row>
    <row r="409" customFormat="false" ht="15.75" hidden="false" customHeight="true" outlineLevel="0" collapsed="false">
      <c r="A409" s="135"/>
      <c r="B409" s="135"/>
      <c r="C409" s="135"/>
      <c r="D409" s="135"/>
      <c r="E409" s="135"/>
      <c r="F409" s="189"/>
      <c r="G409" s="135"/>
      <c r="H409" s="135"/>
      <c r="I409" s="135"/>
      <c r="J409" s="135"/>
      <c r="K409" s="135"/>
      <c r="L409" s="189"/>
      <c r="M409" s="135"/>
      <c r="N409" s="135"/>
      <c r="O409" s="135"/>
    </row>
    <row r="410" customFormat="false" ht="15.75" hidden="false" customHeight="true" outlineLevel="0" collapsed="false">
      <c r="A410" s="135"/>
      <c r="B410" s="135"/>
      <c r="C410" s="135"/>
      <c r="D410" s="135"/>
      <c r="E410" s="135"/>
      <c r="F410" s="189"/>
      <c r="G410" s="135"/>
      <c r="H410" s="135"/>
      <c r="I410" s="135"/>
      <c r="J410" s="135"/>
      <c r="K410" s="135"/>
      <c r="L410" s="189"/>
      <c r="M410" s="135"/>
      <c r="N410" s="135"/>
      <c r="O410" s="135"/>
    </row>
    <row r="411" customFormat="false" ht="15.75" hidden="false" customHeight="true" outlineLevel="0" collapsed="false">
      <c r="A411" s="135"/>
      <c r="B411" s="135"/>
      <c r="C411" s="135"/>
      <c r="D411" s="135"/>
      <c r="E411" s="135"/>
      <c r="F411" s="189"/>
      <c r="G411" s="135"/>
      <c r="H411" s="135"/>
      <c r="I411" s="135"/>
      <c r="J411" s="135"/>
      <c r="K411" s="135"/>
      <c r="L411" s="189"/>
      <c r="M411" s="135"/>
      <c r="N411" s="135"/>
      <c r="O411" s="135"/>
    </row>
    <row r="412" customFormat="false" ht="15.75" hidden="false" customHeight="true" outlineLevel="0" collapsed="false">
      <c r="A412" s="135"/>
      <c r="B412" s="135"/>
      <c r="C412" s="135"/>
      <c r="D412" s="135"/>
      <c r="E412" s="135"/>
      <c r="F412" s="189"/>
      <c r="G412" s="135"/>
      <c r="H412" s="135"/>
      <c r="I412" s="135"/>
      <c r="J412" s="135"/>
      <c r="K412" s="135"/>
      <c r="L412" s="189"/>
      <c r="M412" s="135"/>
      <c r="N412" s="135"/>
      <c r="O412" s="135"/>
    </row>
    <row r="413" customFormat="false" ht="15.75" hidden="false" customHeight="true" outlineLevel="0" collapsed="false">
      <c r="A413" s="135"/>
      <c r="B413" s="135"/>
      <c r="C413" s="135"/>
      <c r="D413" s="135"/>
      <c r="E413" s="135"/>
      <c r="F413" s="189"/>
      <c r="G413" s="135"/>
      <c r="H413" s="135"/>
      <c r="I413" s="135"/>
      <c r="J413" s="135"/>
      <c r="K413" s="135"/>
      <c r="L413" s="189"/>
      <c r="M413" s="135"/>
      <c r="N413" s="135"/>
      <c r="O413" s="135"/>
    </row>
    <row r="414" customFormat="false" ht="15.75" hidden="false" customHeight="true" outlineLevel="0" collapsed="false">
      <c r="A414" s="135"/>
      <c r="B414" s="135"/>
      <c r="C414" s="135"/>
      <c r="D414" s="135"/>
      <c r="E414" s="135"/>
      <c r="F414" s="189"/>
      <c r="G414" s="135"/>
      <c r="H414" s="135"/>
      <c r="I414" s="135"/>
      <c r="J414" s="135"/>
      <c r="K414" s="135"/>
      <c r="L414" s="189"/>
      <c r="M414" s="135"/>
      <c r="N414" s="135"/>
      <c r="O414" s="135"/>
    </row>
    <row r="415" customFormat="false" ht="15.75" hidden="false" customHeight="true" outlineLevel="0" collapsed="false">
      <c r="A415" s="135"/>
      <c r="B415" s="135"/>
      <c r="C415" s="135"/>
      <c r="D415" s="135"/>
      <c r="E415" s="135"/>
      <c r="F415" s="189"/>
      <c r="G415" s="135"/>
      <c r="H415" s="135"/>
      <c r="I415" s="135"/>
      <c r="J415" s="135"/>
      <c r="K415" s="135"/>
      <c r="L415" s="189"/>
      <c r="M415" s="135"/>
      <c r="N415" s="135"/>
      <c r="O415" s="135"/>
    </row>
    <row r="416" customFormat="false" ht="15.75" hidden="false" customHeight="true" outlineLevel="0" collapsed="false">
      <c r="A416" s="135"/>
      <c r="B416" s="135"/>
      <c r="C416" s="135"/>
      <c r="D416" s="135"/>
      <c r="E416" s="135"/>
      <c r="F416" s="189"/>
      <c r="G416" s="135"/>
      <c r="H416" s="135"/>
      <c r="I416" s="135"/>
      <c r="J416" s="135"/>
      <c r="K416" s="135"/>
      <c r="L416" s="189"/>
      <c r="M416" s="135"/>
      <c r="N416" s="135"/>
      <c r="O416" s="135"/>
    </row>
    <row r="417" customFormat="false" ht="15.75" hidden="false" customHeight="true" outlineLevel="0" collapsed="false">
      <c r="A417" s="135"/>
      <c r="B417" s="135"/>
      <c r="C417" s="135"/>
      <c r="D417" s="135"/>
      <c r="E417" s="135"/>
      <c r="F417" s="189"/>
      <c r="G417" s="135"/>
      <c r="H417" s="135"/>
      <c r="I417" s="135"/>
      <c r="J417" s="135"/>
      <c r="K417" s="135"/>
      <c r="L417" s="189"/>
      <c r="M417" s="135"/>
      <c r="N417" s="135"/>
      <c r="O417" s="135"/>
    </row>
    <row r="418" customFormat="false" ht="15.75" hidden="false" customHeight="true" outlineLevel="0" collapsed="false">
      <c r="A418" s="135"/>
      <c r="B418" s="135"/>
      <c r="C418" s="135"/>
      <c r="D418" s="135"/>
      <c r="E418" s="135"/>
      <c r="F418" s="189"/>
      <c r="G418" s="135"/>
      <c r="H418" s="135"/>
      <c r="I418" s="135"/>
      <c r="J418" s="135"/>
      <c r="K418" s="135"/>
      <c r="L418" s="189"/>
      <c r="M418" s="135"/>
      <c r="N418" s="135"/>
      <c r="O418" s="135"/>
    </row>
    <row r="419" customFormat="false" ht="15.75" hidden="false" customHeight="true" outlineLevel="0" collapsed="false">
      <c r="A419" s="135"/>
      <c r="B419" s="135"/>
      <c r="C419" s="135"/>
      <c r="D419" s="135"/>
      <c r="E419" s="135"/>
      <c r="F419" s="189"/>
      <c r="G419" s="135"/>
      <c r="H419" s="135"/>
      <c r="I419" s="135"/>
      <c r="J419" s="135"/>
      <c r="K419" s="135"/>
      <c r="L419" s="189"/>
      <c r="M419" s="135"/>
      <c r="N419" s="135"/>
      <c r="O419" s="135"/>
    </row>
    <row r="420" customFormat="false" ht="15.75" hidden="false" customHeight="true" outlineLevel="0" collapsed="false">
      <c r="A420" s="135"/>
      <c r="B420" s="135"/>
      <c r="C420" s="135"/>
      <c r="D420" s="135"/>
      <c r="E420" s="135"/>
      <c r="F420" s="189"/>
      <c r="G420" s="135"/>
      <c r="H420" s="135"/>
      <c r="I420" s="135"/>
      <c r="J420" s="135"/>
      <c r="K420" s="135"/>
      <c r="L420" s="189"/>
      <c r="M420" s="135"/>
      <c r="N420" s="135"/>
      <c r="O420" s="135"/>
    </row>
    <row r="421" customFormat="false" ht="15.75" hidden="false" customHeight="true" outlineLevel="0" collapsed="false">
      <c r="A421" s="135"/>
      <c r="B421" s="135"/>
      <c r="C421" s="135"/>
      <c r="D421" s="135"/>
      <c r="E421" s="135"/>
      <c r="F421" s="189"/>
      <c r="G421" s="135"/>
      <c r="H421" s="135"/>
      <c r="I421" s="135"/>
      <c r="J421" s="135"/>
      <c r="K421" s="135"/>
      <c r="L421" s="189"/>
      <c r="M421" s="135"/>
      <c r="N421" s="135"/>
      <c r="O421" s="135"/>
    </row>
    <row r="422" customFormat="false" ht="15.75" hidden="false" customHeight="true" outlineLevel="0" collapsed="false">
      <c r="A422" s="135"/>
      <c r="B422" s="135"/>
      <c r="C422" s="135"/>
      <c r="D422" s="135"/>
      <c r="E422" s="135"/>
      <c r="F422" s="189"/>
      <c r="G422" s="135"/>
      <c r="H422" s="135"/>
      <c r="I422" s="135"/>
      <c r="J422" s="135"/>
      <c r="K422" s="135"/>
      <c r="L422" s="189"/>
      <c r="M422" s="135"/>
      <c r="N422" s="135"/>
      <c r="O422" s="135"/>
    </row>
    <row r="423" customFormat="false" ht="15.75" hidden="false" customHeight="true" outlineLevel="0" collapsed="false">
      <c r="A423" s="135"/>
      <c r="B423" s="135"/>
      <c r="C423" s="135"/>
      <c r="D423" s="135"/>
      <c r="E423" s="135"/>
      <c r="F423" s="189"/>
      <c r="G423" s="135"/>
      <c r="H423" s="135"/>
      <c r="I423" s="135"/>
      <c r="J423" s="135"/>
      <c r="K423" s="135"/>
      <c r="L423" s="189"/>
      <c r="M423" s="135"/>
      <c r="N423" s="135"/>
      <c r="O423" s="135"/>
    </row>
    <row r="424" customFormat="false" ht="15.75" hidden="false" customHeight="true" outlineLevel="0" collapsed="false">
      <c r="A424" s="135"/>
      <c r="B424" s="135"/>
      <c r="C424" s="135"/>
      <c r="D424" s="135"/>
      <c r="E424" s="135"/>
      <c r="F424" s="189"/>
      <c r="G424" s="135"/>
      <c r="H424" s="135"/>
      <c r="I424" s="135"/>
      <c r="J424" s="135"/>
      <c r="K424" s="135"/>
      <c r="L424" s="189"/>
      <c r="M424" s="135"/>
      <c r="N424" s="135"/>
      <c r="O424" s="135"/>
    </row>
    <row r="425" customFormat="false" ht="15.75" hidden="false" customHeight="true" outlineLevel="0" collapsed="false">
      <c r="A425" s="135"/>
      <c r="B425" s="135"/>
      <c r="C425" s="135"/>
      <c r="D425" s="135"/>
      <c r="E425" s="135"/>
      <c r="F425" s="189"/>
      <c r="G425" s="135"/>
      <c r="H425" s="135"/>
      <c r="I425" s="135"/>
      <c r="J425" s="135"/>
      <c r="K425" s="135"/>
      <c r="L425" s="189"/>
      <c r="M425" s="135"/>
      <c r="N425" s="135"/>
      <c r="O425" s="135"/>
    </row>
    <row r="426" customFormat="false" ht="15.75" hidden="false" customHeight="true" outlineLevel="0" collapsed="false">
      <c r="A426" s="135"/>
      <c r="B426" s="135"/>
      <c r="C426" s="135"/>
      <c r="D426" s="135"/>
      <c r="E426" s="135"/>
      <c r="F426" s="189"/>
      <c r="G426" s="135"/>
      <c r="H426" s="135"/>
      <c r="I426" s="135"/>
      <c r="J426" s="135"/>
      <c r="K426" s="135"/>
      <c r="L426" s="189"/>
      <c r="M426" s="135"/>
      <c r="N426" s="135"/>
      <c r="O426" s="135"/>
    </row>
    <row r="427" customFormat="false" ht="15.75" hidden="false" customHeight="true" outlineLevel="0" collapsed="false">
      <c r="A427" s="135"/>
      <c r="B427" s="135"/>
      <c r="C427" s="135"/>
      <c r="D427" s="135"/>
      <c r="E427" s="135"/>
      <c r="F427" s="189"/>
      <c r="G427" s="135"/>
      <c r="H427" s="135"/>
      <c r="I427" s="135"/>
      <c r="J427" s="135"/>
      <c r="K427" s="135"/>
      <c r="L427" s="189"/>
      <c r="M427" s="135"/>
      <c r="N427" s="135"/>
      <c r="O427" s="135"/>
    </row>
    <row r="428" customFormat="false" ht="15.75" hidden="false" customHeight="true" outlineLevel="0" collapsed="false">
      <c r="A428" s="135"/>
      <c r="B428" s="135"/>
      <c r="C428" s="135"/>
      <c r="D428" s="135"/>
      <c r="E428" s="135"/>
      <c r="F428" s="189"/>
      <c r="G428" s="135"/>
      <c r="H428" s="135"/>
      <c r="I428" s="135"/>
      <c r="J428" s="135"/>
      <c r="K428" s="135"/>
      <c r="L428" s="189"/>
      <c r="M428" s="135"/>
      <c r="N428" s="135"/>
      <c r="O428" s="135"/>
    </row>
    <row r="429" customFormat="false" ht="15.75" hidden="false" customHeight="true" outlineLevel="0" collapsed="false">
      <c r="A429" s="135"/>
      <c r="B429" s="135"/>
      <c r="C429" s="135"/>
      <c r="D429" s="135"/>
      <c r="E429" s="135"/>
      <c r="F429" s="189"/>
      <c r="G429" s="135"/>
      <c r="H429" s="135"/>
      <c r="I429" s="135"/>
      <c r="J429" s="135"/>
      <c r="K429" s="135"/>
      <c r="L429" s="189"/>
      <c r="M429" s="135"/>
      <c r="N429" s="135"/>
      <c r="O429" s="135"/>
    </row>
    <row r="430" customFormat="false" ht="15.75" hidden="false" customHeight="true" outlineLevel="0" collapsed="false">
      <c r="A430" s="135"/>
      <c r="B430" s="135"/>
      <c r="C430" s="135"/>
      <c r="D430" s="135"/>
      <c r="E430" s="135"/>
      <c r="F430" s="189"/>
      <c r="G430" s="135"/>
      <c r="H430" s="135"/>
      <c r="I430" s="135"/>
      <c r="J430" s="135"/>
      <c r="K430" s="135"/>
      <c r="L430" s="189"/>
      <c r="M430" s="135"/>
      <c r="N430" s="135"/>
      <c r="O430" s="135"/>
    </row>
    <row r="431" customFormat="false" ht="15.75" hidden="false" customHeight="true" outlineLevel="0" collapsed="false">
      <c r="A431" s="135"/>
      <c r="B431" s="135"/>
      <c r="C431" s="135"/>
      <c r="D431" s="135"/>
      <c r="E431" s="135"/>
      <c r="F431" s="189"/>
      <c r="G431" s="135"/>
      <c r="H431" s="135"/>
      <c r="I431" s="135"/>
      <c r="J431" s="135"/>
      <c r="K431" s="135"/>
      <c r="L431" s="189"/>
      <c r="M431" s="135"/>
      <c r="N431" s="135"/>
      <c r="O431" s="135"/>
    </row>
    <row r="432" customFormat="false" ht="15.75" hidden="false" customHeight="true" outlineLevel="0" collapsed="false">
      <c r="A432" s="135"/>
      <c r="B432" s="135"/>
      <c r="C432" s="135"/>
      <c r="D432" s="135"/>
      <c r="E432" s="135"/>
      <c r="F432" s="189"/>
      <c r="G432" s="135"/>
      <c r="H432" s="135"/>
      <c r="I432" s="135"/>
      <c r="J432" s="135"/>
      <c r="K432" s="135"/>
      <c r="L432" s="189"/>
      <c r="M432" s="135"/>
      <c r="N432" s="135"/>
      <c r="O432" s="135"/>
    </row>
    <row r="433" customFormat="false" ht="15.75" hidden="false" customHeight="true" outlineLevel="0" collapsed="false">
      <c r="A433" s="135"/>
      <c r="B433" s="135"/>
      <c r="C433" s="135"/>
      <c r="D433" s="135"/>
      <c r="E433" s="135"/>
      <c r="F433" s="189"/>
      <c r="G433" s="135"/>
      <c r="H433" s="135"/>
      <c r="I433" s="135"/>
      <c r="J433" s="135"/>
      <c r="K433" s="135"/>
      <c r="L433" s="189"/>
      <c r="M433" s="135"/>
      <c r="N433" s="135"/>
      <c r="O433" s="135"/>
    </row>
    <row r="434" customFormat="false" ht="15.75" hidden="false" customHeight="true" outlineLevel="0" collapsed="false">
      <c r="A434" s="135"/>
      <c r="B434" s="135"/>
      <c r="C434" s="135"/>
      <c r="D434" s="135"/>
      <c r="E434" s="135"/>
      <c r="F434" s="189"/>
      <c r="G434" s="135"/>
      <c r="H434" s="135"/>
      <c r="I434" s="135"/>
      <c r="J434" s="135"/>
      <c r="K434" s="135"/>
      <c r="L434" s="189"/>
      <c r="M434" s="135"/>
      <c r="N434" s="135"/>
      <c r="O434" s="135"/>
    </row>
    <row r="435" customFormat="false" ht="15.75" hidden="false" customHeight="true" outlineLevel="0" collapsed="false">
      <c r="A435" s="135"/>
      <c r="B435" s="135"/>
      <c r="C435" s="135"/>
      <c r="D435" s="135"/>
      <c r="E435" s="135"/>
      <c r="F435" s="189"/>
      <c r="G435" s="135"/>
      <c r="H435" s="135"/>
      <c r="I435" s="135"/>
      <c r="J435" s="135"/>
      <c r="K435" s="135"/>
      <c r="L435" s="189"/>
      <c r="M435" s="135"/>
      <c r="N435" s="135"/>
      <c r="O435" s="135"/>
    </row>
    <row r="436" customFormat="false" ht="15.75" hidden="false" customHeight="true" outlineLevel="0" collapsed="false">
      <c r="A436" s="135"/>
      <c r="B436" s="135"/>
      <c r="C436" s="135"/>
      <c r="D436" s="135"/>
      <c r="E436" s="135"/>
      <c r="F436" s="189"/>
      <c r="G436" s="135"/>
      <c r="H436" s="135"/>
      <c r="I436" s="135"/>
      <c r="J436" s="135"/>
      <c r="K436" s="135"/>
      <c r="L436" s="189"/>
      <c r="M436" s="135"/>
      <c r="N436" s="135"/>
      <c r="O436" s="135"/>
    </row>
    <row r="437" customFormat="false" ht="15.75" hidden="false" customHeight="true" outlineLevel="0" collapsed="false">
      <c r="A437" s="135"/>
      <c r="B437" s="135"/>
      <c r="C437" s="135"/>
      <c r="D437" s="135"/>
      <c r="E437" s="135"/>
      <c r="F437" s="189"/>
      <c r="G437" s="135"/>
      <c r="H437" s="135"/>
      <c r="I437" s="135"/>
      <c r="J437" s="135"/>
      <c r="K437" s="135"/>
      <c r="L437" s="189"/>
      <c r="M437" s="135"/>
      <c r="N437" s="135"/>
      <c r="O437" s="135"/>
    </row>
    <row r="438" customFormat="false" ht="15.75" hidden="false" customHeight="true" outlineLevel="0" collapsed="false">
      <c r="A438" s="135"/>
      <c r="B438" s="135"/>
      <c r="C438" s="135"/>
      <c r="D438" s="135"/>
      <c r="E438" s="135"/>
      <c r="F438" s="189"/>
      <c r="G438" s="135"/>
      <c r="H438" s="135"/>
      <c r="I438" s="135"/>
      <c r="J438" s="135"/>
      <c r="K438" s="135"/>
      <c r="L438" s="189"/>
      <c r="M438" s="135"/>
      <c r="N438" s="135"/>
      <c r="O438" s="135"/>
    </row>
    <row r="439" customFormat="false" ht="15.75" hidden="false" customHeight="true" outlineLevel="0" collapsed="false">
      <c r="A439" s="135"/>
      <c r="B439" s="135"/>
      <c r="C439" s="135"/>
      <c r="D439" s="135"/>
      <c r="E439" s="135"/>
      <c r="F439" s="189"/>
      <c r="G439" s="135"/>
      <c r="H439" s="135"/>
      <c r="I439" s="135"/>
      <c r="J439" s="135"/>
      <c r="K439" s="135"/>
      <c r="L439" s="189"/>
      <c r="M439" s="135"/>
      <c r="N439" s="135"/>
      <c r="O439" s="135"/>
    </row>
    <row r="440" customFormat="false" ht="15.75" hidden="false" customHeight="true" outlineLevel="0" collapsed="false">
      <c r="A440" s="135"/>
      <c r="B440" s="135"/>
      <c r="C440" s="135"/>
      <c r="D440" s="135"/>
      <c r="E440" s="135"/>
      <c r="F440" s="189"/>
      <c r="G440" s="135"/>
      <c r="H440" s="135"/>
      <c r="I440" s="135"/>
      <c r="J440" s="135"/>
      <c r="K440" s="135"/>
      <c r="L440" s="189"/>
      <c r="M440" s="135"/>
      <c r="N440" s="135"/>
      <c r="O440" s="135"/>
    </row>
    <row r="441" customFormat="false" ht="15.75" hidden="false" customHeight="true" outlineLevel="0" collapsed="false">
      <c r="A441" s="135"/>
      <c r="B441" s="135"/>
      <c r="C441" s="135"/>
      <c r="D441" s="135"/>
      <c r="E441" s="135"/>
      <c r="F441" s="189"/>
      <c r="G441" s="135"/>
      <c r="H441" s="135"/>
      <c r="I441" s="135"/>
      <c r="J441" s="135"/>
      <c r="K441" s="135"/>
      <c r="L441" s="189"/>
      <c r="M441" s="135"/>
      <c r="N441" s="135"/>
      <c r="O441" s="135"/>
    </row>
    <row r="442" customFormat="false" ht="15.75" hidden="false" customHeight="true" outlineLevel="0" collapsed="false">
      <c r="A442" s="135"/>
      <c r="B442" s="135"/>
      <c r="C442" s="135"/>
      <c r="D442" s="135"/>
      <c r="E442" s="135"/>
      <c r="F442" s="189"/>
      <c r="G442" s="135"/>
      <c r="H442" s="135"/>
      <c r="I442" s="135"/>
      <c r="J442" s="135"/>
      <c r="K442" s="135"/>
      <c r="L442" s="189"/>
      <c r="M442" s="135"/>
      <c r="N442" s="135"/>
      <c r="O442" s="135"/>
    </row>
    <row r="443" customFormat="false" ht="15.75" hidden="false" customHeight="true" outlineLevel="0" collapsed="false">
      <c r="A443" s="135"/>
      <c r="B443" s="135"/>
      <c r="C443" s="135"/>
      <c r="D443" s="135"/>
      <c r="E443" s="135"/>
      <c r="F443" s="189"/>
      <c r="G443" s="135"/>
      <c r="H443" s="135"/>
      <c r="I443" s="135"/>
      <c r="J443" s="135"/>
      <c r="K443" s="135"/>
      <c r="L443" s="189"/>
      <c r="M443" s="135"/>
      <c r="N443" s="135"/>
      <c r="O443" s="135"/>
    </row>
    <row r="444" customFormat="false" ht="15.75" hidden="false" customHeight="true" outlineLevel="0" collapsed="false">
      <c r="A444" s="135"/>
      <c r="B444" s="135"/>
      <c r="C444" s="135"/>
      <c r="D444" s="135"/>
      <c r="E444" s="135"/>
      <c r="F444" s="189"/>
      <c r="G444" s="135"/>
      <c r="H444" s="135"/>
      <c r="I444" s="135"/>
      <c r="J444" s="135"/>
      <c r="K444" s="135"/>
      <c r="L444" s="189"/>
      <c r="M444" s="135"/>
      <c r="N444" s="135"/>
      <c r="O444" s="135"/>
    </row>
    <row r="445" customFormat="false" ht="15.75" hidden="false" customHeight="true" outlineLevel="0" collapsed="false">
      <c r="A445" s="135"/>
      <c r="B445" s="135"/>
      <c r="C445" s="135"/>
      <c r="D445" s="135"/>
      <c r="E445" s="135"/>
      <c r="F445" s="189"/>
      <c r="G445" s="135"/>
      <c r="H445" s="135"/>
      <c r="I445" s="135"/>
      <c r="J445" s="135"/>
      <c r="K445" s="135"/>
      <c r="L445" s="189"/>
      <c r="M445" s="135"/>
      <c r="N445" s="135"/>
      <c r="O445" s="135"/>
    </row>
    <row r="446" customFormat="false" ht="15.75" hidden="false" customHeight="true" outlineLevel="0" collapsed="false">
      <c r="A446" s="135"/>
      <c r="B446" s="135"/>
      <c r="C446" s="135"/>
      <c r="D446" s="135"/>
      <c r="E446" s="135"/>
      <c r="F446" s="189"/>
      <c r="G446" s="135"/>
      <c r="H446" s="135"/>
      <c r="I446" s="135"/>
      <c r="J446" s="135"/>
      <c r="K446" s="135"/>
      <c r="L446" s="189"/>
      <c r="M446" s="135"/>
      <c r="N446" s="135"/>
      <c r="O446" s="135"/>
    </row>
    <row r="447" customFormat="false" ht="15.75" hidden="false" customHeight="true" outlineLevel="0" collapsed="false">
      <c r="A447" s="135"/>
      <c r="B447" s="135"/>
      <c r="C447" s="135"/>
      <c r="D447" s="135"/>
      <c r="E447" s="135"/>
      <c r="F447" s="189"/>
      <c r="G447" s="135"/>
      <c r="H447" s="135"/>
      <c r="I447" s="135"/>
      <c r="J447" s="135"/>
      <c r="K447" s="135"/>
      <c r="L447" s="189"/>
      <c r="M447" s="135"/>
      <c r="N447" s="135"/>
      <c r="O447" s="135"/>
    </row>
    <row r="448" customFormat="false" ht="15.75" hidden="false" customHeight="true" outlineLevel="0" collapsed="false">
      <c r="A448" s="135"/>
      <c r="B448" s="135"/>
      <c r="C448" s="135"/>
      <c r="D448" s="135"/>
      <c r="E448" s="135"/>
      <c r="F448" s="189"/>
      <c r="G448" s="135"/>
      <c r="H448" s="135"/>
      <c r="I448" s="135"/>
      <c r="J448" s="135"/>
      <c r="K448" s="135"/>
      <c r="L448" s="189"/>
      <c r="M448" s="135"/>
      <c r="N448" s="135"/>
      <c r="O448" s="135"/>
    </row>
    <row r="449" customFormat="false" ht="15.75" hidden="false" customHeight="true" outlineLevel="0" collapsed="false">
      <c r="A449" s="135"/>
      <c r="B449" s="135"/>
      <c r="C449" s="135"/>
      <c r="D449" s="135"/>
      <c r="E449" s="135"/>
      <c r="F449" s="189"/>
      <c r="G449" s="135"/>
      <c r="H449" s="135"/>
      <c r="I449" s="135"/>
      <c r="J449" s="135"/>
      <c r="K449" s="135"/>
      <c r="L449" s="189"/>
      <c r="M449" s="135"/>
      <c r="N449" s="135"/>
      <c r="O449" s="135"/>
    </row>
    <row r="450" customFormat="false" ht="15.75" hidden="false" customHeight="true" outlineLevel="0" collapsed="false">
      <c r="A450" s="135"/>
      <c r="B450" s="135"/>
      <c r="C450" s="135"/>
      <c r="D450" s="135"/>
      <c r="E450" s="135"/>
      <c r="F450" s="189"/>
      <c r="G450" s="135"/>
      <c r="H450" s="135"/>
      <c r="I450" s="135"/>
      <c r="J450" s="135"/>
      <c r="K450" s="135"/>
      <c r="L450" s="189"/>
      <c r="M450" s="135"/>
      <c r="N450" s="135"/>
      <c r="O450" s="135"/>
    </row>
    <row r="451" customFormat="false" ht="15.75" hidden="false" customHeight="true" outlineLevel="0" collapsed="false">
      <c r="A451" s="135"/>
      <c r="B451" s="135"/>
      <c r="C451" s="135"/>
      <c r="D451" s="135"/>
      <c r="E451" s="135"/>
      <c r="F451" s="189"/>
      <c r="G451" s="135"/>
      <c r="H451" s="135"/>
      <c r="I451" s="135"/>
      <c r="J451" s="135"/>
      <c r="K451" s="135"/>
      <c r="L451" s="189"/>
      <c r="M451" s="135"/>
      <c r="N451" s="135"/>
      <c r="O451" s="135"/>
    </row>
    <row r="452" customFormat="false" ht="15.75" hidden="false" customHeight="true" outlineLevel="0" collapsed="false">
      <c r="A452" s="135"/>
      <c r="B452" s="135"/>
      <c r="C452" s="135"/>
      <c r="D452" s="135"/>
      <c r="E452" s="135"/>
      <c r="F452" s="189"/>
      <c r="G452" s="135"/>
      <c r="H452" s="135"/>
      <c r="I452" s="135"/>
      <c r="J452" s="135"/>
      <c r="K452" s="135"/>
      <c r="L452" s="189"/>
      <c r="M452" s="135"/>
      <c r="N452" s="135"/>
      <c r="O452" s="135"/>
    </row>
    <row r="453" customFormat="false" ht="15.75" hidden="false" customHeight="true" outlineLevel="0" collapsed="false">
      <c r="A453" s="135"/>
      <c r="B453" s="135"/>
      <c r="C453" s="135"/>
      <c r="D453" s="135"/>
      <c r="E453" s="135"/>
      <c r="F453" s="189"/>
      <c r="G453" s="135"/>
      <c r="H453" s="135"/>
      <c r="I453" s="135"/>
      <c r="J453" s="135"/>
      <c r="K453" s="135"/>
      <c r="L453" s="189"/>
      <c r="M453" s="135"/>
      <c r="N453" s="135"/>
      <c r="O453" s="135"/>
    </row>
    <row r="454" customFormat="false" ht="15.75" hidden="false" customHeight="true" outlineLevel="0" collapsed="false">
      <c r="A454" s="135"/>
      <c r="B454" s="135"/>
      <c r="C454" s="135"/>
      <c r="D454" s="135"/>
      <c r="E454" s="135"/>
      <c r="F454" s="189"/>
      <c r="G454" s="135"/>
      <c r="H454" s="135"/>
      <c r="I454" s="135"/>
      <c r="J454" s="135"/>
      <c r="K454" s="135"/>
      <c r="L454" s="189"/>
      <c r="M454" s="135"/>
      <c r="N454" s="135"/>
      <c r="O454" s="135"/>
    </row>
    <row r="455" customFormat="false" ht="15.75" hidden="false" customHeight="true" outlineLevel="0" collapsed="false">
      <c r="A455" s="135"/>
      <c r="B455" s="135"/>
      <c r="C455" s="135"/>
      <c r="D455" s="135"/>
      <c r="E455" s="135"/>
      <c r="F455" s="189"/>
      <c r="G455" s="135"/>
      <c r="H455" s="135"/>
      <c r="I455" s="135"/>
      <c r="J455" s="135"/>
      <c r="K455" s="135"/>
      <c r="L455" s="189"/>
      <c r="M455" s="135"/>
      <c r="N455" s="135"/>
      <c r="O455" s="135"/>
    </row>
    <row r="456" customFormat="false" ht="15.75" hidden="false" customHeight="true" outlineLevel="0" collapsed="false">
      <c r="A456" s="135"/>
      <c r="B456" s="135"/>
      <c r="C456" s="135"/>
      <c r="D456" s="135"/>
      <c r="E456" s="135"/>
      <c r="F456" s="189"/>
      <c r="G456" s="135"/>
      <c r="H456" s="135"/>
      <c r="I456" s="135"/>
      <c r="J456" s="135"/>
      <c r="K456" s="135"/>
      <c r="L456" s="189"/>
      <c r="M456" s="135"/>
      <c r="N456" s="135"/>
      <c r="O456" s="135"/>
    </row>
    <row r="457" customFormat="false" ht="15.75" hidden="false" customHeight="true" outlineLevel="0" collapsed="false">
      <c r="A457" s="135"/>
      <c r="B457" s="135"/>
      <c r="C457" s="135"/>
      <c r="D457" s="135"/>
      <c r="E457" s="135"/>
      <c r="F457" s="189"/>
      <c r="G457" s="135"/>
      <c r="H457" s="135"/>
      <c r="I457" s="135"/>
      <c r="J457" s="135"/>
      <c r="K457" s="135"/>
      <c r="L457" s="189"/>
      <c r="M457" s="135"/>
      <c r="N457" s="135"/>
      <c r="O457" s="135"/>
    </row>
    <row r="458" customFormat="false" ht="15.75" hidden="false" customHeight="true" outlineLevel="0" collapsed="false">
      <c r="A458" s="135"/>
      <c r="B458" s="135"/>
      <c r="C458" s="135"/>
      <c r="D458" s="135"/>
      <c r="E458" s="135"/>
      <c r="F458" s="189"/>
      <c r="G458" s="135"/>
      <c r="H458" s="135"/>
      <c r="I458" s="135"/>
      <c r="J458" s="135"/>
      <c r="K458" s="135"/>
      <c r="L458" s="189"/>
      <c r="M458" s="135"/>
      <c r="N458" s="135"/>
      <c r="O458" s="135"/>
    </row>
    <row r="459" customFormat="false" ht="15.75" hidden="false" customHeight="true" outlineLevel="0" collapsed="false">
      <c r="A459" s="135"/>
      <c r="B459" s="135"/>
      <c r="C459" s="135"/>
      <c r="D459" s="135"/>
      <c r="E459" s="135"/>
      <c r="F459" s="189"/>
      <c r="G459" s="135"/>
      <c r="H459" s="135"/>
      <c r="I459" s="135"/>
      <c r="J459" s="135"/>
      <c r="K459" s="135"/>
      <c r="L459" s="189"/>
      <c r="M459" s="135"/>
      <c r="N459" s="135"/>
      <c r="O459" s="135"/>
    </row>
    <row r="460" customFormat="false" ht="15.75" hidden="false" customHeight="true" outlineLevel="0" collapsed="false">
      <c r="A460" s="135"/>
      <c r="B460" s="135"/>
      <c r="C460" s="135"/>
      <c r="D460" s="135"/>
      <c r="E460" s="135"/>
      <c r="F460" s="189"/>
      <c r="G460" s="135"/>
      <c r="H460" s="135"/>
      <c r="I460" s="135"/>
      <c r="J460" s="135"/>
      <c r="K460" s="135"/>
      <c r="L460" s="189"/>
      <c r="M460" s="135"/>
      <c r="N460" s="135"/>
      <c r="O460" s="135"/>
    </row>
    <row r="461" customFormat="false" ht="15.75" hidden="false" customHeight="true" outlineLevel="0" collapsed="false">
      <c r="A461" s="135"/>
      <c r="B461" s="135"/>
      <c r="C461" s="135"/>
      <c r="D461" s="135"/>
      <c r="E461" s="135"/>
      <c r="F461" s="189"/>
      <c r="G461" s="135"/>
      <c r="H461" s="135"/>
      <c r="I461" s="135"/>
      <c r="J461" s="135"/>
      <c r="K461" s="135"/>
      <c r="L461" s="189"/>
      <c r="M461" s="135"/>
      <c r="N461" s="135"/>
      <c r="O461" s="135"/>
    </row>
    <row r="462" customFormat="false" ht="15.75" hidden="false" customHeight="true" outlineLevel="0" collapsed="false">
      <c r="A462" s="135"/>
      <c r="B462" s="135"/>
      <c r="C462" s="135"/>
      <c r="D462" s="135"/>
      <c r="E462" s="135"/>
      <c r="F462" s="189"/>
      <c r="G462" s="135"/>
      <c r="H462" s="135"/>
      <c r="I462" s="135"/>
      <c r="J462" s="135"/>
      <c r="K462" s="135"/>
      <c r="L462" s="189"/>
      <c r="M462" s="135"/>
      <c r="N462" s="135"/>
      <c r="O462" s="135"/>
    </row>
    <row r="463" customFormat="false" ht="15.75" hidden="false" customHeight="true" outlineLevel="0" collapsed="false">
      <c r="A463" s="135"/>
      <c r="B463" s="135"/>
      <c r="C463" s="135"/>
      <c r="D463" s="135"/>
      <c r="E463" s="135"/>
      <c r="F463" s="189"/>
      <c r="G463" s="135"/>
      <c r="H463" s="135"/>
      <c r="I463" s="135"/>
      <c r="J463" s="135"/>
      <c r="K463" s="135"/>
      <c r="L463" s="189"/>
      <c r="M463" s="135"/>
      <c r="N463" s="135"/>
      <c r="O463" s="135"/>
    </row>
    <row r="464" customFormat="false" ht="15.75" hidden="false" customHeight="true" outlineLevel="0" collapsed="false">
      <c r="A464" s="135"/>
      <c r="B464" s="135"/>
      <c r="C464" s="135"/>
      <c r="D464" s="135"/>
      <c r="E464" s="135"/>
      <c r="F464" s="189"/>
      <c r="G464" s="135"/>
      <c r="H464" s="135"/>
      <c r="I464" s="135"/>
      <c r="J464" s="135"/>
      <c r="K464" s="135"/>
      <c r="L464" s="189"/>
      <c r="M464" s="135"/>
      <c r="N464" s="135"/>
      <c r="O464" s="135"/>
    </row>
    <row r="465" customFormat="false" ht="15.75" hidden="false" customHeight="true" outlineLevel="0" collapsed="false">
      <c r="A465" s="135"/>
      <c r="B465" s="135"/>
      <c r="C465" s="135"/>
      <c r="D465" s="135"/>
      <c r="E465" s="135"/>
      <c r="F465" s="189"/>
      <c r="G465" s="135"/>
      <c r="H465" s="135"/>
      <c r="I465" s="135"/>
      <c r="J465" s="135"/>
      <c r="K465" s="135"/>
      <c r="L465" s="189"/>
      <c r="M465" s="135"/>
      <c r="N465" s="135"/>
      <c r="O465" s="135"/>
    </row>
    <row r="466" customFormat="false" ht="15.75" hidden="false" customHeight="true" outlineLevel="0" collapsed="false">
      <c r="A466" s="135"/>
      <c r="B466" s="135"/>
      <c r="C466" s="135"/>
      <c r="D466" s="135"/>
      <c r="E466" s="135"/>
      <c r="F466" s="189"/>
      <c r="G466" s="135"/>
      <c r="H466" s="135"/>
      <c r="I466" s="135"/>
      <c r="J466" s="135"/>
      <c r="K466" s="135"/>
      <c r="L466" s="189"/>
      <c r="M466" s="135"/>
      <c r="N466" s="135"/>
      <c r="O466" s="135"/>
    </row>
    <row r="467" customFormat="false" ht="15.75" hidden="false" customHeight="true" outlineLevel="0" collapsed="false">
      <c r="A467" s="135"/>
      <c r="B467" s="135"/>
      <c r="C467" s="135"/>
      <c r="D467" s="135"/>
      <c r="E467" s="135"/>
      <c r="F467" s="189"/>
      <c r="G467" s="135"/>
      <c r="H467" s="135"/>
      <c r="I467" s="135"/>
      <c r="J467" s="135"/>
      <c r="K467" s="135"/>
      <c r="L467" s="189"/>
      <c r="M467" s="135"/>
      <c r="N467" s="135"/>
      <c r="O467" s="135"/>
    </row>
    <row r="468" customFormat="false" ht="15.75" hidden="false" customHeight="true" outlineLevel="0" collapsed="false">
      <c r="A468" s="135"/>
      <c r="B468" s="135"/>
      <c r="C468" s="135"/>
      <c r="D468" s="135"/>
      <c r="E468" s="135"/>
      <c r="F468" s="189"/>
      <c r="G468" s="135"/>
      <c r="H468" s="135"/>
      <c r="I468" s="135"/>
      <c r="J468" s="135"/>
      <c r="K468" s="135"/>
      <c r="L468" s="189"/>
      <c r="M468" s="135"/>
      <c r="N468" s="135"/>
      <c r="O468" s="135"/>
    </row>
    <row r="469" customFormat="false" ht="15.75" hidden="false" customHeight="true" outlineLevel="0" collapsed="false">
      <c r="A469" s="135"/>
      <c r="B469" s="135"/>
      <c r="C469" s="135"/>
      <c r="D469" s="135"/>
      <c r="E469" s="135"/>
      <c r="F469" s="189"/>
      <c r="G469" s="135"/>
      <c r="H469" s="135"/>
      <c r="I469" s="135"/>
      <c r="J469" s="135"/>
      <c r="K469" s="135"/>
      <c r="L469" s="189"/>
      <c r="M469" s="135"/>
      <c r="N469" s="135"/>
      <c r="O469" s="135"/>
    </row>
    <row r="470" customFormat="false" ht="15.75" hidden="false" customHeight="true" outlineLevel="0" collapsed="false">
      <c r="A470" s="135"/>
      <c r="B470" s="135"/>
      <c r="C470" s="135"/>
      <c r="D470" s="135"/>
      <c r="E470" s="135"/>
      <c r="F470" s="189"/>
      <c r="G470" s="135"/>
      <c r="H470" s="135"/>
      <c r="I470" s="135"/>
      <c r="J470" s="135"/>
      <c r="K470" s="135"/>
      <c r="L470" s="189"/>
      <c r="M470" s="135"/>
      <c r="N470" s="135"/>
      <c r="O470" s="135"/>
    </row>
    <row r="471" customFormat="false" ht="15.75" hidden="false" customHeight="true" outlineLevel="0" collapsed="false">
      <c r="A471" s="135"/>
      <c r="B471" s="135"/>
      <c r="C471" s="135"/>
      <c r="D471" s="135"/>
      <c r="E471" s="135"/>
      <c r="F471" s="189"/>
      <c r="G471" s="135"/>
      <c r="H471" s="135"/>
      <c r="I471" s="135"/>
      <c r="J471" s="135"/>
      <c r="K471" s="135"/>
      <c r="L471" s="189"/>
      <c r="M471" s="135"/>
      <c r="N471" s="135"/>
      <c r="O471" s="135"/>
    </row>
    <row r="472" customFormat="false" ht="15.75" hidden="false" customHeight="true" outlineLevel="0" collapsed="false">
      <c r="A472" s="135"/>
      <c r="B472" s="135"/>
      <c r="C472" s="135"/>
      <c r="D472" s="135"/>
      <c r="E472" s="135"/>
      <c r="F472" s="189"/>
      <c r="G472" s="135"/>
      <c r="H472" s="135"/>
      <c r="I472" s="135"/>
      <c r="J472" s="135"/>
      <c r="K472" s="135"/>
      <c r="L472" s="189"/>
      <c r="M472" s="135"/>
      <c r="N472" s="135"/>
      <c r="O472" s="135"/>
    </row>
    <row r="473" customFormat="false" ht="15.75" hidden="false" customHeight="true" outlineLevel="0" collapsed="false">
      <c r="A473" s="135"/>
      <c r="B473" s="135"/>
      <c r="C473" s="135"/>
      <c r="D473" s="135"/>
      <c r="E473" s="135"/>
      <c r="F473" s="189"/>
      <c r="G473" s="135"/>
      <c r="H473" s="135"/>
      <c r="I473" s="135"/>
      <c r="J473" s="135"/>
      <c r="K473" s="135"/>
      <c r="L473" s="189"/>
      <c r="M473" s="135"/>
      <c r="N473" s="135"/>
      <c r="O473" s="135"/>
    </row>
    <row r="474" customFormat="false" ht="15.75" hidden="false" customHeight="true" outlineLevel="0" collapsed="false">
      <c r="A474" s="135"/>
      <c r="B474" s="135"/>
      <c r="C474" s="135"/>
      <c r="D474" s="135"/>
      <c r="E474" s="135"/>
      <c r="F474" s="189"/>
      <c r="G474" s="135"/>
      <c r="H474" s="135"/>
      <c r="I474" s="135"/>
      <c r="J474" s="135"/>
      <c r="K474" s="135"/>
      <c r="L474" s="189"/>
      <c r="M474" s="135"/>
      <c r="N474" s="135"/>
      <c r="O474" s="135"/>
    </row>
    <row r="475" customFormat="false" ht="15.75" hidden="false" customHeight="true" outlineLevel="0" collapsed="false">
      <c r="A475" s="135"/>
      <c r="B475" s="135"/>
      <c r="C475" s="135"/>
      <c r="D475" s="135"/>
      <c r="E475" s="135"/>
      <c r="F475" s="189"/>
      <c r="G475" s="135"/>
      <c r="H475" s="135"/>
      <c r="I475" s="135"/>
      <c r="J475" s="135"/>
      <c r="K475" s="135"/>
      <c r="L475" s="189"/>
      <c r="M475" s="135"/>
      <c r="N475" s="135"/>
      <c r="O475" s="135"/>
    </row>
    <row r="476" customFormat="false" ht="15.75" hidden="false" customHeight="true" outlineLevel="0" collapsed="false">
      <c r="A476" s="135"/>
      <c r="B476" s="135"/>
      <c r="C476" s="135"/>
      <c r="D476" s="135"/>
      <c r="E476" s="135"/>
      <c r="F476" s="189"/>
      <c r="G476" s="135"/>
      <c r="H476" s="135"/>
      <c r="I476" s="135"/>
      <c r="J476" s="135"/>
      <c r="K476" s="135"/>
      <c r="L476" s="189"/>
      <c r="M476" s="135"/>
      <c r="N476" s="135"/>
      <c r="O476" s="135"/>
    </row>
    <row r="477" customFormat="false" ht="15.75" hidden="false" customHeight="true" outlineLevel="0" collapsed="false">
      <c r="A477" s="135"/>
      <c r="B477" s="135"/>
      <c r="C477" s="135"/>
      <c r="D477" s="135"/>
      <c r="E477" s="135"/>
      <c r="F477" s="189"/>
      <c r="G477" s="135"/>
      <c r="H477" s="135"/>
      <c r="I477" s="135"/>
      <c r="J477" s="135"/>
      <c r="K477" s="135"/>
      <c r="L477" s="189"/>
      <c r="M477" s="135"/>
      <c r="N477" s="135"/>
      <c r="O477" s="135"/>
    </row>
    <row r="478" customFormat="false" ht="15.75" hidden="false" customHeight="true" outlineLevel="0" collapsed="false">
      <c r="A478" s="135"/>
      <c r="B478" s="135"/>
      <c r="C478" s="135"/>
      <c r="D478" s="135"/>
      <c r="E478" s="135"/>
      <c r="F478" s="189"/>
      <c r="G478" s="135"/>
      <c r="H478" s="135"/>
      <c r="I478" s="135"/>
      <c r="J478" s="135"/>
      <c r="K478" s="135"/>
      <c r="L478" s="189"/>
      <c r="M478" s="135"/>
      <c r="N478" s="135"/>
      <c r="O478" s="135"/>
    </row>
    <row r="479" customFormat="false" ht="15.75" hidden="false" customHeight="true" outlineLevel="0" collapsed="false">
      <c r="A479" s="135"/>
      <c r="B479" s="135"/>
      <c r="C479" s="135"/>
      <c r="D479" s="135"/>
      <c r="E479" s="135"/>
      <c r="F479" s="189"/>
      <c r="G479" s="135"/>
      <c r="H479" s="135"/>
      <c r="I479" s="135"/>
      <c r="J479" s="135"/>
      <c r="K479" s="135"/>
      <c r="L479" s="189"/>
      <c r="M479" s="135"/>
      <c r="N479" s="135"/>
      <c r="O479" s="135"/>
    </row>
    <row r="480" customFormat="false" ht="15.75" hidden="false" customHeight="true" outlineLevel="0" collapsed="false">
      <c r="A480" s="135"/>
      <c r="B480" s="135"/>
      <c r="C480" s="135"/>
      <c r="D480" s="135"/>
      <c r="E480" s="135"/>
      <c r="F480" s="189"/>
      <c r="G480" s="135"/>
      <c r="H480" s="135"/>
      <c r="I480" s="135"/>
      <c r="J480" s="135"/>
      <c r="K480" s="135"/>
      <c r="L480" s="189"/>
      <c r="M480" s="135"/>
      <c r="N480" s="135"/>
      <c r="O480" s="135"/>
    </row>
    <row r="481" customFormat="false" ht="15.75" hidden="false" customHeight="true" outlineLevel="0" collapsed="false">
      <c r="A481" s="135"/>
      <c r="B481" s="135"/>
      <c r="C481" s="135"/>
      <c r="D481" s="135"/>
      <c r="E481" s="135"/>
      <c r="F481" s="189"/>
      <c r="G481" s="135"/>
      <c r="H481" s="135"/>
      <c r="I481" s="135"/>
      <c r="J481" s="135"/>
      <c r="K481" s="135"/>
      <c r="L481" s="189"/>
      <c r="M481" s="135"/>
      <c r="N481" s="135"/>
      <c r="O481" s="135"/>
    </row>
    <row r="482" customFormat="false" ht="15.75" hidden="false" customHeight="true" outlineLevel="0" collapsed="false">
      <c r="A482" s="135"/>
      <c r="B482" s="135"/>
      <c r="C482" s="135"/>
      <c r="D482" s="135"/>
      <c r="E482" s="135"/>
      <c r="F482" s="189"/>
      <c r="G482" s="135"/>
      <c r="H482" s="135"/>
      <c r="I482" s="135"/>
      <c r="J482" s="135"/>
      <c r="K482" s="135"/>
      <c r="L482" s="189"/>
      <c r="M482" s="135"/>
      <c r="N482" s="135"/>
      <c r="O482" s="135"/>
    </row>
    <row r="483" customFormat="false" ht="15.75" hidden="false" customHeight="true" outlineLevel="0" collapsed="false">
      <c r="A483" s="135"/>
      <c r="B483" s="135"/>
      <c r="C483" s="135"/>
      <c r="D483" s="135"/>
      <c r="E483" s="135"/>
      <c r="F483" s="189"/>
      <c r="G483" s="135"/>
      <c r="H483" s="135"/>
      <c r="I483" s="135"/>
      <c r="J483" s="135"/>
      <c r="K483" s="135"/>
      <c r="L483" s="189"/>
      <c r="M483" s="135"/>
      <c r="N483" s="135"/>
      <c r="O483" s="135"/>
    </row>
    <row r="484" customFormat="false" ht="15.75" hidden="false" customHeight="true" outlineLevel="0" collapsed="false">
      <c r="A484" s="135"/>
      <c r="B484" s="135"/>
      <c r="C484" s="135"/>
      <c r="D484" s="135"/>
      <c r="E484" s="135"/>
      <c r="F484" s="189"/>
      <c r="G484" s="135"/>
      <c r="H484" s="135"/>
      <c r="I484" s="135"/>
      <c r="J484" s="135"/>
      <c r="K484" s="135"/>
      <c r="L484" s="189"/>
      <c r="M484" s="135"/>
      <c r="N484" s="135"/>
      <c r="O484" s="135"/>
    </row>
    <row r="485" customFormat="false" ht="15.75" hidden="false" customHeight="true" outlineLevel="0" collapsed="false">
      <c r="A485" s="135"/>
      <c r="B485" s="135"/>
      <c r="C485" s="135"/>
      <c r="D485" s="135"/>
      <c r="E485" s="135"/>
      <c r="F485" s="189"/>
      <c r="G485" s="135"/>
      <c r="H485" s="135"/>
      <c r="I485" s="135"/>
      <c r="J485" s="135"/>
      <c r="K485" s="135"/>
      <c r="L485" s="189"/>
      <c r="M485" s="135"/>
      <c r="N485" s="135"/>
      <c r="O485" s="135"/>
    </row>
    <row r="486" customFormat="false" ht="15.75" hidden="false" customHeight="true" outlineLevel="0" collapsed="false">
      <c r="A486" s="135"/>
      <c r="B486" s="135"/>
      <c r="C486" s="135"/>
      <c r="D486" s="135"/>
      <c r="E486" s="135"/>
      <c r="F486" s="189"/>
      <c r="G486" s="135"/>
      <c r="H486" s="135"/>
      <c r="I486" s="135"/>
      <c r="J486" s="135"/>
      <c r="K486" s="135"/>
      <c r="L486" s="189"/>
      <c r="M486" s="135"/>
      <c r="N486" s="135"/>
      <c r="O486" s="135"/>
    </row>
    <row r="487" customFormat="false" ht="15.75" hidden="false" customHeight="true" outlineLevel="0" collapsed="false">
      <c r="A487" s="135"/>
      <c r="B487" s="135"/>
      <c r="C487" s="135"/>
      <c r="D487" s="135"/>
      <c r="E487" s="135"/>
      <c r="F487" s="189"/>
      <c r="G487" s="135"/>
      <c r="H487" s="135"/>
      <c r="I487" s="135"/>
      <c r="J487" s="135"/>
      <c r="K487" s="135"/>
      <c r="L487" s="189"/>
      <c r="M487" s="135"/>
      <c r="N487" s="135"/>
      <c r="O487" s="135"/>
    </row>
    <row r="488" customFormat="false" ht="15.75" hidden="false" customHeight="true" outlineLevel="0" collapsed="false">
      <c r="A488" s="135"/>
      <c r="B488" s="135"/>
      <c r="C488" s="135"/>
      <c r="D488" s="135"/>
      <c r="E488" s="135"/>
      <c r="F488" s="189"/>
      <c r="G488" s="135"/>
      <c r="H488" s="135"/>
      <c r="I488" s="135"/>
      <c r="J488" s="135"/>
      <c r="K488" s="135"/>
      <c r="L488" s="189"/>
      <c r="M488" s="135"/>
      <c r="N488" s="135"/>
      <c r="O488" s="135"/>
    </row>
    <row r="489" customFormat="false" ht="15.75" hidden="false" customHeight="true" outlineLevel="0" collapsed="false">
      <c r="A489" s="135"/>
      <c r="B489" s="135"/>
      <c r="C489" s="135"/>
      <c r="D489" s="135"/>
      <c r="E489" s="135"/>
      <c r="F489" s="189"/>
      <c r="G489" s="135"/>
      <c r="H489" s="135"/>
      <c r="I489" s="135"/>
      <c r="J489" s="135"/>
      <c r="K489" s="135"/>
      <c r="L489" s="189"/>
      <c r="M489" s="135"/>
      <c r="N489" s="135"/>
      <c r="O489" s="135"/>
    </row>
    <row r="490" customFormat="false" ht="15.75" hidden="false" customHeight="true" outlineLevel="0" collapsed="false">
      <c r="A490" s="135"/>
      <c r="B490" s="135"/>
      <c r="C490" s="135"/>
      <c r="D490" s="135"/>
      <c r="E490" s="135"/>
      <c r="F490" s="189"/>
      <c r="G490" s="135"/>
      <c r="H490" s="135"/>
      <c r="I490" s="135"/>
      <c r="J490" s="135"/>
      <c r="K490" s="135"/>
      <c r="L490" s="189"/>
      <c r="M490" s="135"/>
      <c r="N490" s="135"/>
      <c r="O490" s="135"/>
    </row>
    <row r="491" customFormat="false" ht="15.75" hidden="false" customHeight="true" outlineLevel="0" collapsed="false">
      <c r="A491" s="135"/>
      <c r="B491" s="135"/>
      <c r="C491" s="135"/>
      <c r="D491" s="135"/>
      <c r="E491" s="135"/>
      <c r="F491" s="189"/>
      <c r="G491" s="135"/>
      <c r="H491" s="135"/>
      <c r="I491" s="135"/>
      <c r="J491" s="135"/>
      <c r="K491" s="135"/>
      <c r="L491" s="189"/>
      <c r="M491" s="135"/>
      <c r="N491" s="135"/>
      <c r="O491" s="135"/>
    </row>
    <row r="492" customFormat="false" ht="15.75" hidden="false" customHeight="true" outlineLevel="0" collapsed="false">
      <c r="A492" s="135"/>
      <c r="B492" s="135"/>
      <c r="C492" s="135"/>
      <c r="D492" s="135"/>
      <c r="E492" s="135"/>
      <c r="F492" s="189"/>
      <c r="G492" s="135"/>
      <c r="H492" s="135"/>
      <c r="I492" s="135"/>
      <c r="J492" s="135"/>
      <c r="K492" s="135"/>
      <c r="L492" s="189"/>
      <c r="M492" s="135"/>
      <c r="N492" s="135"/>
      <c r="O492" s="135"/>
    </row>
    <row r="493" customFormat="false" ht="15.75" hidden="false" customHeight="true" outlineLevel="0" collapsed="false">
      <c r="A493" s="135"/>
      <c r="B493" s="135"/>
      <c r="C493" s="135"/>
      <c r="D493" s="135"/>
      <c r="E493" s="135"/>
      <c r="F493" s="189"/>
      <c r="G493" s="135"/>
      <c r="H493" s="135"/>
      <c r="I493" s="135"/>
      <c r="J493" s="135"/>
      <c r="K493" s="135"/>
      <c r="L493" s="189"/>
      <c r="M493" s="135"/>
      <c r="N493" s="135"/>
      <c r="O493" s="135"/>
    </row>
    <row r="494" customFormat="false" ht="15.75" hidden="false" customHeight="true" outlineLevel="0" collapsed="false">
      <c r="A494" s="135"/>
      <c r="B494" s="135"/>
      <c r="C494" s="135"/>
      <c r="D494" s="135"/>
      <c r="E494" s="135"/>
      <c r="F494" s="189"/>
      <c r="G494" s="135"/>
      <c r="H494" s="135"/>
      <c r="I494" s="135"/>
      <c r="J494" s="135"/>
      <c r="K494" s="135"/>
      <c r="L494" s="189"/>
      <c r="M494" s="135"/>
      <c r="N494" s="135"/>
      <c r="O494" s="135"/>
    </row>
    <row r="495" customFormat="false" ht="15.75" hidden="false" customHeight="true" outlineLevel="0" collapsed="false">
      <c r="A495" s="135"/>
      <c r="B495" s="135"/>
      <c r="C495" s="135"/>
      <c r="D495" s="135"/>
      <c r="E495" s="135"/>
      <c r="F495" s="189"/>
      <c r="G495" s="135"/>
      <c r="H495" s="135"/>
      <c r="I495" s="135"/>
      <c r="J495" s="135"/>
      <c r="K495" s="135"/>
      <c r="L495" s="189"/>
      <c r="M495" s="135"/>
      <c r="N495" s="135"/>
      <c r="O495" s="135"/>
    </row>
    <row r="496" customFormat="false" ht="15.75" hidden="false" customHeight="true" outlineLevel="0" collapsed="false">
      <c r="A496" s="135"/>
      <c r="B496" s="135"/>
      <c r="C496" s="135"/>
      <c r="D496" s="135"/>
      <c r="E496" s="135"/>
      <c r="F496" s="189"/>
      <c r="G496" s="135"/>
      <c r="H496" s="135"/>
      <c r="I496" s="135"/>
      <c r="J496" s="135"/>
      <c r="K496" s="135"/>
      <c r="L496" s="189"/>
      <c r="M496" s="135"/>
      <c r="N496" s="135"/>
      <c r="O496" s="135"/>
    </row>
    <row r="497" customFormat="false" ht="15.75" hidden="false" customHeight="true" outlineLevel="0" collapsed="false">
      <c r="A497" s="135"/>
      <c r="B497" s="135"/>
      <c r="C497" s="135"/>
      <c r="D497" s="135"/>
      <c r="E497" s="135"/>
      <c r="F497" s="189"/>
      <c r="G497" s="135"/>
      <c r="H497" s="135"/>
      <c r="I497" s="135"/>
      <c r="J497" s="135"/>
      <c r="K497" s="135"/>
      <c r="L497" s="189"/>
      <c r="M497" s="135"/>
      <c r="N497" s="135"/>
      <c r="O497" s="135"/>
    </row>
    <row r="498" customFormat="false" ht="15.75" hidden="false" customHeight="true" outlineLevel="0" collapsed="false">
      <c r="A498" s="135"/>
      <c r="B498" s="135"/>
      <c r="C498" s="135"/>
      <c r="D498" s="135"/>
      <c r="E498" s="135"/>
      <c r="F498" s="189"/>
      <c r="G498" s="135"/>
      <c r="H498" s="135"/>
      <c r="I498" s="135"/>
      <c r="J498" s="135"/>
      <c r="K498" s="135"/>
      <c r="L498" s="189"/>
      <c r="M498" s="135"/>
      <c r="N498" s="135"/>
      <c r="O498" s="135"/>
    </row>
    <row r="499" customFormat="false" ht="15.75" hidden="false" customHeight="true" outlineLevel="0" collapsed="false">
      <c r="A499" s="135"/>
      <c r="B499" s="135"/>
      <c r="C499" s="135"/>
      <c r="D499" s="135"/>
      <c r="E499" s="135"/>
      <c r="F499" s="189"/>
      <c r="G499" s="135"/>
      <c r="H499" s="135"/>
      <c r="I499" s="135"/>
      <c r="J499" s="135"/>
      <c r="K499" s="135"/>
      <c r="L499" s="189"/>
      <c r="M499" s="135"/>
      <c r="N499" s="135"/>
      <c r="O499" s="135"/>
    </row>
    <row r="500" customFormat="false" ht="15.75" hidden="false" customHeight="true" outlineLevel="0" collapsed="false">
      <c r="A500" s="135"/>
      <c r="B500" s="135"/>
      <c r="C500" s="135"/>
      <c r="D500" s="135"/>
      <c r="E500" s="135"/>
      <c r="F500" s="189"/>
      <c r="G500" s="135"/>
      <c r="H500" s="135"/>
      <c r="I500" s="135"/>
      <c r="J500" s="135"/>
      <c r="K500" s="135"/>
      <c r="L500" s="189"/>
      <c r="M500" s="135"/>
      <c r="N500" s="135"/>
      <c r="O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M5"/>
  <conditionalFormatting sqref="K4:K1000">
    <cfRule type="expression" priority="2" aboveAverage="0" equalAverage="0" bottom="0" percent="0" rank="0" text="" dxfId="18">
      <formula>ISNUMBER(SEARCH("confirmed_with_deposit",K4))</formula>
    </cfRule>
    <cfRule type="expression" priority="3" aboveAverage="0" equalAverage="0" bottom="0" percent="0" rank="0" text="" dxfId="14">
      <formula>ISNUMBER(SEARCH("dropped",K4))</formula>
    </cfRule>
    <cfRule type="expression" priority="4" aboveAverage="0" equalAverage="0" bottom="0" percent="0" rank="0" text="" dxfId="15">
      <formula>ISNUMBER(SEARCH("interested",K4))</formula>
    </cfRule>
  </conditionalFormatting>
  <conditionalFormatting sqref="N4:N1000">
    <cfRule type="expression" priority="5" aboveAverage="0" equalAverage="0" bottom="0" percent="0" rank="0" text="" dxfId="14">
      <formula>ISNUMBER(SEARCH("⚠",N4))</formula>
    </cfRule>
    <cfRule type="expression" priority="6" aboveAverage="0" equalAverage="0" bottom="0" percent="0" rank="0" text="" dxfId="18">
      <formula>ISNUMBER(SEARCH("✓",N4))</formula>
    </cfRule>
    <cfRule type="expression" priority="7" aboveAverage="0" equalAverage="0" bottom="0" percent="0" rank="0" text="" dxfId="14">
      <formula>OR(ISNUMBER(SEARCH("Quá SLA",N4)),ISNUMBER(SEARCH("NGAY",N4)),ISNUMBER(SEARCH("GẤP",N4)),ISNUMBER(SEARCH("NGUY HIỂM",N4)),ISNUMBER(SEARCH("XỬ LÝ",N4)),ISNUMBER(SEARCH("THAM GIA",N4)),ISNUMBER(SEARCH("LH GẤP",N4)))</formula>
    </cfRule>
    <cfRule type="expression" priority="8" aboveAverage="0" equalAverage="0" bottom="0" percent="0" rank="0" text="" dxfId="15">
      <formula>OR(ISNUMBER(SEARCH("đến hạn",N4)),ISNUMBER(SEARCH("còn ",N4)),ISNUMBER(SEARCH("trong SLA",N4)),ISNUMBER(SEARCH("chốt",N4)),ISNUMBER(SEARCH("LH chốt",N4)),ISNUMBER(SEARCH("Follow-up",N4)),ISNUMBER(SEARCH("Phân tích",N4)),ISNUMBER(SEARCH("đến hạn",N4)),ISNUMBER(SEARCH("Set ",N4)))</formula>
    </cfRule>
    <cfRule type="expression" priority="9" aboveAverage="0" equalAverage="0" bottom="0" percent="0" rank="0" text="" dxfId="19">
      <formula>OR(ISNUMBER(SEARCH(" ngay",N4)),ISNUMBER(SEARCH(" gấp",N4)),ISNUMBER(SEARCH("GỌI",N4)),ISNUMBER(SEARCH("NGUY",N4)))</formula>
    </cfRule>
    <cfRule type="expression" priority="10" aboveAverage="0" equalAverage="0" bottom="0" percent="0" rank="0" text="" dxfId="20">
      <formula>ISNUMBER(SEARCH("Không cần làm gì",N4))</formula>
    </cfRule>
    <cfRule type="expression" priority="11" aboveAverage="0" equalAverage="0" bottom="0" percent="0" rank="0" text="" dxfId="21">
      <formula>LEN(N4)&gt;0</formula>
    </cfRule>
  </conditionalFormatting>
  <dataValidations count="2">
    <dataValidation allowBlank="true" errorStyle="stop" operator="between" showDropDown="false" showErrorMessage="false" showInputMessage="false" sqref="K4:K1000" type="list">
      <formula1>'CH1. Danh mục lựa chọn'!$B$105:$B$108</formula1>
      <formula2>0</formula2>
    </dataValidation>
    <dataValidation allowBlank="true" errorStyle="stop" operator="between" showDropDown="false" showErrorMessage="false" showInputMessage="false" sqref="E4:E1000" type="list">
      <formula1>'CH1. Danh mục lựa chọn'!$B$99:$B$101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7.86"/>
    <col collapsed="false" customWidth="true" hidden="false" outlineLevel="0" max="2" min="2" style="1" width="31.71"/>
    <col collapsed="false" customWidth="true" hidden="false" outlineLevel="0" max="3" min="3" style="1" width="28.14"/>
    <col collapsed="false" customWidth="true" hidden="false" outlineLevel="0" max="4" min="4" style="1" width="23.71"/>
    <col collapsed="false" customWidth="true" hidden="false" outlineLevel="0" max="5" min="5" style="1" width="22.86"/>
    <col collapsed="false" customWidth="true" hidden="false" outlineLevel="0" max="6" min="6" style="1" width="13.86"/>
    <col collapsed="false" customWidth="true" hidden="false" outlineLevel="0" max="7" min="7" style="1" width="25.43"/>
    <col collapsed="false" customWidth="true" hidden="false" outlineLevel="0" max="8" min="8" style="1" width="33"/>
    <col collapsed="false" customWidth="true" hidden="false" outlineLevel="0" max="9" min="9" style="1" width="61"/>
    <col collapsed="false" customWidth="true" hidden="false" outlineLevel="0" max="10" min="10" style="1" width="15"/>
    <col collapsed="false" customWidth="true" hidden="false" outlineLevel="0" max="26" min="11" style="1" width="8.71"/>
  </cols>
  <sheetData>
    <row r="1" customFormat="false" ht="21.75" hidden="false" customHeight="true" outlineLevel="0" collapsed="false">
      <c r="A1" s="214" t="s">
        <v>854</v>
      </c>
      <c r="B1" s="214" t="s">
        <v>2773</v>
      </c>
      <c r="C1" s="214" t="s">
        <v>2774</v>
      </c>
      <c r="D1" s="214" t="s">
        <v>2775</v>
      </c>
      <c r="E1" s="214" t="s">
        <v>2776</v>
      </c>
      <c r="F1" s="214" t="s">
        <v>2777</v>
      </c>
      <c r="G1" s="214" t="s">
        <v>884</v>
      </c>
      <c r="H1" s="214" t="s">
        <v>2778</v>
      </c>
      <c r="I1" s="214" t="s">
        <v>2779</v>
      </c>
      <c r="J1" s="214" t="s">
        <v>2269</v>
      </c>
      <c r="K1" s="4"/>
      <c r="L1" s="4"/>
      <c r="M1" s="4"/>
      <c r="N1" s="4"/>
      <c r="O1" s="4"/>
      <c r="P1" s="4"/>
      <c r="Q1" s="4"/>
      <c r="R1" s="4"/>
      <c r="S1" s="4"/>
      <c r="T1" s="4"/>
      <c r="U1" s="4"/>
      <c r="V1" s="4"/>
      <c r="W1" s="4"/>
      <c r="X1" s="4"/>
      <c r="Y1" s="4"/>
      <c r="Z1" s="4"/>
    </row>
    <row r="2" customFormat="false" ht="18" hidden="false" customHeight="true" outlineLevel="0" collapsed="false">
      <c r="A2" s="176" t="s">
        <v>2780</v>
      </c>
      <c r="B2" s="176" t="s">
        <v>2781</v>
      </c>
      <c r="C2" s="176" t="s">
        <v>2782</v>
      </c>
      <c r="D2" s="176" t="s">
        <v>2783</v>
      </c>
      <c r="E2" s="176" t="s">
        <v>2784</v>
      </c>
      <c r="F2" s="176" t="s">
        <v>2785</v>
      </c>
      <c r="G2" s="176" t="s">
        <v>2786</v>
      </c>
      <c r="H2" s="176" t="s">
        <v>2787</v>
      </c>
      <c r="I2" s="176" t="s">
        <v>2788</v>
      </c>
      <c r="J2" s="176" t="s">
        <v>2789</v>
      </c>
      <c r="K2" s="4"/>
      <c r="L2" s="4"/>
      <c r="M2" s="4"/>
      <c r="N2" s="4"/>
      <c r="O2" s="4"/>
      <c r="P2" s="4"/>
      <c r="Q2" s="4"/>
      <c r="R2" s="4"/>
      <c r="S2" s="4"/>
      <c r="T2" s="4"/>
      <c r="U2" s="4"/>
      <c r="V2" s="4"/>
      <c r="W2" s="4"/>
      <c r="X2" s="4"/>
      <c r="Y2" s="4"/>
      <c r="Z2" s="4"/>
    </row>
    <row r="3" customFormat="false" ht="27.75" hidden="false" customHeight="true" outlineLevel="0" collapsed="false">
      <c r="A3" s="195" t="s">
        <v>2790</v>
      </c>
      <c r="B3" s="195" t="s">
        <v>2791</v>
      </c>
      <c r="C3" s="195" t="s">
        <v>2519</v>
      </c>
      <c r="D3" s="195" t="s">
        <v>2792</v>
      </c>
      <c r="E3" s="195" t="s">
        <v>2793</v>
      </c>
      <c r="F3" s="195" t="s">
        <v>1642</v>
      </c>
      <c r="G3" s="195" t="s">
        <v>2794</v>
      </c>
      <c r="H3" s="195" t="s">
        <v>2795</v>
      </c>
      <c r="I3" s="195" t="s">
        <v>2796</v>
      </c>
      <c r="J3" s="195" t="s">
        <v>2797</v>
      </c>
      <c r="K3" s="4"/>
      <c r="L3" s="4"/>
      <c r="M3" s="4"/>
      <c r="N3" s="4"/>
      <c r="O3" s="4"/>
      <c r="P3" s="4"/>
      <c r="Q3" s="4"/>
      <c r="R3" s="4"/>
      <c r="S3" s="4"/>
      <c r="T3" s="4"/>
      <c r="U3" s="4"/>
      <c r="V3" s="4"/>
      <c r="W3" s="4"/>
      <c r="X3" s="4"/>
      <c r="Y3" s="4"/>
      <c r="Z3" s="4"/>
    </row>
    <row r="4" customFormat="false" ht="42.75" hidden="false" customHeight="true" outlineLevel="0" collapsed="false">
      <c r="A4" s="209" t="s">
        <v>2798</v>
      </c>
      <c r="B4" s="209" t="s">
        <v>2799</v>
      </c>
      <c r="C4" s="209" t="s">
        <v>1384</v>
      </c>
      <c r="D4" s="215" t="n">
        <v>96</v>
      </c>
      <c r="E4" s="215" t="n">
        <v>6</v>
      </c>
      <c r="F4" s="216" t="n">
        <v>12000000</v>
      </c>
      <c r="G4" s="215" t="n">
        <v>5</v>
      </c>
      <c r="H4" s="209" t="s">
        <v>2795</v>
      </c>
      <c r="I4" s="209" t="s">
        <v>2800</v>
      </c>
      <c r="J4" s="209" t="s">
        <v>2801</v>
      </c>
      <c r="K4" s="4"/>
      <c r="L4" s="4"/>
      <c r="M4" s="4"/>
      <c r="N4" s="4"/>
      <c r="O4" s="4"/>
      <c r="P4" s="4"/>
      <c r="Q4" s="4"/>
      <c r="R4" s="4"/>
      <c r="S4" s="4"/>
      <c r="T4" s="4"/>
      <c r="U4" s="4"/>
      <c r="V4" s="4"/>
      <c r="W4" s="4"/>
      <c r="X4" s="4"/>
      <c r="Y4" s="4"/>
      <c r="Z4" s="4"/>
    </row>
    <row r="5" customFormat="false" ht="42.75" hidden="false" customHeight="true" outlineLevel="0" collapsed="false">
      <c r="A5" s="209" t="s">
        <v>2802</v>
      </c>
      <c r="B5" s="209" t="s">
        <v>2803</v>
      </c>
      <c r="C5" s="209" t="s">
        <v>1386</v>
      </c>
      <c r="D5" s="215" t="n">
        <v>64</v>
      </c>
      <c r="E5" s="215" t="n">
        <v>4</v>
      </c>
      <c r="F5" s="216" t="n">
        <v>14000000</v>
      </c>
      <c r="G5" s="215" t="n">
        <v>5</v>
      </c>
      <c r="H5" s="209" t="s">
        <v>2795</v>
      </c>
      <c r="I5" s="209" t="s">
        <v>2804</v>
      </c>
      <c r="J5" s="209" t="s">
        <v>2801</v>
      </c>
      <c r="K5" s="4"/>
      <c r="L5" s="4"/>
      <c r="M5" s="4"/>
      <c r="N5" s="4"/>
      <c r="O5" s="4"/>
      <c r="P5" s="4"/>
      <c r="Q5" s="4"/>
      <c r="R5" s="4"/>
      <c r="S5" s="4"/>
      <c r="T5" s="4"/>
      <c r="U5" s="4"/>
      <c r="V5" s="4"/>
      <c r="W5" s="4"/>
      <c r="X5" s="4"/>
      <c r="Y5" s="4"/>
      <c r="Z5" s="4"/>
    </row>
    <row r="6" customFormat="false" ht="42.75" hidden="false" customHeight="true" outlineLevel="0" collapsed="false">
      <c r="A6" s="209" t="s">
        <v>2805</v>
      </c>
      <c r="B6" s="209" t="s">
        <v>2806</v>
      </c>
      <c r="C6" s="209" t="s">
        <v>1388</v>
      </c>
      <c r="D6" s="215" t="n">
        <v>64</v>
      </c>
      <c r="E6" s="215" t="n">
        <v>4</v>
      </c>
      <c r="F6" s="216" t="n">
        <v>16000000</v>
      </c>
      <c r="G6" s="215" t="n">
        <v>10</v>
      </c>
      <c r="H6" s="209" t="s">
        <v>2795</v>
      </c>
      <c r="I6" s="209" t="s">
        <v>2807</v>
      </c>
      <c r="J6" s="209" t="s">
        <v>2801</v>
      </c>
      <c r="K6" s="4"/>
      <c r="L6" s="4"/>
      <c r="M6" s="4"/>
      <c r="N6" s="4"/>
      <c r="O6" s="4"/>
      <c r="P6" s="4"/>
      <c r="Q6" s="4"/>
      <c r="R6" s="4"/>
      <c r="S6" s="4"/>
      <c r="T6" s="4"/>
      <c r="U6" s="4"/>
      <c r="V6" s="4"/>
      <c r="W6" s="4"/>
      <c r="X6" s="4"/>
      <c r="Y6" s="4"/>
      <c r="Z6" s="4"/>
    </row>
    <row r="7" customFormat="false" ht="42.75" hidden="false" customHeight="true" outlineLevel="0" collapsed="false">
      <c r="A7" s="209" t="s">
        <v>2808</v>
      </c>
      <c r="B7" s="209" t="s">
        <v>2809</v>
      </c>
      <c r="C7" s="209" t="s">
        <v>1390</v>
      </c>
      <c r="D7" s="215" t="n">
        <v>64</v>
      </c>
      <c r="E7" s="215" t="n">
        <v>4</v>
      </c>
      <c r="F7" s="216" t="n">
        <v>18000000</v>
      </c>
      <c r="G7" s="215" t="n">
        <v>10</v>
      </c>
      <c r="H7" s="209" t="s">
        <v>2795</v>
      </c>
      <c r="I7" s="209" t="s">
        <v>2810</v>
      </c>
      <c r="J7" s="209" t="s">
        <v>2801</v>
      </c>
      <c r="K7" s="4"/>
      <c r="L7" s="4"/>
      <c r="M7" s="4"/>
      <c r="N7" s="4"/>
      <c r="O7" s="4"/>
      <c r="P7" s="4"/>
      <c r="Q7" s="4"/>
      <c r="R7" s="4"/>
      <c r="S7" s="4"/>
      <c r="T7" s="4"/>
      <c r="U7" s="4"/>
      <c r="V7" s="4"/>
      <c r="W7" s="4"/>
      <c r="X7" s="4"/>
      <c r="Y7" s="4"/>
      <c r="Z7" s="4"/>
    </row>
    <row r="8" customFormat="false" ht="42.75" hidden="false" customHeight="true" outlineLevel="0" collapsed="false">
      <c r="A8" s="209" t="s">
        <v>2811</v>
      </c>
      <c r="B8" s="209" t="s">
        <v>2812</v>
      </c>
      <c r="C8" s="209" t="s">
        <v>1392</v>
      </c>
      <c r="D8" s="215" t="n">
        <v>64</v>
      </c>
      <c r="E8" s="215" t="n">
        <v>4</v>
      </c>
      <c r="F8" s="216" t="n">
        <v>20000000</v>
      </c>
      <c r="G8" s="215" t="n">
        <v>10</v>
      </c>
      <c r="H8" s="209" t="s">
        <v>2795</v>
      </c>
      <c r="I8" s="209" t="s">
        <v>2813</v>
      </c>
      <c r="J8" s="209" t="s">
        <v>2801</v>
      </c>
      <c r="K8" s="4"/>
      <c r="L8" s="4"/>
      <c r="M8" s="4"/>
      <c r="N8" s="4"/>
      <c r="O8" s="4"/>
      <c r="P8" s="4"/>
      <c r="Q8" s="4"/>
      <c r="R8" s="4"/>
      <c r="S8" s="4"/>
      <c r="T8" s="4"/>
      <c r="U8" s="4"/>
      <c r="V8" s="4"/>
      <c r="W8" s="4"/>
      <c r="X8" s="4"/>
      <c r="Y8" s="4"/>
      <c r="Z8" s="4"/>
    </row>
    <row r="9" customFormat="false" ht="42.75" hidden="false" customHeight="true" outlineLevel="0" collapsed="false">
      <c r="A9" s="209" t="s">
        <v>2814</v>
      </c>
      <c r="B9" s="209" t="s">
        <v>2815</v>
      </c>
      <c r="C9" s="209" t="s">
        <v>1394</v>
      </c>
      <c r="D9" s="215" t="n">
        <v>64</v>
      </c>
      <c r="E9" s="215" t="n">
        <v>4</v>
      </c>
      <c r="F9" s="216" t="n">
        <v>24000000</v>
      </c>
      <c r="G9" s="215" t="n">
        <v>12</v>
      </c>
      <c r="H9" s="209" t="s">
        <v>2795</v>
      </c>
      <c r="I9" s="209" t="s">
        <v>2816</v>
      </c>
      <c r="J9" s="209" t="s">
        <v>2801</v>
      </c>
      <c r="K9" s="4"/>
      <c r="L9" s="4"/>
      <c r="M9" s="4"/>
      <c r="N9" s="4"/>
      <c r="O9" s="4"/>
      <c r="P9" s="4"/>
      <c r="Q9" s="4"/>
      <c r="R9" s="4"/>
      <c r="S9" s="4"/>
      <c r="T9" s="4"/>
      <c r="U9" s="4"/>
      <c r="V9" s="4"/>
      <c r="W9" s="4"/>
      <c r="X9" s="4"/>
      <c r="Y9" s="4"/>
      <c r="Z9" s="4"/>
    </row>
    <row r="10" customFormat="false" ht="42.75" hidden="false" customHeight="true" outlineLevel="0" collapsed="false">
      <c r="A10" s="209" t="s">
        <v>2817</v>
      </c>
      <c r="B10" s="209" t="s">
        <v>2818</v>
      </c>
      <c r="C10" s="209" t="s">
        <v>1384</v>
      </c>
      <c r="D10" s="215" t="n">
        <v>96</v>
      </c>
      <c r="E10" s="215" t="n">
        <v>6</v>
      </c>
      <c r="F10" s="216" t="n">
        <v>13000000</v>
      </c>
      <c r="G10" s="215" t="n">
        <v>5</v>
      </c>
      <c r="H10" s="209" t="s">
        <v>1027</v>
      </c>
      <c r="I10" s="209" t="s">
        <v>2819</v>
      </c>
      <c r="J10" s="209" t="s">
        <v>2801</v>
      </c>
      <c r="K10" s="4"/>
      <c r="L10" s="4"/>
      <c r="M10" s="4"/>
      <c r="N10" s="4"/>
      <c r="O10" s="4"/>
      <c r="P10" s="4"/>
      <c r="Q10" s="4"/>
      <c r="R10" s="4"/>
      <c r="S10" s="4"/>
      <c r="T10" s="4"/>
      <c r="U10" s="4"/>
      <c r="V10" s="4"/>
      <c r="W10" s="4"/>
      <c r="X10" s="4"/>
      <c r="Y10" s="4"/>
      <c r="Z10" s="4"/>
    </row>
    <row r="11" customFormat="false" ht="42.75" hidden="false" customHeight="true" outlineLevel="0" collapsed="false">
      <c r="A11" s="209" t="s">
        <v>2820</v>
      </c>
      <c r="B11" s="209" t="s">
        <v>2821</v>
      </c>
      <c r="C11" s="209" t="s">
        <v>1390</v>
      </c>
      <c r="D11" s="215" t="n">
        <v>128</v>
      </c>
      <c r="E11" s="215" t="n">
        <v>8</v>
      </c>
      <c r="F11" s="216" t="n">
        <v>30000000</v>
      </c>
      <c r="G11" s="215" t="n">
        <v>15</v>
      </c>
      <c r="H11" s="209" t="s">
        <v>2795</v>
      </c>
      <c r="I11" s="209" t="s">
        <v>2822</v>
      </c>
      <c r="J11" s="209" t="s">
        <v>2801</v>
      </c>
      <c r="K11" s="4"/>
      <c r="L11" s="4"/>
      <c r="M11" s="4"/>
      <c r="N11" s="4"/>
      <c r="O11" s="4"/>
      <c r="P11" s="4"/>
      <c r="Q11" s="4"/>
      <c r="R11" s="4"/>
      <c r="S11" s="4"/>
      <c r="T11" s="4"/>
      <c r="U11" s="4"/>
      <c r="V11" s="4"/>
      <c r="W11" s="4"/>
      <c r="X11" s="4"/>
      <c r="Y11" s="4"/>
      <c r="Z11" s="4"/>
    </row>
    <row r="12" customFormat="false" ht="42.75" hidden="false" customHeight="true" outlineLevel="0" collapsed="false">
      <c r="A12" s="217" t="s">
        <v>2823</v>
      </c>
      <c r="B12" s="217" t="s">
        <v>2824</v>
      </c>
      <c r="C12" s="217" t="s">
        <v>1396</v>
      </c>
      <c r="D12" s="218" t="n">
        <v>32</v>
      </c>
      <c r="E12" s="218" t="n">
        <v>2</v>
      </c>
      <c r="F12" s="217" t="n">
        <v>5720000</v>
      </c>
      <c r="G12" s="218" t="n">
        <v>3</v>
      </c>
      <c r="H12" s="217" t="s">
        <v>2795</v>
      </c>
      <c r="I12" s="217" t="s">
        <v>2825</v>
      </c>
      <c r="J12" s="217" t="s">
        <v>2801</v>
      </c>
      <c r="K12" s="4"/>
      <c r="L12" s="4"/>
      <c r="M12" s="4"/>
      <c r="N12" s="4"/>
      <c r="O12" s="4"/>
      <c r="P12" s="4"/>
      <c r="Q12" s="4"/>
      <c r="R12" s="4"/>
      <c r="S12" s="4"/>
      <c r="T12" s="4"/>
      <c r="U12" s="4"/>
      <c r="V12" s="4"/>
      <c r="W12" s="4"/>
      <c r="X12" s="4"/>
      <c r="Y12" s="4"/>
      <c r="Z12" s="4"/>
    </row>
    <row r="13" customFormat="false" ht="42.75" hidden="false" customHeight="true" outlineLevel="0" collapsed="false">
      <c r="A13" s="217" t="s">
        <v>2826</v>
      </c>
      <c r="B13" s="217" t="s">
        <v>2827</v>
      </c>
      <c r="C13" s="217" t="s">
        <v>1398</v>
      </c>
      <c r="D13" s="218" t="n">
        <v>32</v>
      </c>
      <c r="E13" s="218" t="n">
        <v>2</v>
      </c>
      <c r="F13" s="217" t="n">
        <v>5720000</v>
      </c>
      <c r="G13" s="218" t="n">
        <v>3</v>
      </c>
      <c r="H13" s="217" t="s">
        <v>2795</v>
      </c>
      <c r="I13" s="217" t="s">
        <v>2828</v>
      </c>
      <c r="J13" s="217" t="s">
        <v>2801</v>
      </c>
      <c r="K13" s="4"/>
      <c r="L13" s="4"/>
      <c r="M13" s="4"/>
      <c r="N13" s="4"/>
      <c r="O13" s="4"/>
      <c r="P13" s="4"/>
      <c r="Q13" s="4"/>
      <c r="R13" s="4"/>
      <c r="S13" s="4"/>
      <c r="T13" s="4"/>
      <c r="U13" s="4"/>
      <c r="V13" s="4"/>
      <c r="W13" s="4"/>
      <c r="X13" s="4"/>
      <c r="Y13" s="4"/>
      <c r="Z13" s="4"/>
    </row>
    <row r="14" customFormat="false" ht="42.75" hidden="false" customHeight="true" outlineLevel="0" collapsed="false">
      <c r="A14" s="217" t="s">
        <v>2829</v>
      </c>
      <c r="B14" s="217" t="s">
        <v>2830</v>
      </c>
      <c r="C14" s="217" t="s">
        <v>1400</v>
      </c>
      <c r="D14" s="218" t="n">
        <v>32</v>
      </c>
      <c r="E14" s="218" t="n">
        <v>2</v>
      </c>
      <c r="F14" s="217" t="n">
        <v>5720000</v>
      </c>
      <c r="G14" s="218" t="n">
        <v>3</v>
      </c>
      <c r="H14" s="217" t="s">
        <v>2795</v>
      </c>
      <c r="I14" s="217" t="s">
        <v>2831</v>
      </c>
      <c r="J14" s="217" t="s">
        <v>2801</v>
      </c>
      <c r="K14" s="4"/>
      <c r="L14" s="4"/>
      <c r="M14" s="4"/>
      <c r="N14" s="4"/>
      <c r="O14" s="4"/>
      <c r="P14" s="4"/>
      <c r="Q14" s="4"/>
      <c r="R14" s="4"/>
      <c r="S14" s="4"/>
      <c r="T14" s="4"/>
      <c r="U14" s="4"/>
      <c r="V14" s="4"/>
      <c r="W14" s="4"/>
      <c r="X14" s="4"/>
      <c r="Y14" s="4"/>
      <c r="Z14" s="4"/>
    </row>
    <row r="15" customFormat="false" ht="42.75" hidden="false" customHeight="true" outlineLevel="0" collapsed="false">
      <c r="A15" s="217" t="s">
        <v>2832</v>
      </c>
      <c r="B15" s="217" t="s">
        <v>2833</v>
      </c>
      <c r="C15" s="217" t="s">
        <v>1402</v>
      </c>
      <c r="D15" s="218" t="n">
        <v>32</v>
      </c>
      <c r="E15" s="218" t="n">
        <v>2</v>
      </c>
      <c r="F15" s="217" t="n">
        <v>5720000</v>
      </c>
      <c r="G15" s="218" t="n">
        <v>3</v>
      </c>
      <c r="H15" s="217" t="s">
        <v>2795</v>
      </c>
      <c r="I15" s="217" t="s">
        <v>2834</v>
      </c>
      <c r="J15" s="217" t="s">
        <v>2801</v>
      </c>
      <c r="K15" s="4"/>
      <c r="L15" s="4"/>
      <c r="M15" s="4"/>
      <c r="N15" s="4"/>
      <c r="O15" s="4"/>
      <c r="P15" s="4"/>
      <c r="Q15" s="4"/>
      <c r="R15" s="4"/>
      <c r="S15" s="4"/>
      <c r="T15" s="4"/>
      <c r="U15" s="4"/>
      <c r="V15" s="4"/>
      <c r="W15" s="4"/>
      <c r="X15" s="4"/>
      <c r="Y15" s="4"/>
      <c r="Z15" s="4"/>
    </row>
    <row r="16" customFormat="false" ht="42.75" hidden="false" customHeight="true" outlineLevel="0" collapsed="false">
      <c r="A16" s="217" t="s">
        <v>2835</v>
      </c>
      <c r="B16" s="217" t="s">
        <v>2836</v>
      </c>
      <c r="C16" s="217" t="s">
        <v>1404</v>
      </c>
      <c r="D16" s="218" t="n">
        <v>32</v>
      </c>
      <c r="E16" s="218" t="n">
        <v>2</v>
      </c>
      <c r="F16" s="217" t="n">
        <v>5720000</v>
      </c>
      <c r="G16" s="218" t="n">
        <v>3</v>
      </c>
      <c r="H16" s="217" t="s">
        <v>2795</v>
      </c>
      <c r="I16" s="217" t="s">
        <v>2837</v>
      </c>
      <c r="J16" s="217" t="s">
        <v>2801</v>
      </c>
      <c r="K16" s="4"/>
      <c r="L16" s="4"/>
      <c r="M16" s="4"/>
      <c r="N16" s="4"/>
      <c r="O16" s="4"/>
      <c r="P16" s="4"/>
      <c r="Q16" s="4"/>
      <c r="R16" s="4"/>
      <c r="S16" s="4"/>
      <c r="T16" s="4"/>
      <c r="U16" s="4"/>
      <c r="V16" s="4"/>
      <c r="W16" s="4"/>
      <c r="X16" s="4"/>
      <c r="Y16" s="4"/>
      <c r="Z16" s="4"/>
    </row>
    <row r="17" customFormat="false" ht="42.75" hidden="false" customHeight="true" outlineLevel="0" collapsed="false">
      <c r="A17" s="217" t="s">
        <v>2838</v>
      </c>
      <c r="B17" s="217" t="s">
        <v>2839</v>
      </c>
      <c r="C17" s="217" t="s">
        <v>1406</v>
      </c>
      <c r="D17" s="218" t="n">
        <v>32</v>
      </c>
      <c r="E17" s="218" t="n">
        <v>2</v>
      </c>
      <c r="F17" s="217" t="n">
        <v>5720000</v>
      </c>
      <c r="G17" s="218" t="n">
        <v>3</v>
      </c>
      <c r="H17" s="217" t="s">
        <v>2795</v>
      </c>
      <c r="I17" s="217" t="s">
        <v>2840</v>
      </c>
      <c r="J17" s="217" t="s">
        <v>2801</v>
      </c>
      <c r="K17" s="4"/>
      <c r="L17" s="4"/>
      <c r="M17" s="4"/>
      <c r="N17" s="4"/>
      <c r="O17" s="4"/>
      <c r="P17" s="4"/>
      <c r="Q17" s="4"/>
      <c r="R17" s="4"/>
      <c r="S17" s="4"/>
      <c r="T17" s="4"/>
      <c r="U17" s="4"/>
      <c r="V17" s="4"/>
      <c r="W17" s="4"/>
      <c r="X17" s="4"/>
      <c r="Y17" s="4"/>
      <c r="Z17" s="4"/>
    </row>
    <row r="18" customFormat="false" ht="42.75" hidden="false" customHeight="true" outlineLevel="0" collapsed="false">
      <c r="A18" s="217" t="s">
        <v>2841</v>
      </c>
      <c r="B18" s="217" t="s">
        <v>2842</v>
      </c>
      <c r="C18" s="217" t="s">
        <v>1408</v>
      </c>
      <c r="D18" s="218" t="n">
        <v>32</v>
      </c>
      <c r="E18" s="218" t="n">
        <v>2</v>
      </c>
      <c r="F18" s="217" t="n">
        <v>5720000</v>
      </c>
      <c r="G18" s="218" t="n">
        <v>3</v>
      </c>
      <c r="H18" s="217" t="s">
        <v>2795</v>
      </c>
      <c r="I18" s="217" t="s">
        <v>2843</v>
      </c>
      <c r="J18" s="217" t="s">
        <v>2801</v>
      </c>
      <c r="K18" s="4"/>
      <c r="L18" s="4"/>
      <c r="M18" s="4"/>
      <c r="N18" s="4"/>
      <c r="O18" s="4"/>
      <c r="P18" s="4"/>
      <c r="Q18" s="4"/>
      <c r="R18" s="4"/>
      <c r="S18" s="4"/>
      <c r="T18" s="4"/>
      <c r="U18" s="4"/>
      <c r="V18" s="4"/>
      <c r="W18" s="4"/>
      <c r="X18" s="4"/>
      <c r="Y18" s="4"/>
      <c r="Z18" s="4"/>
    </row>
    <row r="19" customFormat="false" ht="42.75" hidden="false" customHeight="true" outlineLevel="0" collapsed="false">
      <c r="A19" s="217" t="s">
        <v>2844</v>
      </c>
      <c r="B19" s="217" t="s">
        <v>2845</v>
      </c>
      <c r="C19" s="217" t="s">
        <v>1410</v>
      </c>
      <c r="D19" s="218" t="n">
        <v>32</v>
      </c>
      <c r="E19" s="218" t="n">
        <v>2</v>
      </c>
      <c r="F19" s="217" t="n">
        <v>5720000</v>
      </c>
      <c r="G19" s="218" t="n">
        <v>3</v>
      </c>
      <c r="H19" s="217" t="s">
        <v>2795</v>
      </c>
      <c r="I19" s="217" t="s">
        <v>2846</v>
      </c>
      <c r="J19" s="217" t="s">
        <v>2801</v>
      </c>
      <c r="K19" s="4"/>
      <c r="L19" s="4"/>
      <c r="M19" s="4"/>
      <c r="N19" s="4"/>
      <c r="O19" s="4"/>
      <c r="P19" s="4"/>
      <c r="Q19" s="4"/>
      <c r="R19" s="4"/>
      <c r="S19" s="4"/>
      <c r="T19" s="4"/>
      <c r="U19" s="4"/>
      <c r="V19" s="4"/>
      <c r="W19" s="4"/>
      <c r="X19" s="4"/>
      <c r="Y19" s="4"/>
      <c r="Z19" s="4"/>
    </row>
    <row r="20" customFormat="false" ht="1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5.7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5.7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5.7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5.7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5.7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J11"/>
  <dataValidations count="1">
    <dataValidation allowBlank="true" errorStyle="stop" operator="between" showDropDown="false" showErrorMessage="false" showInputMessage="false" sqref="C4:C100" type="list">
      <formula1>'CH1. Danh mục lựa chọn'!$B$406:$B$419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0.14"/>
    <col collapsed="false" customWidth="true" hidden="false" outlineLevel="0" max="2" min="2" style="1" width="21.14"/>
    <col collapsed="false" customWidth="true" hidden="false" outlineLevel="0" max="3" min="3" style="1" width="14.57"/>
    <col collapsed="false" customWidth="true" hidden="false" outlineLevel="0" max="4" min="4" style="1" width="20.85"/>
    <col collapsed="false" customWidth="true" hidden="false" outlineLevel="0" max="5" min="5" style="1" width="17.86"/>
    <col collapsed="false" customWidth="true" hidden="false" outlineLevel="0" max="6" min="6" style="1" width="27.57"/>
    <col collapsed="false" customWidth="true" hidden="false" outlineLevel="0" max="7" min="7" style="1" width="22.29"/>
    <col collapsed="false" customWidth="true" hidden="false" outlineLevel="0" max="8" min="8" style="1" width="17"/>
    <col collapsed="false" customWidth="true" hidden="false" outlineLevel="0" max="9" min="9" style="1" width="23.29"/>
    <col collapsed="false" customWidth="true" hidden="false" outlineLevel="0" max="10" min="10" style="1" width="20.71"/>
    <col collapsed="false" customWidth="true" hidden="false" outlineLevel="0" max="11" min="11" style="1" width="22.15"/>
    <col collapsed="false" customWidth="true" hidden="false" outlineLevel="0" max="12" min="12" style="1" width="28.71"/>
    <col collapsed="false" customWidth="true" hidden="false" outlineLevel="0" max="13" min="13" style="1" width="21.29"/>
    <col collapsed="false" customWidth="true" hidden="false" outlineLevel="0" max="14" min="14" style="1" width="20.43"/>
    <col collapsed="false" customWidth="true" hidden="false" outlineLevel="0" max="15" min="15" style="1" width="25"/>
    <col collapsed="false" customWidth="true" hidden="false" outlineLevel="0" max="16" min="16" style="1" width="30.71"/>
    <col collapsed="false" customWidth="true" hidden="false" outlineLevel="0" max="17" min="17" style="1" width="31.57"/>
    <col collapsed="false" customWidth="true" hidden="false" outlineLevel="0" max="18" min="18" style="1" width="26.16"/>
    <col collapsed="false" customWidth="true" hidden="false" outlineLevel="0" max="19" min="19" style="1" width="62.71"/>
    <col collapsed="false" customWidth="true" hidden="false" outlineLevel="0" max="20" min="20" style="1" width="83.71"/>
    <col collapsed="false" customWidth="true" hidden="false" outlineLevel="0" max="21" min="21" style="1" width="25.43"/>
    <col collapsed="false" customWidth="true" hidden="false" outlineLevel="0" max="22" min="22" style="1" width="20.29"/>
    <col collapsed="false" customWidth="true" hidden="false" outlineLevel="0" max="23" min="23" style="1" width="17.86"/>
    <col collapsed="false" customWidth="true" hidden="false" outlineLevel="0" max="24" min="24" style="1" width="20.71"/>
    <col collapsed="false" customWidth="true" hidden="false" outlineLevel="0" max="26" min="25" style="1" width="8.71"/>
  </cols>
  <sheetData>
    <row r="1" customFormat="false" ht="21.75" hidden="false" customHeight="true" outlineLevel="0" collapsed="false">
      <c r="A1" s="84" t="s">
        <v>867</v>
      </c>
      <c r="B1" s="84" t="s">
        <v>850</v>
      </c>
      <c r="C1" s="84" t="s">
        <v>837</v>
      </c>
      <c r="D1" s="84" t="s">
        <v>852</v>
      </c>
      <c r="E1" s="84" t="s">
        <v>854</v>
      </c>
      <c r="F1" s="84" t="s">
        <v>2847</v>
      </c>
      <c r="G1" s="84" t="s">
        <v>2848</v>
      </c>
      <c r="H1" s="84" t="s">
        <v>2849</v>
      </c>
      <c r="I1" s="84" t="s">
        <v>2850</v>
      </c>
      <c r="J1" s="84" t="s">
        <v>2851</v>
      </c>
      <c r="K1" s="84" t="s">
        <v>2852</v>
      </c>
      <c r="L1" s="84" t="s">
        <v>2853</v>
      </c>
      <c r="M1" s="84" t="s">
        <v>856</v>
      </c>
      <c r="N1" s="84" t="s">
        <v>858</v>
      </c>
      <c r="O1" s="84" t="s">
        <v>860</v>
      </c>
      <c r="P1" s="84" t="s">
        <v>861</v>
      </c>
      <c r="Q1" s="84" t="s">
        <v>2854</v>
      </c>
      <c r="R1" s="84" t="s">
        <v>2270</v>
      </c>
      <c r="S1" s="84" t="s">
        <v>521</v>
      </c>
      <c r="T1" s="183" t="s">
        <v>480</v>
      </c>
      <c r="U1" s="84" t="s">
        <v>2855</v>
      </c>
      <c r="V1" s="84" t="s">
        <v>862</v>
      </c>
      <c r="W1" s="84" t="s">
        <v>845</v>
      </c>
      <c r="X1" s="84" t="s">
        <v>864</v>
      </c>
      <c r="Y1" s="4"/>
      <c r="Z1" s="4"/>
    </row>
    <row r="2" customFormat="false" ht="18" hidden="false" customHeight="true" outlineLevel="0" collapsed="false">
      <c r="A2" s="176" t="s">
        <v>2856</v>
      </c>
      <c r="B2" s="176" t="s">
        <v>2857</v>
      </c>
      <c r="C2" s="176" t="s">
        <v>2608</v>
      </c>
      <c r="D2" s="176" t="s">
        <v>2858</v>
      </c>
      <c r="E2" s="176" t="s">
        <v>2859</v>
      </c>
      <c r="F2" s="176" t="s">
        <v>2860</v>
      </c>
      <c r="G2" s="176" t="s">
        <v>2861</v>
      </c>
      <c r="H2" s="176" t="s">
        <v>2862</v>
      </c>
      <c r="I2" s="176" t="s">
        <v>2863</v>
      </c>
      <c r="J2" s="176" t="s">
        <v>2864</v>
      </c>
      <c r="K2" s="176" t="s">
        <v>2865</v>
      </c>
      <c r="L2" s="176" t="s">
        <v>2866</v>
      </c>
      <c r="M2" s="176" t="s">
        <v>2867</v>
      </c>
      <c r="N2" s="176" t="s">
        <v>2868</v>
      </c>
      <c r="O2" s="176" t="s">
        <v>2869</v>
      </c>
      <c r="P2" s="176" t="s">
        <v>2870</v>
      </c>
      <c r="Q2" s="176" t="s">
        <v>2871</v>
      </c>
      <c r="R2" s="176" t="s">
        <v>2281</v>
      </c>
      <c r="S2" s="176" t="s">
        <v>2703</v>
      </c>
      <c r="T2" s="176" t="s">
        <v>2503</v>
      </c>
      <c r="U2" s="176" t="s">
        <v>2872</v>
      </c>
      <c r="V2" s="176" t="s">
        <v>2873</v>
      </c>
      <c r="W2" s="176" t="s">
        <v>2609</v>
      </c>
      <c r="X2" s="176" t="s">
        <v>2874</v>
      </c>
      <c r="Y2" s="4"/>
      <c r="Z2" s="4"/>
    </row>
    <row r="3" customFormat="false" ht="27.75" hidden="false" customHeight="true" outlineLevel="0" collapsed="false">
      <c r="A3" s="195" t="s">
        <v>2875</v>
      </c>
      <c r="B3" s="195" t="s">
        <v>2876</v>
      </c>
      <c r="C3" s="195" t="s">
        <v>2705</v>
      </c>
      <c r="D3" s="195" t="s">
        <v>2877</v>
      </c>
      <c r="E3" s="195" t="s">
        <v>2878</v>
      </c>
      <c r="F3" s="195" t="s">
        <v>2514</v>
      </c>
      <c r="G3" s="195" t="s">
        <v>2521</v>
      </c>
      <c r="H3" s="195" t="s">
        <v>2879</v>
      </c>
      <c r="I3" s="195" t="s">
        <v>1642</v>
      </c>
      <c r="J3" s="195" t="s">
        <v>2514</v>
      </c>
      <c r="K3" s="195" t="s">
        <v>2880</v>
      </c>
      <c r="L3" s="195" t="s">
        <v>2881</v>
      </c>
      <c r="M3" s="195" t="s">
        <v>2882</v>
      </c>
      <c r="N3" s="195" t="s">
        <v>2883</v>
      </c>
      <c r="O3" s="195" t="s">
        <v>2884</v>
      </c>
      <c r="P3" s="195" t="s">
        <v>2885</v>
      </c>
      <c r="Q3" s="195" t="s">
        <v>2886</v>
      </c>
      <c r="R3" s="195" t="s">
        <v>2281</v>
      </c>
      <c r="S3" s="195" t="s">
        <v>2887</v>
      </c>
      <c r="T3" s="195" t="s">
        <v>2523</v>
      </c>
      <c r="U3" s="195" t="s">
        <v>2521</v>
      </c>
      <c r="V3" s="195" t="s">
        <v>2888</v>
      </c>
      <c r="W3" s="195" t="s">
        <v>2619</v>
      </c>
      <c r="X3" s="195" t="s">
        <v>2889</v>
      </c>
      <c r="Y3" s="4"/>
      <c r="Z3" s="4"/>
    </row>
    <row r="4" customFormat="false" ht="50.25" hidden="false" customHeight="true" outlineLevel="0" collapsed="false">
      <c r="A4" s="209" t="s">
        <v>123</v>
      </c>
      <c r="B4" s="210" t="str">
        <f aca="false">IFERROR(HYPERLINK("#'DL09. Học viên'!A"&amp;MATCH("HV001",'DL09. Học viên'!A:A,0),"HV001"),"HV001")</f>
        <v>HV001</v>
      </c>
      <c r="C4" s="210" t="str">
        <f aca="false">IFERROR(HYPERLINK("#'DL09. Học viên'!A"&amp;MATCH("L-2026-00006",'DL02. Khách tiềm năng'!A:A,0),"L-2026-00006"),"L-2026-00006")</f>
        <v>L-2026-00006</v>
      </c>
      <c r="D4" s="210" t="str">
        <f aca="false">IFERROR(HYPERLINK("#'DL09. Học viên'!A"&amp;MATCH("CS-2026-002",'DL04. Tư vấn'!A:A,0),"CS-2026-002"),"CS-2026-002")</f>
        <v>CS-2026-002</v>
      </c>
      <c r="E4" s="210" t="str">
        <f aca="false">IFERROR(HYPERLINK("#'DL09. Học viên'!A"&amp;MATCH("CRS-FOUND-PLA",'DL05. Khóa học'!A:A,0),"CRS-FOUND-PLA"),"CRS-FOUND-PLA")</f>
        <v>CRS-FOUND-PLA</v>
      </c>
      <c r="F4" s="209" t="s">
        <v>364</v>
      </c>
      <c r="G4" s="211" t="n">
        <v>46153.375</v>
      </c>
      <c r="H4" s="219" t="n">
        <v>12000000</v>
      </c>
      <c r="I4" s="219" t="n">
        <v>0</v>
      </c>
      <c r="J4" s="209"/>
      <c r="K4" s="209"/>
      <c r="L4" s="209"/>
      <c r="M4" s="220" t="n">
        <f aca="false">H4-IFERROR(I4,0)</f>
        <v>12000000</v>
      </c>
      <c r="N4" s="220" t="n">
        <f aca="false">IFERROR(SUMIF('DL07. Thanh toán'!B:B,A4,'DL07. Thanh toán'!F:F),0)</f>
        <v>12000000</v>
      </c>
      <c r="O4" s="220" t="n">
        <f aca="false">M4-N4</f>
        <v>0</v>
      </c>
      <c r="P4" s="221" t="str">
        <f aca="false">IF(N4=0,"unpaid (Chưa thanh toán)",IF(N4&gt;=M4,"paid (Đã thanh toán đủ)","partial (Đã thanh toán 1 phần)"))</f>
        <v>paid (Đã thanh toán đủ)</v>
      </c>
      <c r="Q4" s="209"/>
      <c r="R4" s="209"/>
      <c r="S4" s="222" t="str">
        <f aca="false" t="array" ref="S4:S4">IF(AND(N4&gt;=thresholdDeposit_minimum,ISNUMBER(SEARCH("pending",F4))),INDEX('CH4. Thông điệp nhắc việc'!$G:$G,MATCH("NA087",'CH4. Thông điệp nhắc việc'!$A:$A,0)),IF(AND(ISNUMBER(SEARCH("paid",P4)),NOT(ISNUMBER(SEARCH("partial",P4))),NOT(ISNUMBER(SEARCH("unpaid",P4)))),INDEX('CH4. Thông điệp nhắc việc'!$G:$G,MATCH("NA088",'CH4. Thông điệp nhắc việc'!$A:$A,0)),""))</f>
        <v>Đã thanh toán đủ - chuyển sang Onboarding (DL08) nếu chưa</v>
      </c>
      <c r="T4" s="212" t="str">
        <f aca="true" t="array" ref="T4:T4">IF(ISNUMBER(SEARCH("cancelled",F4)),INDEX('CH4. Thông điệp nhắc việc'!$G:$G,MATCH("NA059",'CH4. Thông điệp nhắc việc'!$A:$A,0)),IF(AND(ISNUMBER(SEARCH("pending",F4)),(NOW()-N(G4))*24&gt;slaENR_cancel_hours),INDEX('CH4. Thông điệp nhắc việc'!$G:$G,MATCH("NA060",'CH4. Thông điệp nhắc việc'!$A:$A,0)),IF(AND(I4&gt;thresholdDiscount_approval,L4=""),INDEX('CH4. Thông điệp nhắc việc'!$G:$G,MATCH("NA061",'CH4. Thông điệp nhắc việc'!$A:$A,0)),IF(AND(ISNUMBER(SEARCH("pending",F4)),(NOW()-N(G4))*24&gt;slaENR_pending_hours),INDEX('CH4. Thông điệp nhắc việc'!$G:$G,MATCH("NA005",'CH4. Thông điệp nhắc việc'!$A:$A,0)),IF(AND(ISNUMBER(SEARCH("confirmed",F4)),ISNUMBER(SEARCH("unpaid",P4))),INDEX('CH4. Thông điệp nhắc việc'!$G:$G,MATCH("NA006",'CH4. Thông điệp nhắc việc'!$A:$A,0)),IF(AND(ISNUMBER(SEARCH("partial",P4)),O4&gt;0,(NOW()-N(G4))&gt;slaPayment_grace_days),INDEX('CH4. Thông điệp nhắc việc'!$G:$G,MATCH("NA007",'CH4. Thông điệp nhắc việc'!$A:$A,0)),IF(AND(ISNUMBER(SEARCH("confirmed",F4)),ISNUMBER(SEARCH("paid",P4))),INDEX('CH4. Thông điệp nhắc việc'!$G:$G,MATCH("NA009",'CH4. Thông điệp nhắc việc'!$A:$A,0)),"")))))))</f>
        <v>Đăng ký đã xác nhận và HV đã đóng đủ tiền. Không cần làm gì thêm.</v>
      </c>
      <c r="U4" s="223"/>
      <c r="V4" s="224" t="str">
        <f aca="false">IFERROR(VLOOKUP(B4,'DL09. Học viên'!$A:$B,2,FALSE()),"")</f>
        <v>Trần Minh Anh</v>
      </c>
      <c r="W4" s="224" t="str">
        <f aca="false">IFERROR(VLOOKUP(C4,'DL02. Khách tiềm năng'!$A:$E,5,FALSE()),"")</f>
        <v>Trần Minh Anh</v>
      </c>
      <c r="X4" s="224" t="str">
        <f aca="false">IFERROR(VLOOKUP(E4,'DL05. Khóa học'!$A:$B,2,FALSE()),"")</f>
        <v>Foundation PLA T7-CN</v>
      </c>
      <c r="Y4" s="4"/>
      <c r="Z4" s="4"/>
    </row>
    <row r="5" customFormat="false" ht="50.25" hidden="false" customHeight="true" outlineLevel="0" collapsed="false">
      <c r="A5" s="209" t="s">
        <v>2890</v>
      </c>
      <c r="B5" s="210" t="str">
        <f aca="false">IFERROR(HYPERLINK("#'DL09. Học viên'!A"&amp;MATCH("HV002",'DL09. Học viên'!A:A,0),"HV002"),"HV002")</f>
        <v>HV002</v>
      </c>
      <c r="C5" s="210" t="str">
        <f aca="false">IFERROR(HYPERLINK("#'DL09. Học viên'!A"&amp;MATCH("L-2026-00007",'DL02. Khách tiềm năng'!A:A,0),"L-2026-00007"),"L-2026-00007")</f>
        <v>L-2026-00007</v>
      </c>
      <c r="D5" s="210" t="str">
        <f aca="false">IFERROR(HYPERLINK("#'DL09. Học viên'!A"&amp;MATCH("CS-2026-003",'DL04. Tư vấn'!A:A,0),"CS-2026-003"),"CS-2026-003")</f>
        <v>CS-2026-003</v>
      </c>
      <c r="E5" s="210" t="str">
        <f aca="false">IFERROR(HYPERLINK("#'DL09. Học viên'!A"&amp;MATCH("CRS-IELTS-6.5",'DL05. Khóa học'!A:A,0),"CRS-IELTS-6.5"),"CRS-IELTS-6.5")</f>
        <v>CRS-IELTS-6.5</v>
      </c>
      <c r="F5" s="209" t="s">
        <v>364</v>
      </c>
      <c r="G5" s="211" t="n">
        <v>46138.375</v>
      </c>
      <c r="H5" s="219" t="n">
        <v>20000000</v>
      </c>
      <c r="I5" s="219" t="n">
        <v>0</v>
      </c>
      <c r="J5" s="209"/>
      <c r="K5" s="209"/>
      <c r="L5" s="209"/>
      <c r="M5" s="220" t="n">
        <f aca="false">H5-IFERROR(I5,0)</f>
        <v>20000000</v>
      </c>
      <c r="N5" s="220" t="n">
        <f aca="false">IFERROR(SUMIF('DL07. Thanh toán'!B:B,A5,'DL07. Thanh toán'!F:F),0)</f>
        <v>20000000</v>
      </c>
      <c r="O5" s="220" t="n">
        <f aca="false">M5-N5</f>
        <v>0</v>
      </c>
      <c r="P5" s="221" t="str">
        <f aca="false">IF(N5=0,"unpaid (Chưa thanh toán)",IF(N5&gt;=M5,"paid (Đã thanh toán đủ)","partial (Đã thanh toán 1 phần)"))</f>
        <v>paid (Đã thanh toán đủ)</v>
      </c>
      <c r="Q5" s="209"/>
      <c r="R5" s="209"/>
      <c r="S5" s="222" t="str">
        <f aca="false" t="array" ref="S5:S5">IF(AND(N5&gt;=thresholdDeposit_minimum,ISNUMBER(SEARCH("pending",F5))),INDEX('CH4. Thông điệp nhắc việc'!$G:$G,MATCH("NA087",'CH4. Thông điệp nhắc việc'!$A:$A,0)),IF(AND(ISNUMBER(SEARCH("paid",P5)),NOT(ISNUMBER(SEARCH("partial",P5))),NOT(ISNUMBER(SEARCH("unpaid",P5)))),INDEX('CH4. Thông điệp nhắc việc'!$G:$G,MATCH("NA088",'CH4. Thông điệp nhắc việc'!$A:$A,0)),""))</f>
        <v>Đã thanh toán đủ - chuyển sang Onboarding (DL08) nếu chưa</v>
      </c>
      <c r="T5" s="212" t="str">
        <f aca="true" t="array" ref="T5:T5">IF(ISNUMBER(SEARCH("cancelled",F5)),INDEX('CH4. Thông điệp nhắc việc'!$G:$G,MATCH("NA059",'CH4. Thông điệp nhắc việc'!$A:$A,0)),IF(AND(ISNUMBER(SEARCH("pending",F5)),(NOW()-N(G5))*24&gt;slaENR_cancel_hours),INDEX('CH4. Thông điệp nhắc việc'!$G:$G,MATCH("NA060",'CH4. Thông điệp nhắc việc'!$A:$A,0)),IF(AND(I5&gt;thresholdDiscount_approval,L5=""),INDEX('CH4. Thông điệp nhắc việc'!$G:$G,MATCH("NA061",'CH4. Thông điệp nhắc việc'!$A:$A,0)),IF(AND(ISNUMBER(SEARCH("pending",F5)),(NOW()-N(G5))*24&gt;slaENR_pending_hours),INDEX('CH4. Thông điệp nhắc việc'!$G:$G,MATCH("NA005",'CH4. Thông điệp nhắc việc'!$A:$A,0)),IF(AND(ISNUMBER(SEARCH("confirmed",F5)),ISNUMBER(SEARCH("unpaid",P5))),INDEX('CH4. Thông điệp nhắc việc'!$G:$G,MATCH("NA006",'CH4. Thông điệp nhắc việc'!$A:$A,0)),IF(AND(ISNUMBER(SEARCH("partial",P5)),O5&gt;0,(NOW()-N(G5))&gt;slaPayment_grace_days),INDEX('CH4. Thông điệp nhắc việc'!$G:$G,MATCH("NA007",'CH4. Thông điệp nhắc việc'!$A:$A,0)),IF(AND(ISNUMBER(SEARCH("confirmed",F5)),ISNUMBER(SEARCH("paid",P5))),INDEX('CH4. Thông điệp nhắc việc'!$G:$G,MATCH("NA009",'CH4. Thông điệp nhắc việc'!$A:$A,0)),"")))))))</f>
        <v>Đăng ký đã xác nhận và HV đã đóng đủ tiền. Không cần làm gì thêm.</v>
      </c>
      <c r="U5" s="223"/>
      <c r="V5" s="224" t="str">
        <f aca="false">IFERROR(VLOOKUP(B5,'DL09. Học viên'!$A:$B,2,FALSE()),"")</f>
        <v>Lê Thị Bích Ngọc</v>
      </c>
      <c r="W5" s="224" t="str">
        <f aca="false">IFERROR(VLOOKUP(C5,'DL02. Khách tiềm năng'!$A:$E,5,FALSE()),"")</f>
        <v>Lê Thị Bích Ngọc</v>
      </c>
      <c r="X5" s="224" t="str">
        <f aca="false">IFERROR(VLOOKUP(E5,'DL05. Khóa học'!$A:$B,2,FALSE()),"")</f>
        <v>IELTS 6.5 4 tháng</v>
      </c>
      <c r="Y5" s="4"/>
      <c r="Z5" s="4"/>
    </row>
    <row r="6" customFormat="false" ht="50.25" hidden="false" customHeight="true" outlineLevel="0" collapsed="false">
      <c r="A6" s="209" t="s">
        <v>2891</v>
      </c>
      <c r="B6" s="210" t="str">
        <f aca="false">IFERROR(HYPERLINK("#'DL09. Học viên'!A"&amp;MATCH("HV003",'DL09. Học viên'!A:A,0),"HV003"),"HV003")</f>
        <v>HV003</v>
      </c>
      <c r="C6" s="210" t="str">
        <f aca="false">IFERROR(HYPERLINK("#'DL09. Học viên'!A"&amp;MATCH("L-2026-00008",'DL02. Khách tiềm năng'!A:A,0),"L-2026-00008"),"L-2026-00008")</f>
        <v>L-2026-00008</v>
      </c>
      <c r="D6" s="210" t="str">
        <f aca="false">IFERROR(HYPERLINK("#'DL09. Học viên'!A"&amp;MATCH("CS-2026-004",'DL04. Tư vấn'!A:A,0),"CS-2026-004"),"CS-2026-004")</f>
        <v>CS-2026-004</v>
      </c>
      <c r="E6" s="210" t="str">
        <f aca="false">IFERROR(HYPERLINK("#'DL09. Học viên'!A"&amp;MATCH("CRS-IELTS-6.0",'DL05. Khóa học'!A:A,0),"CRS-IELTS-6.0"),"CRS-IELTS-6.0")</f>
        <v>CRS-IELTS-6.0</v>
      </c>
      <c r="F6" s="209" t="s">
        <v>364</v>
      </c>
      <c r="G6" s="211" t="n">
        <v>46158.375</v>
      </c>
      <c r="H6" s="219" t="n">
        <v>15000000</v>
      </c>
      <c r="I6" s="219" t="n">
        <v>0</v>
      </c>
      <c r="J6" s="209"/>
      <c r="K6" s="209"/>
      <c r="L6" s="209"/>
      <c r="M6" s="220" t="n">
        <f aca="false">H6-IFERROR(I6,0)</f>
        <v>15000000</v>
      </c>
      <c r="N6" s="220" t="n">
        <f aca="false">IFERROR(SUMIF('DL07. Thanh toán'!B:B,A6,'DL07. Thanh toán'!F:F),0)</f>
        <v>15000000</v>
      </c>
      <c r="O6" s="220" t="n">
        <f aca="false">M6-N6</f>
        <v>0</v>
      </c>
      <c r="P6" s="221" t="str">
        <f aca="false">IF(N6=0,"unpaid (Chưa thanh toán)",IF(N6&gt;=M6,"paid (Đã thanh toán đủ)","partial (Đã thanh toán 1 phần)"))</f>
        <v>paid (Đã thanh toán đủ)</v>
      </c>
      <c r="Q6" s="209"/>
      <c r="R6" s="209"/>
      <c r="S6" s="222" t="str">
        <f aca="false" t="array" ref="S6:S6">IF(AND(N6&gt;=thresholdDeposit_minimum,ISNUMBER(SEARCH("pending",F6))),INDEX('CH4. Thông điệp nhắc việc'!$G:$G,MATCH("NA087",'CH4. Thông điệp nhắc việc'!$A:$A,0)),IF(AND(ISNUMBER(SEARCH("paid",P6)),NOT(ISNUMBER(SEARCH("partial",P6))),NOT(ISNUMBER(SEARCH("unpaid",P6)))),INDEX('CH4. Thông điệp nhắc việc'!$G:$G,MATCH("NA088",'CH4. Thông điệp nhắc việc'!$A:$A,0)),""))</f>
        <v>Đã thanh toán đủ - chuyển sang Onboarding (DL08) nếu chưa</v>
      </c>
      <c r="T6" s="212" t="str">
        <f aca="true" t="array" ref="T6:T6">IF(ISNUMBER(SEARCH("cancelled",F6)),INDEX('CH4. Thông điệp nhắc việc'!$G:$G,MATCH("NA059",'CH4. Thông điệp nhắc việc'!$A:$A,0)),IF(AND(ISNUMBER(SEARCH("pending",F6)),(NOW()-N(G6))*24&gt;slaENR_cancel_hours),INDEX('CH4. Thông điệp nhắc việc'!$G:$G,MATCH("NA060",'CH4. Thông điệp nhắc việc'!$A:$A,0)),IF(AND(I6&gt;thresholdDiscount_approval,L6=""),INDEX('CH4. Thông điệp nhắc việc'!$G:$G,MATCH("NA061",'CH4. Thông điệp nhắc việc'!$A:$A,0)),IF(AND(ISNUMBER(SEARCH("pending",F6)),(NOW()-N(G6))*24&gt;slaENR_pending_hours),INDEX('CH4. Thông điệp nhắc việc'!$G:$G,MATCH("NA005",'CH4. Thông điệp nhắc việc'!$A:$A,0)),IF(AND(ISNUMBER(SEARCH("confirmed",F6)),ISNUMBER(SEARCH("unpaid",P6))),INDEX('CH4. Thông điệp nhắc việc'!$G:$G,MATCH("NA006",'CH4. Thông điệp nhắc việc'!$A:$A,0)),IF(AND(ISNUMBER(SEARCH("partial",P6)),O6&gt;0,(NOW()-N(G6))&gt;slaPayment_grace_days),INDEX('CH4. Thông điệp nhắc việc'!$G:$G,MATCH("NA007",'CH4. Thông điệp nhắc việc'!$A:$A,0)),IF(AND(ISNUMBER(SEARCH("confirmed",F6)),ISNUMBER(SEARCH("paid",P6))),INDEX('CH4. Thông điệp nhắc việc'!$G:$G,MATCH("NA009",'CH4. Thông điệp nhắc việc'!$A:$A,0)),"")))))))</f>
        <v>Đăng ký đã xác nhận và HV đã đóng đủ tiền. Không cần làm gì thêm.</v>
      </c>
      <c r="U6" s="223"/>
      <c r="V6" s="224" t="str">
        <f aca="false">IFERROR(VLOOKUP(B6,'DL09. Học viên'!$A:$B,2,FALSE()),"")</f>
        <v>Phạm Quốc Cường</v>
      </c>
      <c r="W6" s="224" t="str">
        <f aca="false">IFERROR(VLOOKUP(C6,'DL02. Khách tiềm năng'!$A:$E,5,FALSE()),"")</f>
        <v>Phạm Quốc Cường</v>
      </c>
      <c r="X6" s="224" t="str">
        <f aca="false">IFERROR(VLOOKUP(E6,'DL05. Khóa học'!$A:$B,2,FALSE()),"")</f>
        <v>IELTS 6.0 4 tháng</v>
      </c>
      <c r="Y6" s="4"/>
      <c r="Z6" s="4"/>
    </row>
    <row r="7" customFormat="false" ht="50.25" hidden="false" customHeight="true" outlineLevel="0" collapsed="false">
      <c r="A7" s="209" t="s">
        <v>2892</v>
      </c>
      <c r="B7" s="210" t="str">
        <f aca="false">IFERROR(HYPERLINK("#'DL09. Học viên'!A"&amp;MATCH("HV004",'DL09. Học viên'!A:A,0),"HV004"),"HV004")</f>
        <v>HV004</v>
      </c>
      <c r="C7" s="210" t="str">
        <f aca="false">IFERROR(HYPERLINK("#'DL09. Học viên'!A"&amp;MATCH("L-2026-00009",'DL02. Khách tiềm năng'!A:A,0),"L-2026-00009"),"L-2026-00009")</f>
        <v>L-2026-00009</v>
      </c>
      <c r="D7" s="210" t="str">
        <f aca="false">IFERROR(HYPERLINK("#'DL09. Học viên'!A"&amp;MATCH("CS-2026-005",'DL04. Tư vấn'!A:A,0),"CS-2026-005"),"CS-2026-005")</f>
        <v>CS-2026-005</v>
      </c>
      <c r="E7" s="210" t="str">
        <f aca="false">IFERROR(HYPERLINK("#'DL09. Học viên'!A"&amp;MATCH("CRS-IELTS-6.5",'DL05. Khóa học'!A:A,0),"CRS-IELTS-6.5"),"CRS-IELTS-6.5")</f>
        <v>CRS-IELTS-6.5</v>
      </c>
      <c r="F7" s="209" t="s">
        <v>364</v>
      </c>
      <c r="G7" s="211" t="n">
        <v>46160.375</v>
      </c>
      <c r="H7" s="219" t="n">
        <v>20000000</v>
      </c>
      <c r="I7" s="219" t="n">
        <v>0</v>
      </c>
      <c r="J7" s="209"/>
      <c r="K7" s="209"/>
      <c r="L7" s="209"/>
      <c r="M7" s="220" t="n">
        <f aca="false">H7-IFERROR(I7,0)</f>
        <v>20000000</v>
      </c>
      <c r="N7" s="220" t="n">
        <f aca="false">IFERROR(SUMIF('DL07. Thanh toán'!B:B,A7,'DL07. Thanh toán'!F:F),0)</f>
        <v>20000000</v>
      </c>
      <c r="O7" s="220" t="n">
        <f aca="false">M7-N7</f>
        <v>0</v>
      </c>
      <c r="P7" s="221" t="str">
        <f aca="false">IF(N7=0,"unpaid (Chưa thanh toán)",IF(N7&gt;=M7,"paid (Đã thanh toán đủ)","partial (Đã thanh toán 1 phần)"))</f>
        <v>paid (Đã thanh toán đủ)</v>
      </c>
      <c r="Q7" s="209"/>
      <c r="R7" s="209"/>
      <c r="S7" s="222" t="str">
        <f aca="false" t="array" ref="S7:S7">IF(AND(N7&gt;=thresholdDeposit_minimum,ISNUMBER(SEARCH("pending",F7))),INDEX('CH4. Thông điệp nhắc việc'!$G:$G,MATCH("NA087",'CH4. Thông điệp nhắc việc'!$A:$A,0)),IF(AND(ISNUMBER(SEARCH("paid",P7)),NOT(ISNUMBER(SEARCH("partial",P7))),NOT(ISNUMBER(SEARCH("unpaid",P7)))),INDEX('CH4. Thông điệp nhắc việc'!$G:$G,MATCH("NA088",'CH4. Thông điệp nhắc việc'!$A:$A,0)),""))</f>
        <v>Đã thanh toán đủ - chuyển sang Onboarding (DL08) nếu chưa</v>
      </c>
      <c r="T7" s="212" t="str">
        <f aca="true" t="array" ref="T7:T7">IF(ISNUMBER(SEARCH("cancelled",F7)),INDEX('CH4. Thông điệp nhắc việc'!$G:$G,MATCH("NA059",'CH4. Thông điệp nhắc việc'!$A:$A,0)),IF(AND(ISNUMBER(SEARCH("pending",F7)),(NOW()-N(G7))*24&gt;slaENR_cancel_hours),INDEX('CH4. Thông điệp nhắc việc'!$G:$G,MATCH("NA060",'CH4. Thông điệp nhắc việc'!$A:$A,0)),IF(AND(I7&gt;thresholdDiscount_approval,L7=""),INDEX('CH4. Thông điệp nhắc việc'!$G:$G,MATCH("NA061",'CH4. Thông điệp nhắc việc'!$A:$A,0)),IF(AND(ISNUMBER(SEARCH("pending",F7)),(NOW()-N(G7))*24&gt;slaENR_pending_hours),INDEX('CH4. Thông điệp nhắc việc'!$G:$G,MATCH("NA005",'CH4. Thông điệp nhắc việc'!$A:$A,0)),IF(AND(ISNUMBER(SEARCH("confirmed",F7)),ISNUMBER(SEARCH("unpaid",P7))),INDEX('CH4. Thông điệp nhắc việc'!$G:$G,MATCH("NA006",'CH4. Thông điệp nhắc việc'!$A:$A,0)),IF(AND(ISNUMBER(SEARCH("partial",P7)),O7&gt;0,(NOW()-N(G7))&gt;slaPayment_grace_days),INDEX('CH4. Thông điệp nhắc việc'!$G:$G,MATCH("NA007",'CH4. Thông điệp nhắc việc'!$A:$A,0)),IF(AND(ISNUMBER(SEARCH("confirmed",F7)),ISNUMBER(SEARCH("paid",P7))),INDEX('CH4. Thông điệp nhắc việc'!$G:$G,MATCH("NA009",'CH4. Thông điệp nhắc việc'!$A:$A,0)),"")))))))</f>
        <v>Đăng ký đã xác nhận và HV đã đóng đủ tiền. Không cần làm gì thêm.</v>
      </c>
      <c r="U7" s="223"/>
      <c r="V7" s="224" t="str">
        <f aca="false">IFERROR(VLOOKUP(B7,'DL09. Học viên'!$A:$B,2,FALSE()),"")</f>
        <v>Nguyễn Thị Dung</v>
      </c>
      <c r="W7" s="224" t="str">
        <f aca="false">IFERROR(VLOOKUP(C7,'DL02. Khách tiềm năng'!$A:$E,5,FALSE()),"")</f>
        <v>Nguyễn Thị Dung</v>
      </c>
      <c r="X7" s="224" t="str">
        <f aca="false">IFERROR(VLOOKUP(E7,'DL05. Khóa học'!$A:$B,2,FALSE()),"")</f>
        <v>IELTS 6.5 4 tháng</v>
      </c>
      <c r="Y7" s="4"/>
      <c r="Z7" s="4"/>
    </row>
    <row r="8" customFormat="false" ht="50.25" hidden="false" customHeight="true" outlineLevel="0" collapsed="false">
      <c r="A8" s="209" t="s">
        <v>2893</v>
      </c>
      <c r="B8" s="210" t="str">
        <f aca="false">IFERROR(HYPERLINK("#'DL09. Học viên'!A"&amp;MATCH("HV005",'DL09. Học viên'!A:A,0),"HV005"),"HV005")</f>
        <v>HV005</v>
      </c>
      <c r="C8" s="210" t="str">
        <f aca="false">IFERROR(HYPERLINK("#'DL09. Học viên'!A"&amp;MATCH("L-2026-00010",'DL02. Khách tiềm năng'!A:A,0),"L-2026-00010"),"L-2026-00010")</f>
        <v>L-2026-00010</v>
      </c>
      <c r="D8" s="210" t="str">
        <f aca="false">IFERROR(HYPERLINK("#'DL09. Học viên'!A"&amp;MATCH("CS-2026-006",'DL04. Tư vấn'!A:A,0),"CS-2026-006"),"CS-2026-006")</f>
        <v>CS-2026-006</v>
      </c>
      <c r="E8" s="210" t="str">
        <f aca="false">IFERROR(HYPERLINK("#'DL09. Học viên'!A"&amp;MATCH("CRS-IELTS-7.0",'DL05. Khóa học'!A:A,0),"CRS-IELTS-7.0"),"CRS-IELTS-7.0")</f>
        <v>CRS-IELTS-7.0</v>
      </c>
      <c r="F8" s="209" t="s">
        <v>364</v>
      </c>
      <c r="G8" s="211" t="n">
        <v>46163.375</v>
      </c>
      <c r="H8" s="219" t="n">
        <v>25000000</v>
      </c>
      <c r="I8" s="219" t="n">
        <v>0</v>
      </c>
      <c r="J8" s="209"/>
      <c r="K8" s="209"/>
      <c r="L8" s="209"/>
      <c r="M8" s="220" t="n">
        <f aca="false">H8-IFERROR(I8,0)</f>
        <v>25000000</v>
      </c>
      <c r="N8" s="220" t="n">
        <f aca="false">IFERROR(SUMIF('DL07. Thanh toán'!B:B,A8,'DL07. Thanh toán'!F:F),0)</f>
        <v>25000000</v>
      </c>
      <c r="O8" s="220" t="n">
        <f aca="false">M8-N8</f>
        <v>0</v>
      </c>
      <c r="P8" s="221" t="str">
        <f aca="false">IF(N8=0,"unpaid (Chưa thanh toán)",IF(N8&gt;=M8,"paid (Đã thanh toán đủ)","partial (Đã thanh toán 1 phần)"))</f>
        <v>paid (Đã thanh toán đủ)</v>
      </c>
      <c r="Q8" s="209"/>
      <c r="R8" s="209"/>
      <c r="S8" s="222" t="str">
        <f aca="false" t="array" ref="S8:S8">IF(AND(N8&gt;=thresholdDeposit_minimum,ISNUMBER(SEARCH("pending",F8))),INDEX('CH4. Thông điệp nhắc việc'!$G:$G,MATCH("NA087",'CH4. Thông điệp nhắc việc'!$A:$A,0)),IF(AND(ISNUMBER(SEARCH("paid",P8)),NOT(ISNUMBER(SEARCH("partial",P8))),NOT(ISNUMBER(SEARCH("unpaid",P8)))),INDEX('CH4. Thông điệp nhắc việc'!$G:$G,MATCH("NA088",'CH4. Thông điệp nhắc việc'!$A:$A,0)),""))</f>
        <v>Đã thanh toán đủ - chuyển sang Onboarding (DL08) nếu chưa</v>
      </c>
      <c r="T8" s="212" t="str">
        <f aca="true" t="array" ref="T8:T8">IF(ISNUMBER(SEARCH("cancelled",F8)),INDEX('CH4. Thông điệp nhắc việc'!$G:$G,MATCH("NA059",'CH4. Thông điệp nhắc việc'!$A:$A,0)),IF(AND(ISNUMBER(SEARCH("pending",F8)),(NOW()-N(G8))*24&gt;slaENR_cancel_hours),INDEX('CH4. Thông điệp nhắc việc'!$G:$G,MATCH("NA060",'CH4. Thông điệp nhắc việc'!$A:$A,0)),IF(AND(I8&gt;thresholdDiscount_approval,L8=""),INDEX('CH4. Thông điệp nhắc việc'!$G:$G,MATCH("NA061",'CH4. Thông điệp nhắc việc'!$A:$A,0)),IF(AND(ISNUMBER(SEARCH("pending",F8)),(NOW()-N(G8))*24&gt;slaENR_pending_hours),INDEX('CH4. Thông điệp nhắc việc'!$G:$G,MATCH("NA005",'CH4. Thông điệp nhắc việc'!$A:$A,0)),IF(AND(ISNUMBER(SEARCH("confirmed",F8)),ISNUMBER(SEARCH("unpaid",P8))),INDEX('CH4. Thông điệp nhắc việc'!$G:$G,MATCH("NA006",'CH4. Thông điệp nhắc việc'!$A:$A,0)),IF(AND(ISNUMBER(SEARCH("partial",P8)),O8&gt;0,(NOW()-N(G8))&gt;slaPayment_grace_days),INDEX('CH4. Thông điệp nhắc việc'!$G:$G,MATCH("NA007",'CH4. Thông điệp nhắc việc'!$A:$A,0)),IF(AND(ISNUMBER(SEARCH("confirmed",F8)),ISNUMBER(SEARCH("paid",P8))),INDEX('CH4. Thông điệp nhắc việc'!$G:$G,MATCH("NA009",'CH4. Thông điệp nhắc việc'!$A:$A,0)),"")))))))</f>
        <v>Đăng ký đã xác nhận và HV đã đóng đủ tiền. Không cần làm gì thêm.</v>
      </c>
      <c r="U8" s="223"/>
      <c r="V8" s="224" t="str">
        <f aca="false">IFERROR(VLOOKUP(B8,'DL09. Học viên'!$A:$B,2,FALSE()),"")</f>
        <v>Võ Hoàng Em</v>
      </c>
      <c r="W8" s="224" t="str">
        <f aca="false">IFERROR(VLOOKUP(C8,'DL02. Khách tiềm năng'!$A:$E,5,FALSE()),"")</f>
        <v>Võ Hoàng Em</v>
      </c>
      <c r="X8" s="224" t="str">
        <f aca="false">IFERROR(VLOOKUP(E8,'DL05. Khóa học'!$A:$B,2,FALSE()),"")</f>
        <v>IELTS 7.0+ 4 tháng</v>
      </c>
      <c r="Y8" s="4"/>
      <c r="Z8" s="4"/>
    </row>
    <row r="9" customFormat="false" ht="50.25" hidden="false" customHeight="true" outlineLevel="0" collapsed="false">
      <c r="A9" s="209" t="s">
        <v>2894</v>
      </c>
      <c r="B9" s="210" t="str">
        <f aca="false">IFERROR(HYPERLINK("#'DL09. Học viên'!A"&amp;MATCH("HV006",'DL09. Học viên'!A:A,0),"HV006"),"HV006")</f>
        <v>HV006</v>
      </c>
      <c r="C9" s="210" t="str">
        <f aca="false">IFERROR(HYPERLINK("#'DL09. Học viên'!A"&amp;MATCH("L-2026-00011",'DL02. Khách tiềm năng'!A:A,0),"L-2026-00011"),"L-2026-00011")</f>
        <v>L-2026-00011</v>
      </c>
      <c r="D9" s="210" t="str">
        <f aca="false">IFERROR(HYPERLINK("#'DL09. Học viên'!A"&amp;MATCH("CS-2026-007",'DL04. Tư vấn'!A:A,0),"CS-2026-007"),"CS-2026-007")</f>
        <v>CS-2026-007</v>
      </c>
      <c r="E9" s="210" t="str">
        <f aca="false">IFERROR(HYPERLINK("#'DL09. Học viên'!A"&amp;MATCH("CRS-FOUND-01",'DL05. Khóa học'!A:A,0),"CRS-FOUND-01"),"CRS-FOUND-01")</f>
        <v>CRS-FOUND-01</v>
      </c>
      <c r="F9" s="209" t="s">
        <v>364</v>
      </c>
      <c r="G9" s="211" t="n">
        <v>46192.375</v>
      </c>
      <c r="H9" s="219" t="n">
        <v>15000000</v>
      </c>
      <c r="I9" s="219" t="n">
        <v>1500000</v>
      </c>
      <c r="J9" s="209" t="s">
        <v>1100</v>
      </c>
      <c r="K9" s="209" t="s">
        <v>2895</v>
      </c>
      <c r="L9" s="209"/>
      <c r="M9" s="220" t="n">
        <f aca="false">H9-IFERROR(I9,0)</f>
        <v>13500000</v>
      </c>
      <c r="N9" s="220" t="n">
        <f aca="false">IFERROR(SUMIF('DL07. Thanh toán'!B:B,A9,'DL07. Thanh toán'!F:F),0)</f>
        <v>5000000</v>
      </c>
      <c r="O9" s="220" t="n">
        <f aca="false">M9-N9</f>
        <v>8500000</v>
      </c>
      <c r="P9" s="221" t="str">
        <f aca="false">IF(N9=0,"unpaid (Chưa thanh toán)",IF(N9&gt;=M9,"paid (Đã thanh toán đủ)","partial (Đã thanh toán 1 phần)"))</f>
        <v>partial (Đã thanh toán 1 phần)</v>
      </c>
      <c r="Q9" s="209"/>
      <c r="R9" s="209" t="s">
        <v>2896</v>
      </c>
      <c r="S9" s="222" t="str">
        <f aca="false" t="array" ref="S9:S9">IF(AND(N9&gt;=thresholdDeposit_minimum,ISNUMBER(SEARCH("pending",F9))),INDEX('CH4. Thông điệp nhắc việc'!$G:$G,MATCH("NA087",'CH4. Thông điệp nhắc việc'!$A:$A,0)),IF(AND(ISNUMBER(SEARCH("paid",P9)),NOT(ISNUMBER(SEARCH("partial",P9))),NOT(ISNUMBER(SEARCH("unpaid",P9)))),INDEX('CH4. Thông điệp nhắc việc'!$G:$G,MATCH("NA088",'CH4. Thông điệp nhắc việc'!$A:$A,0)),""))</f>
        <v/>
      </c>
      <c r="T9" s="212" t="str">
        <f aca="true" t="array" ref="T9:T9">IF(ISNUMBER(SEARCH("cancelled",F9)),INDEX('CH4. Thông điệp nhắc việc'!$G:$G,MATCH("NA059",'CH4. Thông điệp nhắc việc'!$A:$A,0)),IF(AND(ISNUMBER(SEARCH("pending",F9)),(NOW()-N(G9))*24&gt;slaENR_cancel_hours),INDEX('CH4. Thông điệp nhắc việc'!$G:$G,MATCH("NA060",'CH4. Thông điệp nhắc việc'!$A:$A,0)),IF(AND(I9&gt;thresholdDiscount_approval,L9=""),INDEX('CH4. Thông điệp nhắc việc'!$G:$G,MATCH("NA061",'CH4. Thông điệp nhắc việc'!$A:$A,0)),IF(AND(ISNUMBER(SEARCH("pending",F9)),(NOW()-N(G9))*24&gt;slaENR_pending_hours),INDEX('CH4. Thông điệp nhắc việc'!$G:$G,MATCH("NA005",'CH4. Thông điệp nhắc việc'!$A:$A,0)),IF(AND(ISNUMBER(SEARCH("confirmed",F9)),ISNUMBER(SEARCH("unpaid",P9))),INDEX('CH4. Thông điệp nhắc việc'!$G:$G,MATCH("NA006",'CH4. Thông điệp nhắc việc'!$A:$A,0)),IF(AND(ISNUMBER(SEARCH("partial",P9)),O9&gt;0,(NOW()-N(G9))&gt;slaPayment_grace_days),INDEX('CH4. Thông điệp nhắc việc'!$G:$G,MATCH("NA007",'CH4. Thông điệp nhắc việc'!$A:$A,0)),IF(AND(ISNUMBER(SEARCH("confirmed",F9)),ISNUMBER(SEARCH("paid",P9))),INDEX('CH4. Thông điệp nhắc việc'!$G:$G,MATCH("NA009",'CH4. Thông điệp nhắc việc'!$A:$A,0)),"")))))))</f>
        <v>Khoản giảm giá vượt mức cho phép 1,000,000đ (cấu hình thresholdDiscount_approval). Việc cần làm: trình cấp trên duyệt trước khi áp dụng.</v>
      </c>
      <c r="U9" s="223"/>
      <c r="V9" s="224" t="str">
        <f aca="false">IFERROR(VLOOKUP(B9,'DL09. Học viên'!$A:$B,2,FALSE()),"")</f>
        <v>Đặng Thu Hà</v>
      </c>
      <c r="W9" s="224" t="str">
        <f aca="false">IFERROR(VLOOKUP(C9,'DL02. Khách tiềm năng'!$A:$E,5,FALSE()),"")</f>
        <v>Đặng Thu Hà</v>
      </c>
      <c r="X9" s="224" t="str">
        <f aca="false">IFERROR(VLOOKUP(E9,'DL05. Khóa học'!$A:$B,2,FALSE()),"")</f>
        <v>Foundation 6 tháng</v>
      </c>
      <c r="Y9" s="4"/>
      <c r="Z9" s="4"/>
    </row>
    <row r="10" customFormat="false" ht="50.25" hidden="false" customHeight="true" outlineLevel="0" collapsed="false">
      <c r="A10" s="209" t="s">
        <v>2897</v>
      </c>
      <c r="B10" s="210" t="str">
        <f aca="false">IFERROR(HYPERLINK("#'DL09. Học viên'!A"&amp;MATCH("HV007",'DL09. Học viên'!A:A,0),"HV007"),"HV007")</f>
        <v>HV007</v>
      </c>
      <c r="C10" s="210"/>
      <c r="D10" s="210"/>
      <c r="E10" s="210" t="str">
        <f aca="false">IFERROR(HYPERLINK("#'DL09. Học viên'!A"&amp;MATCH("CRS-PRE-01",'DL05. Khóa học'!A:A,0),"CRS-PRE-01"),"CRS-PRE-01")</f>
        <v>CRS-PRE-01</v>
      </c>
      <c r="F10" s="209" t="s">
        <v>1075</v>
      </c>
      <c r="G10" s="211" t="n">
        <v>46168.375</v>
      </c>
      <c r="H10" s="219" t="n">
        <v>14000000</v>
      </c>
      <c r="I10" s="219" t="n">
        <v>0</v>
      </c>
      <c r="J10" s="209"/>
      <c r="K10" s="209"/>
      <c r="L10" s="209"/>
      <c r="M10" s="220" t="n">
        <f aca="false">H10-IFERROR(I10,0)</f>
        <v>14000000</v>
      </c>
      <c r="N10" s="220" t="n">
        <f aca="false">IFERROR(SUMIF('DL07. Thanh toán'!B:B,A10,'DL07. Thanh toán'!F:F),0)</f>
        <v>5000000</v>
      </c>
      <c r="O10" s="220" t="n">
        <f aca="false">M10-N10</f>
        <v>9000000</v>
      </c>
      <c r="P10" s="221" t="str">
        <f aca="false">IF(N10=0,"unpaid (Chưa thanh toán)",IF(N10&gt;=M10,"paid (Đã thanh toán đủ)","partial (Đã thanh toán 1 phần)"))</f>
        <v>partial (Đã thanh toán 1 phần)</v>
      </c>
      <c r="Q10" s="209" t="s">
        <v>2898</v>
      </c>
      <c r="R10" s="209" t="s">
        <v>2899</v>
      </c>
      <c r="S10" s="222" t="str">
        <f aca="false" t="array" ref="S10:S10">IF(AND(N10&gt;=thresholdDeposit_minimum,ISNUMBER(SEARCH("pending",F10))),INDEX('CH4. Thông điệp nhắc việc'!$G:$G,MATCH("NA087",'CH4. Thông điệp nhắc việc'!$A:$A,0)),IF(AND(ISNUMBER(SEARCH("paid",P10)),NOT(ISNUMBER(SEARCH("partial",P10))),NOT(ISNUMBER(SEARCH("unpaid",P10)))),INDEX('CH4. Thông điệp nhắc việc'!$G:$G,MATCH("NA088",'CH4. Thông điệp nhắc việc'!$A:$A,0)),""))</f>
        <v/>
      </c>
      <c r="T10" s="212" t="str">
        <f aca="true" t="array" ref="T10:T10">IF(ISNUMBER(SEARCH("cancelled",F10)),INDEX('CH4. Thông điệp nhắc việc'!$G:$G,MATCH("NA059",'CH4. Thông điệp nhắc việc'!$A:$A,0)),IF(AND(ISNUMBER(SEARCH("pending",F10)),(NOW()-N(G10))*24&gt;slaENR_cancel_hours),INDEX('CH4. Thông điệp nhắc việc'!$G:$G,MATCH("NA060",'CH4. Thông điệp nhắc việc'!$A:$A,0)),IF(AND(I10&gt;thresholdDiscount_approval,L10=""),INDEX('CH4. Thông điệp nhắc việc'!$G:$G,MATCH("NA061",'CH4. Thông điệp nhắc việc'!$A:$A,0)),IF(AND(ISNUMBER(SEARCH("pending",F10)),(NOW()-N(G10))*24&gt;slaENR_pending_hours),INDEX('CH4. Thông điệp nhắc việc'!$G:$G,MATCH("NA005",'CH4. Thông điệp nhắc việc'!$A:$A,0)),IF(AND(ISNUMBER(SEARCH("confirmed",F10)),ISNUMBER(SEARCH("unpaid",P10))),INDEX('CH4. Thông điệp nhắc việc'!$G:$G,MATCH("NA006",'CH4. Thông điệp nhắc việc'!$A:$A,0)),IF(AND(ISNUMBER(SEARCH("partial",P10)),O10&gt;0,(NOW()-N(G10))&gt;slaPayment_grace_days),INDEX('CH4. Thông điệp nhắc việc'!$G:$G,MATCH("NA007",'CH4. Thông điệp nhắc việc'!$A:$A,0)),IF(AND(ISNUMBER(SEARCH("confirmed",F10)),ISNUMBER(SEARCH("paid",P10))),INDEX('CH4. Thông điệp nhắc việc'!$G:$G,MATCH("NA009",'CH4. Thông điệp nhắc việc'!$A:$A,0)),"")))))))</f>
        <v>Đăng ký đã hủy. Chính sách hoàn tiền (cấu hình): hoàn 100% nếu hủy trong 7 ngày, hoàn một phần nếu trong 14 ngày, hoàn mức thấp nếu trong 30 ngày, quá thì không hoàn. Việc cần làm: kiểm tra ngày hủy và xử lý hoàn tiền.</v>
      </c>
      <c r="U10" s="223"/>
      <c r="V10" s="224" t="str">
        <f aca="false">IFERROR(VLOOKUP(B10,'DL09. Học viên'!$A:$B,2,FALSE()),"")</f>
        <v>Bùi Văn Giang</v>
      </c>
      <c r="W10" s="224" t="str">
        <f aca="false">IFERROR(VLOOKUP(C10,'DL02. Khách tiềm năng'!$A:$E,5,FALSE()),"")</f>
        <v/>
      </c>
      <c r="X10" s="224" t="str">
        <f aca="false">IFERROR(VLOOKUP(E10,'DL05. Khóa học'!$A:$B,2,FALSE()),"")</f>
        <v>Pre-IELTS 4 tháng</v>
      </c>
      <c r="Y10" s="4"/>
      <c r="Z10" s="4"/>
    </row>
    <row r="11" customFormat="false" ht="50.25" hidden="false" customHeight="true" outlineLevel="0" collapsed="false">
      <c r="A11" s="209" t="s">
        <v>2900</v>
      </c>
      <c r="B11" s="210" t="str">
        <f aca="false">IFERROR(HYPERLINK("#'DL09. Học viên'!A"&amp;MATCH("HV008",'DL09. Học viên'!A:A,0),"HV008"),"HV008")</f>
        <v>HV008</v>
      </c>
      <c r="C11" s="210"/>
      <c r="D11" s="210"/>
      <c r="E11" s="210" t="str">
        <f aca="false">IFERROR(HYPERLINK("#'DL09. Học viên'!A"&amp;MATCH("CRS-IELTS-6.0",'DL05. Khóa học'!A:A,0),"CRS-IELTS-6.0"),"CRS-IELTS-6.0")</f>
        <v>CRS-IELTS-6.0</v>
      </c>
      <c r="F11" s="209" t="s">
        <v>364</v>
      </c>
      <c r="G11" s="211" t="n">
        <v>46008.375</v>
      </c>
      <c r="H11" s="219" t="n">
        <v>15000000</v>
      </c>
      <c r="I11" s="219" t="n">
        <v>0</v>
      </c>
      <c r="J11" s="209"/>
      <c r="K11" s="209"/>
      <c r="L11" s="209"/>
      <c r="M11" s="220" t="n">
        <f aca="false">H11-IFERROR(I11,0)</f>
        <v>15000000</v>
      </c>
      <c r="N11" s="220" t="n">
        <f aca="false">IFERROR(SUMIF('DL07. Thanh toán'!B:B,A11,'DL07. Thanh toán'!F:F),0)</f>
        <v>15000000</v>
      </c>
      <c r="O11" s="220" t="n">
        <f aca="false">M11-N11</f>
        <v>0</v>
      </c>
      <c r="P11" s="221" t="str">
        <f aca="false">IF(N11=0,"unpaid (Chưa thanh toán)",IF(N11&gt;=M11,"paid (Đã thanh toán đủ)","partial (Đã thanh toán 1 phần)"))</f>
        <v>paid (Đã thanh toán đủ)</v>
      </c>
      <c r="Q11" s="209"/>
      <c r="R11" s="209" t="s">
        <v>2901</v>
      </c>
      <c r="S11" s="222" t="str">
        <f aca="false" t="array" ref="S11:S11">IF(AND(N11&gt;=thresholdDeposit_minimum,ISNUMBER(SEARCH("pending",F11))),INDEX('CH4. Thông điệp nhắc việc'!$G:$G,MATCH("NA087",'CH4. Thông điệp nhắc việc'!$A:$A,0)),IF(AND(ISNUMBER(SEARCH("paid",P11)),NOT(ISNUMBER(SEARCH("partial",P11))),NOT(ISNUMBER(SEARCH("unpaid",P11)))),INDEX('CH4. Thông điệp nhắc việc'!$G:$G,MATCH("NA088",'CH4. Thông điệp nhắc việc'!$A:$A,0)),""))</f>
        <v>Đã thanh toán đủ - chuyển sang Onboarding (DL08) nếu chưa</v>
      </c>
      <c r="T11" s="212" t="str">
        <f aca="true" t="array" ref="T11:T11">IF(ISNUMBER(SEARCH("cancelled",F11)),INDEX('CH4. Thông điệp nhắc việc'!$G:$G,MATCH("NA059",'CH4. Thông điệp nhắc việc'!$A:$A,0)),IF(AND(ISNUMBER(SEARCH("pending",F11)),(NOW()-N(G11))*24&gt;slaENR_cancel_hours),INDEX('CH4. Thông điệp nhắc việc'!$G:$G,MATCH("NA060",'CH4. Thông điệp nhắc việc'!$A:$A,0)),IF(AND(I11&gt;thresholdDiscount_approval,L11=""),INDEX('CH4. Thông điệp nhắc việc'!$G:$G,MATCH("NA061",'CH4. Thông điệp nhắc việc'!$A:$A,0)),IF(AND(ISNUMBER(SEARCH("pending",F11)),(NOW()-N(G11))*24&gt;slaENR_pending_hours),INDEX('CH4. Thông điệp nhắc việc'!$G:$G,MATCH("NA005",'CH4. Thông điệp nhắc việc'!$A:$A,0)),IF(AND(ISNUMBER(SEARCH("confirmed",F11)),ISNUMBER(SEARCH("unpaid",P11))),INDEX('CH4. Thông điệp nhắc việc'!$G:$G,MATCH("NA006",'CH4. Thông điệp nhắc việc'!$A:$A,0)),IF(AND(ISNUMBER(SEARCH("partial",P11)),O11&gt;0,(NOW()-N(G11))&gt;slaPayment_grace_days),INDEX('CH4. Thông điệp nhắc việc'!$G:$G,MATCH("NA007",'CH4. Thông điệp nhắc việc'!$A:$A,0)),IF(AND(ISNUMBER(SEARCH("confirmed",F11)),ISNUMBER(SEARCH("paid",P11))),INDEX('CH4. Thông điệp nhắc việc'!$G:$G,MATCH("NA009",'CH4. Thông điệp nhắc việc'!$A:$A,0)),"")))))))</f>
        <v>Đăng ký đã xác nhận và HV đã đóng đủ tiền. Không cần làm gì thêm.</v>
      </c>
      <c r="U11" s="223"/>
      <c r="V11" s="224" t="str">
        <f aca="false">IFERROR(VLOOKUP(B11,'DL09. Học viên'!$A:$B,2,FALSE()),"")</f>
        <v>Hồ Thị Hoa</v>
      </c>
      <c r="W11" s="224" t="str">
        <f aca="false">IFERROR(VLOOKUP(C11,'DL02. Khách tiềm năng'!$A:$E,5,FALSE()),"")</f>
        <v/>
      </c>
      <c r="X11" s="224" t="str">
        <f aca="false">IFERROR(VLOOKUP(E11,'DL05. Khóa học'!$A:$B,2,FALSE()),"")</f>
        <v>IELTS 6.0 4 tháng</v>
      </c>
      <c r="Y11" s="4"/>
      <c r="Z11" s="4"/>
    </row>
    <row r="12" customFormat="false" ht="50.25" hidden="false" customHeight="true" outlineLevel="0" collapsed="false">
      <c r="A12" s="209" t="s">
        <v>2902</v>
      </c>
      <c r="B12" s="210" t="str">
        <f aca="false">IFERROR(HYPERLINK("#'DL09. Học viên'!A"&amp;MATCH("HV008",'DL09. Học viên'!A:A,0),"HV008"),"HV008")</f>
        <v>HV008</v>
      </c>
      <c r="C12" s="210"/>
      <c r="D12" s="210"/>
      <c r="E12" s="210" t="str">
        <f aca="false">IFERROR(HYPERLINK("#'DL09. Học viên'!A"&amp;MATCH("CRS-IELTS-6.5",'DL05. Khóa học'!A:A,0),"CRS-IELTS-6.5"),"CRS-IELTS-6.5")</f>
        <v>CRS-IELTS-6.5</v>
      </c>
      <c r="F12" s="209" t="s">
        <v>364</v>
      </c>
      <c r="G12" s="211" t="n">
        <v>46203.375</v>
      </c>
      <c r="H12" s="219" t="n">
        <v>22000000</v>
      </c>
      <c r="I12" s="219" t="n">
        <v>0</v>
      </c>
      <c r="J12" s="209"/>
      <c r="K12" s="209"/>
      <c r="L12" s="209"/>
      <c r="M12" s="220" t="n">
        <f aca="false">H12-IFERROR(I12,0)</f>
        <v>22000000</v>
      </c>
      <c r="N12" s="220" t="n">
        <f aca="false">IFERROR(SUMIF('DL07. Thanh toán'!B:B,A12,'DL07. Thanh toán'!F:F),0)</f>
        <v>5000000</v>
      </c>
      <c r="O12" s="220" t="n">
        <f aca="false">M12-N12</f>
        <v>17000000</v>
      </c>
      <c r="P12" s="221" t="str">
        <f aca="false">IF(N12=0,"unpaid (Chưa thanh toán)",IF(N12&gt;=M12,"paid (Đã thanh toán đủ)","partial (Đã thanh toán 1 phần)"))</f>
        <v>partial (Đã thanh toán 1 phần)</v>
      </c>
      <c r="Q12" s="209"/>
      <c r="R12" s="209" t="s">
        <v>2903</v>
      </c>
      <c r="S12" s="222" t="str">
        <f aca="false" t="array" ref="S12:S12">IF(AND(N12&gt;=thresholdDeposit_minimum,ISNUMBER(SEARCH("pending",F12))),INDEX('CH4. Thông điệp nhắc việc'!$G:$G,MATCH("NA087",'CH4. Thông điệp nhắc việc'!$A:$A,0)),IF(AND(ISNUMBER(SEARCH("paid",P12)),NOT(ISNUMBER(SEARCH("partial",P12))),NOT(ISNUMBER(SEARCH("unpaid",P12)))),INDEX('CH4. Thông điệp nhắc việc'!$G:$G,MATCH("NA088",'CH4. Thông điệp nhắc việc'!$A:$A,0)),""))</f>
        <v/>
      </c>
      <c r="T12" s="212" t="str">
        <f aca="true" t="array" ref="T12:T12">IF(ISNUMBER(SEARCH("cancelled",F12)),INDEX('CH4. Thông điệp nhắc việc'!$G:$G,MATCH("NA059",'CH4. Thông điệp nhắc việc'!$A:$A,0)),IF(AND(ISNUMBER(SEARCH("pending",F12)),(NOW()-N(G12))*24&gt;slaENR_cancel_hours),INDEX('CH4. Thông điệp nhắc việc'!$G:$G,MATCH("NA060",'CH4. Thông điệp nhắc việc'!$A:$A,0)),IF(AND(I12&gt;thresholdDiscount_approval,L12=""),INDEX('CH4. Thông điệp nhắc việc'!$G:$G,MATCH("NA061",'CH4. Thông điệp nhắc việc'!$A:$A,0)),IF(AND(ISNUMBER(SEARCH("pending",F12)),(NOW()-N(G12))*24&gt;slaENR_pending_hours),INDEX('CH4. Thông điệp nhắc việc'!$G:$G,MATCH("NA005",'CH4. Thông điệp nhắc việc'!$A:$A,0)),IF(AND(ISNUMBER(SEARCH("confirmed",F12)),ISNUMBER(SEARCH("unpaid",P12))),INDEX('CH4. Thông điệp nhắc việc'!$G:$G,MATCH("NA006",'CH4. Thông điệp nhắc việc'!$A:$A,0)),IF(AND(ISNUMBER(SEARCH("partial",P12)),O12&gt;0,(NOW()-N(G12))&gt;slaPayment_grace_days),INDEX('CH4. Thông điệp nhắc việc'!$G:$G,MATCH("NA007",'CH4. Thông điệp nhắc việc'!$A:$A,0)),IF(AND(ISNUMBER(SEARCH("confirmed",F12)),ISNUMBER(SEARCH("paid",P12))),INDEX('CH4. Thông điệp nhắc việc'!$G:$G,MATCH("NA009",'CH4. Thông điệp nhắc việc'!$A:$A,0)),"")))))))</f>
        <v/>
      </c>
      <c r="U12" s="223"/>
      <c r="V12" s="224" t="str">
        <f aca="false">IFERROR(VLOOKUP(B12,'DL09. Học viên'!$A:$B,2,FALSE()),"")</f>
        <v>Hồ Thị Hoa</v>
      </c>
      <c r="W12" s="224" t="str">
        <f aca="false">IFERROR(VLOOKUP(C12,'DL02. Khách tiềm năng'!$A:$E,5,FALSE()),"")</f>
        <v/>
      </c>
      <c r="X12" s="224" t="str">
        <f aca="false">IFERROR(VLOOKUP(E12,'DL05. Khóa học'!$A:$B,2,FALSE()),"")</f>
        <v>IELTS 6.5 4 tháng</v>
      </c>
      <c r="Y12" s="4"/>
      <c r="Z12" s="4"/>
    </row>
    <row r="13" customFormat="false" ht="50.25" hidden="false" customHeight="true" outlineLevel="0" collapsed="false">
      <c r="A13" s="209" t="s">
        <v>2904</v>
      </c>
      <c r="B13" s="210" t="str">
        <f aca="false">IFERROR(HYPERLINK("#'DL09. Học viên'!A"&amp;MATCH("HV009",'DL09. Học viên'!A:A,0),"HV009"),"HV009")</f>
        <v>HV009</v>
      </c>
      <c r="C13" s="210" t="str">
        <f aca="false">IFERROR(HYPERLINK("#'DL09. Học viên'!A"&amp;MATCH("L-2026-00012",'DL02. Khách tiềm năng'!A:A,0),"L-2026-00012"),"L-2026-00012")</f>
        <v>L-2026-00012</v>
      </c>
      <c r="D13" s="210" t="str">
        <f aca="false">IFERROR(HYPERLINK("#'DL09. Học viên'!A"&amp;MATCH("CS-2026-008",'DL04. Tư vấn'!A:A,0),"CS-2026-008"),"CS-2026-008")</f>
        <v>CS-2026-008</v>
      </c>
      <c r="E13" s="210" t="str">
        <f aca="false">IFERROR(HYPERLINK("#'DL09. Học viên'!A"&amp;MATCH("CRS-FOUND-PLA",'DL05. Khóa học'!A:A,0),"CRS-FOUND-PLA"),"CRS-FOUND-PLA")</f>
        <v>CRS-FOUND-PLA</v>
      </c>
      <c r="F13" s="209" t="s">
        <v>364</v>
      </c>
      <c r="G13" s="211" t="n">
        <v>46178.375</v>
      </c>
      <c r="H13" s="219" t="n">
        <v>12000000</v>
      </c>
      <c r="I13" s="219" t="n">
        <v>0</v>
      </c>
      <c r="J13" s="209"/>
      <c r="K13" s="209"/>
      <c r="L13" s="209"/>
      <c r="M13" s="220" t="n">
        <f aca="false">H13-IFERROR(I13,0)</f>
        <v>12000000</v>
      </c>
      <c r="N13" s="220" t="n">
        <f aca="false">IFERROR(SUMIF('DL07. Thanh toán'!B:B,A13,'DL07. Thanh toán'!F:F),0)</f>
        <v>12000000</v>
      </c>
      <c r="O13" s="220" t="n">
        <f aca="false">M13-N13</f>
        <v>0</v>
      </c>
      <c r="P13" s="221" t="str">
        <f aca="false">IF(N13=0,"unpaid (Chưa thanh toán)",IF(N13&gt;=M13,"paid (Đã thanh toán đủ)","partial (Đã thanh toán 1 phần)"))</f>
        <v>paid (Đã thanh toán đủ)</v>
      </c>
      <c r="Q13" s="209"/>
      <c r="R13" s="209"/>
      <c r="S13" s="222" t="str">
        <f aca="false" t="array" ref="S13:S13">IF(AND(N13&gt;=thresholdDeposit_minimum,ISNUMBER(SEARCH("pending",F13))),INDEX('CH4. Thông điệp nhắc việc'!$G:$G,MATCH("NA087",'CH4. Thông điệp nhắc việc'!$A:$A,0)),IF(AND(ISNUMBER(SEARCH("paid",P13)),NOT(ISNUMBER(SEARCH("partial",P13))),NOT(ISNUMBER(SEARCH("unpaid",P13)))),INDEX('CH4. Thông điệp nhắc việc'!$G:$G,MATCH("NA088",'CH4. Thông điệp nhắc việc'!$A:$A,0)),""))</f>
        <v>Đã thanh toán đủ - chuyển sang Onboarding (DL08) nếu chưa</v>
      </c>
      <c r="T13" s="212" t="str">
        <f aca="true" t="array" ref="T13:T13">IF(ISNUMBER(SEARCH("cancelled",F13)),INDEX('CH4. Thông điệp nhắc việc'!$G:$G,MATCH("NA059",'CH4. Thông điệp nhắc việc'!$A:$A,0)),IF(AND(ISNUMBER(SEARCH("pending",F13)),(NOW()-N(G13))*24&gt;slaENR_cancel_hours),INDEX('CH4. Thông điệp nhắc việc'!$G:$G,MATCH("NA060",'CH4. Thông điệp nhắc việc'!$A:$A,0)),IF(AND(I13&gt;thresholdDiscount_approval,L13=""),INDEX('CH4. Thông điệp nhắc việc'!$G:$G,MATCH("NA061",'CH4. Thông điệp nhắc việc'!$A:$A,0)),IF(AND(ISNUMBER(SEARCH("pending",F13)),(NOW()-N(G13))*24&gt;slaENR_pending_hours),INDEX('CH4. Thông điệp nhắc việc'!$G:$G,MATCH("NA005",'CH4. Thông điệp nhắc việc'!$A:$A,0)),IF(AND(ISNUMBER(SEARCH("confirmed",F13)),ISNUMBER(SEARCH("unpaid",P13))),INDEX('CH4. Thông điệp nhắc việc'!$G:$G,MATCH("NA006",'CH4. Thông điệp nhắc việc'!$A:$A,0)),IF(AND(ISNUMBER(SEARCH("partial",P13)),O13&gt;0,(NOW()-N(G13))&gt;slaPayment_grace_days),INDEX('CH4. Thông điệp nhắc việc'!$G:$G,MATCH("NA007",'CH4. Thông điệp nhắc việc'!$A:$A,0)),IF(AND(ISNUMBER(SEARCH("confirmed",F13)),ISNUMBER(SEARCH("paid",P13))),INDEX('CH4. Thông điệp nhắc việc'!$G:$G,MATCH("NA009",'CH4. Thông điệp nhắc việc'!$A:$A,0)),"")))))))</f>
        <v>Đăng ký đã xác nhận và HV đã đóng đủ tiền. Không cần làm gì thêm.</v>
      </c>
      <c r="U13" s="223"/>
      <c r="V13" s="224" t="str">
        <f aca="false">IFERROR(VLOOKUP(B13,'DL09. Học viên'!$A:$B,2,FALSE()),"")</f>
        <v>Lý Gia Khang</v>
      </c>
      <c r="W13" s="224" t="str">
        <f aca="false">IFERROR(VLOOKUP(C13,'DL02. Khách tiềm năng'!$A:$E,5,FALSE()),"")</f>
        <v>Lý Gia Khang</v>
      </c>
      <c r="X13" s="224" t="str">
        <f aca="false">IFERROR(VLOOKUP(E13,'DL05. Khóa học'!$A:$B,2,FALSE()),"")</f>
        <v>Foundation PLA T7-CN</v>
      </c>
      <c r="Y13" s="4"/>
      <c r="Z13" s="4"/>
    </row>
    <row r="14" customFormat="false" ht="50.25" hidden="false" customHeight="true" outlineLevel="0" collapsed="false">
      <c r="A14" s="209" t="s">
        <v>2905</v>
      </c>
      <c r="B14" s="210" t="str">
        <f aca="false">IFERROR(HYPERLINK("#'DL09. Học viên'!A"&amp;MATCH("HV010",'DL09. Học viên'!A:A,0),"HV010"),"HV010")</f>
        <v>HV010</v>
      </c>
      <c r="C14" s="210" t="str">
        <f aca="false">IFERROR(HYPERLINK("#'DL09. Học viên'!A"&amp;MATCH("L-2026-00013",'DL02. Khách tiềm năng'!A:A,0),"L-2026-00013"),"L-2026-00013")</f>
        <v>L-2026-00013</v>
      </c>
      <c r="D14" s="210" t="str">
        <f aca="false">IFERROR(HYPERLINK("#'DL09. Học viên'!A"&amp;MATCH("CS-2026-009",'DL04. Tư vấn'!A:A,0),"CS-2026-009"),"CS-2026-009")</f>
        <v>CS-2026-009</v>
      </c>
      <c r="E14" s="210" t="str">
        <f aca="false">IFERROR(HYPERLINK("#'DL09. Học viên'!A"&amp;MATCH("CRS-FOUND-PLA",'DL05. Khóa học'!A:A,0),"CRS-FOUND-PLA"),"CRS-FOUND-PLA")</f>
        <v>CRS-FOUND-PLA</v>
      </c>
      <c r="F14" s="209" t="s">
        <v>364</v>
      </c>
      <c r="G14" s="211" t="n">
        <v>46180.375</v>
      </c>
      <c r="H14" s="219" t="n">
        <v>12000000</v>
      </c>
      <c r="I14" s="219" t="n">
        <v>0</v>
      </c>
      <c r="J14" s="209"/>
      <c r="K14" s="209"/>
      <c r="L14" s="209"/>
      <c r="M14" s="220" t="n">
        <f aca="false">H14-IFERROR(I14,0)</f>
        <v>12000000</v>
      </c>
      <c r="N14" s="220" t="n">
        <f aca="false">IFERROR(SUMIF('DL07. Thanh toán'!B:B,A14,'DL07. Thanh toán'!F:F),0)</f>
        <v>12000000</v>
      </c>
      <c r="O14" s="220" t="n">
        <f aca="false">M14-N14</f>
        <v>0</v>
      </c>
      <c r="P14" s="221" t="str">
        <f aca="false">IF(N14=0,"unpaid (Chưa thanh toán)",IF(N14&gt;=M14,"paid (Đã thanh toán đủ)","partial (Đã thanh toán 1 phần)"))</f>
        <v>paid (Đã thanh toán đủ)</v>
      </c>
      <c r="Q14" s="209"/>
      <c r="R14" s="209"/>
      <c r="S14" s="222" t="str">
        <f aca="false" t="array" ref="S14:S14">IF(AND(N14&gt;=thresholdDeposit_minimum,ISNUMBER(SEARCH("pending",F14))),INDEX('CH4. Thông điệp nhắc việc'!$G:$G,MATCH("NA087",'CH4. Thông điệp nhắc việc'!$A:$A,0)),IF(AND(ISNUMBER(SEARCH("paid",P14)),NOT(ISNUMBER(SEARCH("partial",P14))),NOT(ISNUMBER(SEARCH("unpaid",P14)))),INDEX('CH4. Thông điệp nhắc việc'!$G:$G,MATCH("NA088",'CH4. Thông điệp nhắc việc'!$A:$A,0)),""))</f>
        <v>Đã thanh toán đủ - chuyển sang Onboarding (DL08) nếu chưa</v>
      </c>
      <c r="T14" s="212" t="str">
        <f aca="true" t="array" ref="T14:T14">IF(ISNUMBER(SEARCH("cancelled",F14)),INDEX('CH4. Thông điệp nhắc việc'!$G:$G,MATCH("NA059",'CH4. Thông điệp nhắc việc'!$A:$A,0)),IF(AND(ISNUMBER(SEARCH("pending",F14)),(NOW()-N(G14))*24&gt;slaENR_cancel_hours),INDEX('CH4. Thông điệp nhắc việc'!$G:$G,MATCH("NA060",'CH4. Thông điệp nhắc việc'!$A:$A,0)),IF(AND(I14&gt;thresholdDiscount_approval,L14=""),INDEX('CH4. Thông điệp nhắc việc'!$G:$G,MATCH("NA061",'CH4. Thông điệp nhắc việc'!$A:$A,0)),IF(AND(ISNUMBER(SEARCH("pending",F14)),(NOW()-N(G14))*24&gt;slaENR_pending_hours),INDEX('CH4. Thông điệp nhắc việc'!$G:$G,MATCH("NA005",'CH4. Thông điệp nhắc việc'!$A:$A,0)),IF(AND(ISNUMBER(SEARCH("confirmed",F14)),ISNUMBER(SEARCH("unpaid",P14))),INDEX('CH4. Thông điệp nhắc việc'!$G:$G,MATCH("NA006",'CH4. Thông điệp nhắc việc'!$A:$A,0)),IF(AND(ISNUMBER(SEARCH("partial",P14)),O14&gt;0,(NOW()-N(G14))&gt;slaPayment_grace_days),INDEX('CH4. Thông điệp nhắc việc'!$G:$G,MATCH("NA007",'CH4. Thông điệp nhắc việc'!$A:$A,0)),IF(AND(ISNUMBER(SEARCH("confirmed",F14)),ISNUMBER(SEARCH("paid",P14))),INDEX('CH4. Thông điệp nhắc việc'!$G:$G,MATCH("NA009",'CH4. Thông điệp nhắc việc'!$A:$A,0)),"")))))))</f>
        <v>Đăng ký đã xác nhận và HV đã đóng đủ tiền. Không cần làm gì thêm.</v>
      </c>
      <c r="U14" s="223"/>
      <c r="V14" s="224" t="str">
        <f aca="false">IFERROR(VLOOKUP(B14,'DL09. Học viên'!$A:$B,2,FALSE()),"")</f>
        <v>Trương Mỹ Lan</v>
      </c>
      <c r="W14" s="224" t="str">
        <f aca="false">IFERROR(VLOOKUP(C14,'DL02. Khách tiềm năng'!$A:$E,5,FALSE()),"")</f>
        <v>Trương Mỹ Lan</v>
      </c>
      <c r="X14" s="224" t="str">
        <f aca="false">IFERROR(VLOOKUP(E14,'DL05. Khóa học'!$A:$B,2,FALSE()),"")</f>
        <v>Foundation PLA T7-CN</v>
      </c>
      <c r="Y14" s="4"/>
      <c r="Z14" s="4"/>
    </row>
    <row r="15" customFormat="false" ht="50.25" hidden="false" customHeight="true" outlineLevel="0" collapsed="false">
      <c r="A15" s="209" t="s">
        <v>2906</v>
      </c>
      <c r="B15" s="210" t="str">
        <f aca="false">IFERROR(HYPERLINK("#'DL09. Học viên'!A"&amp;MATCH("HV011",'DL09. Học viên'!A:A,0),"HV011"),"HV011")</f>
        <v>HV011</v>
      </c>
      <c r="C15" s="210" t="str">
        <f aca="false">IFERROR(HYPERLINK("#'DL09. Học viên'!A"&amp;MATCH("L-2026-00014",'DL02. Khách tiềm năng'!A:A,0),"L-2026-00014"),"L-2026-00014")</f>
        <v>L-2026-00014</v>
      </c>
      <c r="D15" s="210" t="str">
        <f aca="false">IFERROR(HYPERLINK("#'DL09. Học viên'!A"&amp;MATCH("CS-2026-010",'DL04. Tư vấn'!A:A,0),"CS-2026-010"),"CS-2026-010")</f>
        <v>CS-2026-010</v>
      </c>
      <c r="E15" s="210" t="str">
        <f aca="false">IFERROR(HYPERLINK("#'DL09. Học viên'!A"&amp;MATCH("CRS-IELTS-6.5",'DL05. Khóa học'!A:A,0),"CRS-IELTS-6.5"),"CRS-IELTS-6.5")</f>
        <v>CRS-IELTS-6.5</v>
      </c>
      <c r="F15" s="209" t="s">
        <v>364</v>
      </c>
      <c r="G15" s="211" t="n">
        <v>46182.375</v>
      </c>
      <c r="H15" s="219" t="n">
        <v>20000000</v>
      </c>
      <c r="I15" s="219" t="n">
        <v>0</v>
      </c>
      <c r="J15" s="209"/>
      <c r="K15" s="209"/>
      <c r="L15" s="209"/>
      <c r="M15" s="220" t="n">
        <f aca="false">H15-IFERROR(I15,0)</f>
        <v>20000000</v>
      </c>
      <c r="N15" s="220" t="n">
        <f aca="false">IFERROR(SUMIF('DL07. Thanh toán'!B:B,A15,'DL07. Thanh toán'!F:F),0)</f>
        <v>12000000</v>
      </c>
      <c r="O15" s="220" t="n">
        <f aca="false">M15-N15</f>
        <v>8000000</v>
      </c>
      <c r="P15" s="221" t="str">
        <f aca="false">IF(N15=0,"unpaid (Chưa thanh toán)",IF(N15&gt;=M15,"paid (Đã thanh toán đủ)","partial (Đã thanh toán 1 phần)"))</f>
        <v>partial (Đã thanh toán 1 phần)</v>
      </c>
      <c r="Q15" s="209"/>
      <c r="R15" s="209"/>
      <c r="S15" s="222" t="str">
        <f aca="false" t="array" ref="S15:S15">IF(AND(N15&gt;=thresholdDeposit_minimum,ISNUMBER(SEARCH("pending",F15))),INDEX('CH4. Thông điệp nhắc việc'!$G:$G,MATCH("NA087",'CH4. Thông điệp nhắc việc'!$A:$A,0)),IF(AND(ISNUMBER(SEARCH("paid",P15)),NOT(ISNUMBER(SEARCH("partial",P15))),NOT(ISNUMBER(SEARCH("unpaid",P15)))),INDEX('CH4. Thông điệp nhắc việc'!$G:$G,MATCH("NA088",'CH4. Thông điệp nhắc việc'!$A:$A,0)),""))</f>
        <v/>
      </c>
      <c r="T15" s="212" t="str">
        <f aca="true" t="array" ref="T15:T15">IF(ISNUMBER(SEARCH("cancelled",F15)),INDEX('CH4. Thông điệp nhắc việc'!$G:$G,MATCH("NA059",'CH4. Thông điệp nhắc việc'!$A:$A,0)),IF(AND(ISNUMBER(SEARCH("pending",F15)),(NOW()-N(G15))*24&gt;slaENR_cancel_hours),INDEX('CH4. Thông điệp nhắc việc'!$G:$G,MATCH("NA060",'CH4. Thông điệp nhắc việc'!$A:$A,0)),IF(AND(I15&gt;thresholdDiscount_approval,L15=""),INDEX('CH4. Thông điệp nhắc việc'!$G:$G,MATCH("NA061",'CH4. Thông điệp nhắc việc'!$A:$A,0)),IF(AND(ISNUMBER(SEARCH("pending",F15)),(NOW()-N(G15))*24&gt;slaENR_pending_hours),INDEX('CH4. Thông điệp nhắc việc'!$G:$G,MATCH("NA005",'CH4. Thông điệp nhắc việc'!$A:$A,0)),IF(AND(ISNUMBER(SEARCH("confirmed",F15)),ISNUMBER(SEARCH("unpaid",P15))),INDEX('CH4. Thông điệp nhắc việc'!$G:$G,MATCH("NA006",'CH4. Thông điệp nhắc việc'!$A:$A,0)),IF(AND(ISNUMBER(SEARCH("partial",P15)),O15&gt;0,(NOW()-N(G15))&gt;slaPayment_grace_days),INDEX('CH4. Thông điệp nhắc việc'!$G:$G,MATCH("NA007",'CH4. Thông điệp nhắc việc'!$A:$A,0)),IF(AND(ISNUMBER(SEARCH("confirmed",F15)),ISNUMBER(SEARCH("paid",P15))),INDEX('CH4. Thông điệp nhắc việc'!$G:$G,MATCH("NA009",'CH4. Thông điệp nhắc việc'!$A:$A,0)),"")))))))</f>
        <v>Còn khoản học phí chưa đóng và đã quá hạn 14 ngày (cấu hình slaPayment_grace_days). Việc cần làm: nhắc HV đóng phần còn lại ngay.</v>
      </c>
      <c r="U15" s="223"/>
      <c r="V15" s="224" t="str">
        <f aca="false">IFERROR(VLOOKUP(B15,'DL09. Học viên'!$A:$B,2,FALSE()),"")</f>
        <v>Phan Đức Minh</v>
      </c>
      <c r="W15" s="224" t="str">
        <f aca="false">IFERROR(VLOOKUP(C15,'DL02. Khách tiềm năng'!$A:$E,5,FALSE()),"")</f>
        <v>Phan Đức Minh</v>
      </c>
      <c r="X15" s="224" t="str">
        <f aca="false">IFERROR(VLOOKUP(E15,'DL05. Khóa học'!$A:$B,2,FALSE()),"")</f>
        <v>IELTS 6.5 4 tháng</v>
      </c>
      <c r="Y15" s="4"/>
      <c r="Z15" s="4"/>
    </row>
    <row r="16" customFormat="false" ht="50.25" hidden="false" customHeight="true" outlineLevel="0" collapsed="false">
      <c r="A16" s="209" t="s">
        <v>2907</v>
      </c>
      <c r="B16" s="210" t="str">
        <f aca="false">IFERROR(HYPERLINK("#'DL09. Học viên'!A"&amp;MATCH("HV012",'DL09. Học viên'!A:A,0),"HV012"),"HV012")</f>
        <v>HV012</v>
      </c>
      <c r="C16" s="210" t="str">
        <f aca="false">IFERROR(HYPERLINK("#'DL09. Học viên'!A"&amp;MATCH("L-2026-00015",'DL02. Khách tiềm năng'!A:A,0),"L-2026-00015"),"L-2026-00015")</f>
        <v>L-2026-00015</v>
      </c>
      <c r="D16" s="210" t="str">
        <f aca="false">IFERROR(HYPERLINK("#'DL09. Học viên'!A"&amp;MATCH("CS-2026-011",'DL04. Tư vấn'!A:A,0),"CS-2026-011"),"CS-2026-011")</f>
        <v>CS-2026-011</v>
      </c>
      <c r="E16" s="210" t="str">
        <f aca="false">IFERROR(HYPERLINK("#'DL09. Học viên'!A"&amp;MATCH("CRS-IELTS-6.0",'DL05. Khóa học'!A:A,0),"CRS-IELTS-6.0"),"CRS-IELTS-6.0")</f>
        <v>CRS-IELTS-6.0</v>
      </c>
      <c r="F16" s="209" t="s">
        <v>364</v>
      </c>
      <c r="G16" s="211" t="n">
        <v>46186.375</v>
      </c>
      <c r="H16" s="219" t="n">
        <v>15000000</v>
      </c>
      <c r="I16" s="219" t="n">
        <v>0</v>
      </c>
      <c r="J16" s="209"/>
      <c r="K16" s="209"/>
      <c r="L16" s="209"/>
      <c r="M16" s="220" t="n">
        <f aca="false">H16-IFERROR(I16,0)</f>
        <v>15000000</v>
      </c>
      <c r="N16" s="220" t="n">
        <f aca="false">IFERROR(SUMIF('DL07. Thanh toán'!B:B,A16,'DL07. Thanh toán'!F:F),0)</f>
        <v>15000000</v>
      </c>
      <c r="O16" s="220" t="n">
        <f aca="false">M16-N16</f>
        <v>0</v>
      </c>
      <c r="P16" s="221" t="str">
        <f aca="false">IF(N16=0,"unpaid (Chưa thanh toán)",IF(N16&gt;=M16,"paid (Đã thanh toán đủ)","partial (Đã thanh toán 1 phần)"))</f>
        <v>paid (Đã thanh toán đủ)</v>
      </c>
      <c r="Q16" s="209"/>
      <c r="R16" s="209"/>
      <c r="S16" s="222" t="str">
        <f aca="false" t="array" ref="S16:S16">IF(AND(N16&gt;=thresholdDeposit_minimum,ISNUMBER(SEARCH("pending",F16))),INDEX('CH4. Thông điệp nhắc việc'!$G:$G,MATCH("NA087",'CH4. Thông điệp nhắc việc'!$A:$A,0)),IF(AND(ISNUMBER(SEARCH("paid",P16)),NOT(ISNUMBER(SEARCH("partial",P16))),NOT(ISNUMBER(SEARCH("unpaid",P16)))),INDEX('CH4. Thông điệp nhắc việc'!$G:$G,MATCH("NA088",'CH4. Thông điệp nhắc việc'!$A:$A,0)),""))</f>
        <v>Đã thanh toán đủ - chuyển sang Onboarding (DL08) nếu chưa</v>
      </c>
      <c r="T16" s="212" t="str">
        <f aca="true" t="array" ref="T16:T16">IF(ISNUMBER(SEARCH("cancelled",F16)),INDEX('CH4. Thông điệp nhắc việc'!$G:$G,MATCH("NA059",'CH4. Thông điệp nhắc việc'!$A:$A,0)),IF(AND(ISNUMBER(SEARCH("pending",F16)),(NOW()-N(G16))*24&gt;slaENR_cancel_hours),INDEX('CH4. Thông điệp nhắc việc'!$G:$G,MATCH("NA060",'CH4. Thông điệp nhắc việc'!$A:$A,0)),IF(AND(I16&gt;thresholdDiscount_approval,L16=""),INDEX('CH4. Thông điệp nhắc việc'!$G:$G,MATCH("NA061",'CH4. Thông điệp nhắc việc'!$A:$A,0)),IF(AND(ISNUMBER(SEARCH("pending",F16)),(NOW()-N(G16))*24&gt;slaENR_pending_hours),INDEX('CH4. Thông điệp nhắc việc'!$G:$G,MATCH("NA005",'CH4. Thông điệp nhắc việc'!$A:$A,0)),IF(AND(ISNUMBER(SEARCH("confirmed",F16)),ISNUMBER(SEARCH("unpaid",P16))),INDEX('CH4. Thông điệp nhắc việc'!$G:$G,MATCH("NA006",'CH4. Thông điệp nhắc việc'!$A:$A,0)),IF(AND(ISNUMBER(SEARCH("partial",P16)),O16&gt;0,(NOW()-N(G16))&gt;slaPayment_grace_days),INDEX('CH4. Thông điệp nhắc việc'!$G:$G,MATCH("NA007",'CH4. Thông điệp nhắc việc'!$A:$A,0)),IF(AND(ISNUMBER(SEARCH("confirmed",F16)),ISNUMBER(SEARCH("paid",P16))),INDEX('CH4. Thông điệp nhắc việc'!$G:$G,MATCH("NA009",'CH4. Thông điệp nhắc việc'!$A:$A,0)),"")))))))</f>
        <v>Đăng ký đã xác nhận và HV đã đóng đủ tiền. Không cần làm gì thêm.</v>
      </c>
      <c r="U16" s="223"/>
      <c r="V16" s="224" t="str">
        <f aca="false">IFERROR(VLOOKUP(B16,'DL09. Học viên'!$A:$B,2,FALSE()),"")</f>
        <v>Vũ Thảo Nhi</v>
      </c>
      <c r="W16" s="224" t="str">
        <f aca="false">IFERROR(VLOOKUP(C16,'DL02. Khách tiềm năng'!$A:$E,5,FALSE()),"")</f>
        <v>Vũ Thảo Nhi</v>
      </c>
      <c r="X16" s="224" t="str">
        <f aca="false">IFERROR(VLOOKUP(E16,'DL05. Khóa học'!$A:$B,2,FALSE()),"")</f>
        <v>IELTS 6.0 4 tháng</v>
      </c>
      <c r="Y16" s="4"/>
      <c r="Z16" s="4"/>
    </row>
    <row r="17" customFormat="false" ht="50.25" hidden="false" customHeight="true" outlineLevel="0" collapsed="false">
      <c r="A17" s="209" t="s">
        <v>2908</v>
      </c>
      <c r="B17" s="210" t="str">
        <f aca="false">IFERROR(HYPERLINK("#'DL09. Học viên'!A"&amp;MATCH("HV013",'DL09. Học viên'!A:A,0),"HV013"),"HV013")</f>
        <v>HV013</v>
      </c>
      <c r="C17" s="210" t="str">
        <f aca="false">IFERROR(HYPERLINK("#'DL09. Học viên'!A"&amp;MATCH("L-2026-00016",'DL02. Khách tiềm năng'!A:A,0),"L-2026-00016"),"L-2026-00016")</f>
        <v>L-2026-00016</v>
      </c>
      <c r="D17" s="210" t="str">
        <f aca="false">IFERROR(HYPERLINK("#'DL09. Học viên'!A"&amp;MATCH("CS-2026-012",'DL04. Tư vấn'!A:A,0),"CS-2026-012"),"CS-2026-012")</f>
        <v>CS-2026-012</v>
      </c>
      <c r="E17" s="210" t="str">
        <f aca="false">IFERROR(HYPERLINK("#'DL09. Học viên'!A"&amp;MATCH("CRS-IELTS-7.0",'DL05. Khóa học'!A:A,0),"CRS-IELTS-7.0"),"CRS-IELTS-7.0")</f>
        <v>CRS-IELTS-7.0</v>
      </c>
      <c r="F17" s="209" t="s">
        <v>364</v>
      </c>
      <c r="G17" s="211" t="n">
        <v>46190.375</v>
      </c>
      <c r="H17" s="219" t="n">
        <v>25000000</v>
      </c>
      <c r="I17" s="219" t="n">
        <v>0</v>
      </c>
      <c r="J17" s="209"/>
      <c r="K17" s="209"/>
      <c r="L17" s="209"/>
      <c r="M17" s="220" t="n">
        <f aca="false">H17-IFERROR(I17,0)</f>
        <v>25000000</v>
      </c>
      <c r="N17" s="220" t="n">
        <f aca="false">IFERROR(SUMIF('DL07. Thanh toán'!B:B,A17,'DL07. Thanh toán'!F:F),0)</f>
        <v>25000000</v>
      </c>
      <c r="O17" s="220" t="n">
        <f aca="false">M17-N17</f>
        <v>0</v>
      </c>
      <c r="P17" s="221" t="str">
        <f aca="false">IF(N17=0,"unpaid (Chưa thanh toán)",IF(N17&gt;=M17,"paid (Đã thanh toán đủ)","partial (Đã thanh toán 1 phần)"))</f>
        <v>paid (Đã thanh toán đủ)</v>
      </c>
      <c r="Q17" s="209"/>
      <c r="R17" s="209"/>
      <c r="S17" s="222" t="str">
        <f aca="false" t="array" ref="S17:S17">IF(AND(N17&gt;=thresholdDeposit_minimum,ISNUMBER(SEARCH("pending",F17))),INDEX('CH4. Thông điệp nhắc việc'!$G:$G,MATCH("NA087",'CH4. Thông điệp nhắc việc'!$A:$A,0)),IF(AND(ISNUMBER(SEARCH("paid",P17)),NOT(ISNUMBER(SEARCH("partial",P17))),NOT(ISNUMBER(SEARCH("unpaid",P17)))),INDEX('CH4. Thông điệp nhắc việc'!$G:$G,MATCH("NA088",'CH4. Thông điệp nhắc việc'!$A:$A,0)),""))</f>
        <v>Đã thanh toán đủ - chuyển sang Onboarding (DL08) nếu chưa</v>
      </c>
      <c r="T17" s="212" t="str">
        <f aca="true" t="array" ref="T17:T17">IF(ISNUMBER(SEARCH("cancelled",F17)),INDEX('CH4. Thông điệp nhắc việc'!$G:$G,MATCH("NA059",'CH4. Thông điệp nhắc việc'!$A:$A,0)),IF(AND(ISNUMBER(SEARCH("pending",F17)),(NOW()-N(G17))*24&gt;slaENR_cancel_hours),INDEX('CH4. Thông điệp nhắc việc'!$G:$G,MATCH("NA060",'CH4. Thông điệp nhắc việc'!$A:$A,0)),IF(AND(I17&gt;thresholdDiscount_approval,L17=""),INDEX('CH4. Thông điệp nhắc việc'!$G:$G,MATCH("NA061",'CH4. Thông điệp nhắc việc'!$A:$A,0)),IF(AND(ISNUMBER(SEARCH("pending",F17)),(NOW()-N(G17))*24&gt;slaENR_pending_hours),INDEX('CH4. Thông điệp nhắc việc'!$G:$G,MATCH("NA005",'CH4. Thông điệp nhắc việc'!$A:$A,0)),IF(AND(ISNUMBER(SEARCH("confirmed",F17)),ISNUMBER(SEARCH("unpaid",P17))),INDEX('CH4. Thông điệp nhắc việc'!$G:$G,MATCH("NA006",'CH4. Thông điệp nhắc việc'!$A:$A,0)),IF(AND(ISNUMBER(SEARCH("partial",P17)),O17&gt;0,(NOW()-N(G17))&gt;slaPayment_grace_days),INDEX('CH4. Thông điệp nhắc việc'!$G:$G,MATCH("NA007",'CH4. Thông điệp nhắc việc'!$A:$A,0)),IF(AND(ISNUMBER(SEARCH("confirmed",F17)),ISNUMBER(SEARCH("paid",P17))),INDEX('CH4. Thông điệp nhắc việc'!$G:$G,MATCH("NA009",'CH4. Thông điệp nhắc việc'!$A:$A,0)),"")))))))</f>
        <v>Đăng ký đã xác nhận và HV đã đóng đủ tiền. Không cần làm gì thêm.</v>
      </c>
      <c r="U17" s="223"/>
      <c r="V17" s="224" t="str">
        <f aca="false">IFERROR(VLOOKUP(B17,'DL09. Học viên'!$A:$B,2,FALSE()),"")</f>
        <v>Đinh Công Phú</v>
      </c>
      <c r="W17" s="224" t="str">
        <f aca="false">IFERROR(VLOOKUP(C17,'DL02. Khách tiềm năng'!$A:$E,5,FALSE()),"")</f>
        <v>Đinh Công Phú</v>
      </c>
      <c r="X17" s="224" t="str">
        <f aca="false">IFERROR(VLOOKUP(E17,'DL05. Khóa học'!$A:$B,2,FALSE()),"")</f>
        <v>IELTS 7.0+ 4 tháng</v>
      </c>
      <c r="Y17" s="4"/>
      <c r="Z17" s="4"/>
    </row>
    <row r="18" customFormat="false" ht="50.25" hidden="false" customHeight="true" outlineLevel="0" collapsed="false">
      <c r="A18" s="209" t="s">
        <v>2909</v>
      </c>
      <c r="B18" s="210" t="str">
        <f aca="false">IFERROR(HYPERLINK("#'DL09. Học viên'!A"&amp;MATCH("HV014",'DL09. Học viên'!A:A,0),"HV014"),"HV014")</f>
        <v>HV014</v>
      </c>
      <c r="C18" s="210" t="str">
        <f aca="false">IFERROR(HYPERLINK("#'DL09. Học viên'!A"&amp;MATCH("L-2026-00017",'DL02. Khách tiềm năng'!A:A,0),"L-2026-00017"),"L-2026-00017")</f>
        <v>L-2026-00017</v>
      </c>
      <c r="D18" s="210" t="str">
        <f aca="false">IFERROR(HYPERLINK("#'DL09. Học viên'!A"&amp;MATCH("CS-2026-013",'DL04. Tư vấn'!A:A,0),"CS-2026-013"),"CS-2026-013")</f>
        <v>CS-2026-013</v>
      </c>
      <c r="E18" s="210" t="str">
        <f aca="false">IFERROR(HYPERLINK("#'DL09. Học viên'!A"&amp;MATCH("CRS-IELTS-6.5",'DL05. Khóa học'!A:A,0),"CRS-IELTS-6.5"),"CRS-IELTS-6.5")</f>
        <v>CRS-IELTS-6.5</v>
      </c>
      <c r="F18" s="209" t="s">
        <v>364</v>
      </c>
      <c r="G18" s="211" t="n">
        <v>46198.375</v>
      </c>
      <c r="H18" s="219" t="n">
        <v>20000000</v>
      </c>
      <c r="I18" s="219" t="n">
        <v>0</v>
      </c>
      <c r="J18" s="209"/>
      <c r="K18" s="209"/>
      <c r="L18" s="209"/>
      <c r="M18" s="220" t="n">
        <f aca="false">H18-IFERROR(I18,0)</f>
        <v>20000000</v>
      </c>
      <c r="N18" s="220" t="n">
        <f aca="false">IFERROR(SUMIF('DL07. Thanh toán'!B:B,A18,'DL07. Thanh toán'!F:F),0)</f>
        <v>20000000</v>
      </c>
      <c r="O18" s="220" t="n">
        <f aca="false">M18-N18</f>
        <v>0</v>
      </c>
      <c r="P18" s="221" t="str">
        <f aca="false">IF(N18=0,"unpaid (Chưa thanh toán)",IF(N18&gt;=M18,"paid (Đã thanh toán đủ)","partial (Đã thanh toán 1 phần)"))</f>
        <v>paid (Đã thanh toán đủ)</v>
      </c>
      <c r="Q18" s="209"/>
      <c r="R18" s="209"/>
      <c r="S18" s="222" t="str">
        <f aca="false" t="array" ref="S18:S18">IF(AND(N18&gt;=thresholdDeposit_minimum,ISNUMBER(SEARCH("pending",F18))),INDEX('CH4. Thông điệp nhắc việc'!$G:$G,MATCH("NA087",'CH4. Thông điệp nhắc việc'!$A:$A,0)),IF(AND(ISNUMBER(SEARCH("paid",P18)),NOT(ISNUMBER(SEARCH("partial",P18))),NOT(ISNUMBER(SEARCH("unpaid",P18)))),INDEX('CH4. Thông điệp nhắc việc'!$G:$G,MATCH("NA088",'CH4. Thông điệp nhắc việc'!$A:$A,0)),""))</f>
        <v>Đã thanh toán đủ - chuyển sang Onboarding (DL08) nếu chưa</v>
      </c>
      <c r="T18" s="212" t="str">
        <f aca="true" t="array" ref="T18:T18">IF(ISNUMBER(SEARCH("cancelled",F18)),INDEX('CH4. Thông điệp nhắc việc'!$G:$G,MATCH("NA059",'CH4. Thông điệp nhắc việc'!$A:$A,0)),IF(AND(ISNUMBER(SEARCH("pending",F18)),(NOW()-N(G18))*24&gt;slaENR_cancel_hours),INDEX('CH4. Thông điệp nhắc việc'!$G:$G,MATCH("NA060",'CH4. Thông điệp nhắc việc'!$A:$A,0)),IF(AND(I18&gt;thresholdDiscount_approval,L18=""),INDEX('CH4. Thông điệp nhắc việc'!$G:$G,MATCH("NA061",'CH4. Thông điệp nhắc việc'!$A:$A,0)),IF(AND(ISNUMBER(SEARCH("pending",F18)),(NOW()-N(G18))*24&gt;slaENR_pending_hours),INDEX('CH4. Thông điệp nhắc việc'!$G:$G,MATCH("NA005",'CH4. Thông điệp nhắc việc'!$A:$A,0)),IF(AND(ISNUMBER(SEARCH("confirmed",F18)),ISNUMBER(SEARCH("unpaid",P18))),INDEX('CH4. Thông điệp nhắc việc'!$G:$G,MATCH("NA006",'CH4. Thông điệp nhắc việc'!$A:$A,0)),IF(AND(ISNUMBER(SEARCH("partial",P18)),O18&gt;0,(NOW()-N(G18))&gt;slaPayment_grace_days),INDEX('CH4. Thông điệp nhắc việc'!$G:$G,MATCH("NA007",'CH4. Thông điệp nhắc việc'!$A:$A,0)),IF(AND(ISNUMBER(SEARCH("confirmed",F18)),ISNUMBER(SEARCH("paid",P18))),INDEX('CH4. Thông điệp nhắc việc'!$G:$G,MATCH("NA009",'CH4. Thông điệp nhắc việc'!$A:$A,0)),"")))))))</f>
        <v>Đăng ký đã xác nhận và HV đã đóng đủ tiền. Không cần làm gì thêm.</v>
      </c>
      <c r="U18" s="223"/>
      <c r="V18" s="224" t="str">
        <f aca="false">IFERROR(VLOOKUP(B18,'DL09. Học viên'!$A:$B,2,FALSE()),"")</f>
        <v>Mai Xuân Quỳnh</v>
      </c>
      <c r="W18" s="224" t="str">
        <f aca="false">IFERROR(VLOOKUP(C18,'DL02. Khách tiềm năng'!$A:$E,5,FALSE()),"")</f>
        <v>Mai Xuân Quỳnh</v>
      </c>
      <c r="X18" s="224" t="str">
        <f aca="false">IFERROR(VLOOKUP(E18,'DL05. Khóa học'!$A:$B,2,FALSE()),"")</f>
        <v>IELTS 6.5 4 tháng</v>
      </c>
      <c r="Y18" s="4"/>
      <c r="Z18" s="4"/>
    </row>
    <row r="19" customFormat="false" ht="15" hidden="false" customHeight="true" outlineLevel="0" collapsed="false">
      <c r="A19" s="4"/>
      <c r="B19" s="4"/>
      <c r="C19" s="4"/>
      <c r="D19" s="4"/>
      <c r="E19" s="4"/>
      <c r="F19" s="4"/>
      <c r="G19" s="194"/>
      <c r="H19" s="225"/>
      <c r="I19" s="225"/>
      <c r="J19" s="4"/>
      <c r="K19" s="4"/>
      <c r="L19" s="4"/>
      <c r="M19" s="225"/>
      <c r="N19" s="225"/>
      <c r="O19" s="225"/>
      <c r="P19" s="4"/>
      <c r="Q19" s="4"/>
      <c r="R19" s="4"/>
      <c r="S19" s="4"/>
      <c r="T19" s="4"/>
      <c r="U19" s="194"/>
      <c r="V19" s="4"/>
      <c r="W19" s="4"/>
      <c r="X19" s="4"/>
      <c r="Y19" s="4"/>
      <c r="Z19" s="4"/>
    </row>
    <row r="20" customFormat="false" ht="15" hidden="false" customHeight="true" outlineLevel="0" collapsed="false">
      <c r="A20" s="4"/>
      <c r="B20" s="4"/>
      <c r="C20" s="4"/>
      <c r="D20" s="4"/>
      <c r="E20" s="4"/>
      <c r="F20" s="4"/>
      <c r="G20" s="194"/>
      <c r="H20" s="225"/>
      <c r="I20" s="225"/>
      <c r="J20" s="4"/>
      <c r="K20" s="4"/>
      <c r="L20" s="4"/>
      <c r="M20" s="225"/>
      <c r="N20" s="225"/>
      <c r="O20" s="225"/>
      <c r="P20" s="4"/>
      <c r="Q20" s="4"/>
      <c r="R20" s="4"/>
      <c r="S20" s="4"/>
      <c r="T20" s="4"/>
      <c r="U20" s="194"/>
      <c r="V20" s="4"/>
      <c r="W20" s="4"/>
      <c r="X20" s="4"/>
      <c r="Y20" s="4"/>
      <c r="Z20" s="4"/>
    </row>
    <row r="21" customFormat="false" ht="15.75" hidden="false" customHeight="true" outlineLevel="0" collapsed="false">
      <c r="A21" s="4"/>
      <c r="B21" s="4"/>
      <c r="C21" s="4"/>
      <c r="D21" s="4"/>
      <c r="E21" s="4"/>
      <c r="F21" s="4"/>
      <c r="G21" s="194"/>
      <c r="H21" s="225"/>
      <c r="I21" s="225"/>
      <c r="J21" s="4"/>
      <c r="K21" s="4"/>
      <c r="L21" s="4"/>
      <c r="M21" s="225"/>
      <c r="N21" s="225"/>
      <c r="O21" s="225"/>
      <c r="P21" s="4"/>
      <c r="Q21" s="4"/>
      <c r="R21" s="4"/>
      <c r="S21" s="4"/>
      <c r="T21" s="4"/>
      <c r="U21" s="194"/>
      <c r="V21" s="4"/>
      <c r="W21" s="4"/>
      <c r="X21" s="4"/>
      <c r="Y21" s="4"/>
      <c r="Z21" s="4"/>
    </row>
    <row r="22" customFormat="false" ht="15.75" hidden="false" customHeight="true" outlineLevel="0" collapsed="false">
      <c r="A22" s="4"/>
      <c r="B22" s="4"/>
      <c r="C22" s="4"/>
      <c r="D22" s="4"/>
      <c r="E22" s="4"/>
      <c r="F22" s="4"/>
      <c r="G22" s="194"/>
      <c r="H22" s="225"/>
      <c r="I22" s="225"/>
      <c r="J22" s="4"/>
      <c r="K22" s="4"/>
      <c r="L22" s="4"/>
      <c r="M22" s="225"/>
      <c r="N22" s="225"/>
      <c r="O22" s="225"/>
      <c r="P22" s="4"/>
      <c r="Q22" s="4"/>
      <c r="R22" s="4"/>
      <c r="S22" s="4"/>
      <c r="T22" s="4"/>
      <c r="U22" s="194"/>
      <c r="V22" s="4"/>
      <c r="W22" s="4"/>
      <c r="X22" s="4"/>
      <c r="Y22" s="4"/>
      <c r="Z22" s="4"/>
    </row>
    <row r="23" customFormat="false" ht="15.75" hidden="false" customHeight="true" outlineLevel="0" collapsed="false">
      <c r="A23" s="4"/>
      <c r="B23" s="4"/>
      <c r="C23" s="4"/>
      <c r="D23" s="4"/>
      <c r="E23" s="4"/>
      <c r="F23" s="4"/>
      <c r="G23" s="194"/>
      <c r="H23" s="225"/>
      <c r="I23" s="225"/>
      <c r="J23" s="4"/>
      <c r="K23" s="4"/>
      <c r="L23" s="4"/>
      <c r="M23" s="225"/>
      <c r="N23" s="225"/>
      <c r="O23" s="225"/>
      <c r="P23" s="4"/>
      <c r="Q23" s="4"/>
      <c r="R23" s="4"/>
      <c r="S23" s="4"/>
      <c r="T23" s="4"/>
      <c r="U23" s="194"/>
      <c r="V23" s="4"/>
      <c r="W23" s="4"/>
      <c r="X23" s="4"/>
      <c r="Y23" s="4"/>
      <c r="Z23" s="4"/>
    </row>
    <row r="24" customFormat="false" ht="15.75" hidden="false" customHeight="true" outlineLevel="0" collapsed="false">
      <c r="A24" s="4"/>
      <c r="B24" s="4"/>
      <c r="C24" s="4"/>
      <c r="D24" s="4"/>
      <c r="E24" s="4"/>
      <c r="F24" s="4"/>
      <c r="G24" s="194"/>
      <c r="H24" s="225"/>
      <c r="I24" s="225"/>
      <c r="J24" s="4"/>
      <c r="K24" s="4"/>
      <c r="L24" s="4"/>
      <c r="M24" s="225"/>
      <c r="N24" s="225"/>
      <c r="O24" s="225"/>
      <c r="P24" s="4"/>
      <c r="Q24" s="4"/>
      <c r="R24" s="4"/>
      <c r="S24" s="4"/>
      <c r="T24" s="4"/>
      <c r="U24" s="194"/>
      <c r="V24" s="4"/>
      <c r="W24" s="4"/>
      <c r="X24" s="4"/>
      <c r="Y24" s="4"/>
      <c r="Z24" s="4"/>
    </row>
    <row r="25" customFormat="false" ht="15.75" hidden="false" customHeight="true" outlineLevel="0" collapsed="false">
      <c r="A25" s="4"/>
      <c r="B25" s="4"/>
      <c r="C25" s="4"/>
      <c r="D25" s="4"/>
      <c r="E25" s="4"/>
      <c r="F25" s="4"/>
      <c r="G25" s="194"/>
      <c r="H25" s="225"/>
      <c r="I25" s="225"/>
      <c r="J25" s="4"/>
      <c r="K25" s="4"/>
      <c r="L25" s="4"/>
      <c r="M25" s="225"/>
      <c r="N25" s="225"/>
      <c r="O25" s="225"/>
      <c r="P25" s="4"/>
      <c r="Q25" s="4"/>
      <c r="R25" s="4"/>
      <c r="S25" s="4"/>
      <c r="T25" s="4"/>
      <c r="U25" s="194"/>
      <c r="V25" s="4"/>
      <c r="W25" s="4"/>
      <c r="X25" s="4"/>
      <c r="Y25" s="4"/>
      <c r="Z25" s="4"/>
    </row>
    <row r="26" customFormat="false" ht="15.75" hidden="false" customHeight="true" outlineLevel="0" collapsed="false">
      <c r="A26" s="4"/>
      <c r="B26" s="4"/>
      <c r="C26" s="4"/>
      <c r="D26" s="4"/>
      <c r="E26" s="4"/>
      <c r="F26" s="4"/>
      <c r="G26" s="194"/>
      <c r="H26" s="225"/>
      <c r="I26" s="225"/>
      <c r="J26" s="4"/>
      <c r="K26" s="4"/>
      <c r="L26" s="4"/>
      <c r="M26" s="225"/>
      <c r="N26" s="225"/>
      <c r="O26" s="225"/>
      <c r="P26" s="4"/>
      <c r="Q26" s="4"/>
      <c r="R26" s="4"/>
      <c r="S26" s="4"/>
      <c r="T26" s="4"/>
      <c r="U26" s="194"/>
      <c r="V26" s="4"/>
      <c r="W26" s="4"/>
      <c r="X26" s="4"/>
      <c r="Y26" s="4"/>
      <c r="Z26" s="4"/>
    </row>
    <row r="27" customFormat="false" ht="15.75" hidden="false" customHeight="true" outlineLevel="0" collapsed="false">
      <c r="A27" s="4"/>
      <c r="B27" s="4"/>
      <c r="C27" s="4"/>
      <c r="D27" s="4"/>
      <c r="E27" s="4"/>
      <c r="F27" s="4"/>
      <c r="G27" s="194"/>
      <c r="H27" s="225"/>
      <c r="I27" s="225"/>
      <c r="J27" s="4"/>
      <c r="K27" s="4"/>
      <c r="L27" s="4"/>
      <c r="M27" s="225"/>
      <c r="N27" s="225"/>
      <c r="O27" s="225"/>
      <c r="P27" s="4"/>
      <c r="Q27" s="4"/>
      <c r="R27" s="4"/>
      <c r="S27" s="4"/>
      <c r="T27" s="4"/>
      <c r="U27" s="194"/>
      <c r="V27" s="4"/>
      <c r="W27" s="4"/>
      <c r="X27" s="4"/>
      <c r="Y27" s="4"/>
      <c r="Z27" s="4"/>
    </row>
    <row r="28" customFormat="false" ht="15.75" hidden="false" customHeight="true" outlineLevel="0" collapsed="false">
      <c r="A28" s="4"/>
      <c r="B28" s="4"/>
      <c r="C28" s="4"/>
      <c r="D28" s="4"/>
      <c r="E28" s="4"/>
      <c r="F28" s="4"/>
      <c r="G28" s="194"/>
      <c r="H28" s="225"/>
      <c r="I28" s="225"/>
      <c r="J28" s="4"/>
      <c r="K28" s="4"/>
      <c r="L28" s="4"/>
      <c r="M28" s="225"/>
      <c r="N28" s="225"/>
      <c r="O28" s="225"/>
      <c r="P28" s="4"/>
      <c r="Q28" s="4"/>
      <c r="R28" s="4"/>
      <c r="S28" s="4"/>
      <c r="T28" s="4"/>
      <c r="U28" s="194"/>
      <c r="V28" s="4"/>
      <c r="W28" s="4"/>
      <c r="X28" s="4"/>
      <c r="Y28" s="4"/>
      <c r="Z28" s="4"/>
    </row>
    <row r="29" customFormat="false" ht="15.75" hidden="false" customHeight="true" outlineLevel="0" collapsed="false">
      <c r="A29" s="4"/>
      <c r="B29" s="4"/>
      <c r="C29" s="4"/>
      <c r="D29" s="4"/>
      <c r="E29" s="4"/>
      <c r="F29" s="4"/>
      <c r="G29" s="194"/>
      <c r="H29" s="225"/>
      <c r="I29" s="225"/>
      <c r="J29" s="4"/>
      <c r="K29" s="4"/>
      <c r="L29" s="4"/>
      <c r="M29" s="225"/>
      <c r="N29" s="225"/>
      <c r="O29" s="225"/>
      <c r="P29" s="4"/>
      <c r="Q29" s="4"/>
      <c r="R29" s="4"/>
      <c r="S29" s="4"/>
      <c r="T29" s="4"/>
      <c r="U29" s="194"/>
      <c r="V29" s="4"/>
      <c r="W29" s="4"/>
      <c r="X29" s="4"/>
      <c r="Y29" s="4"/>
      <c r="Z29" s="4"/>
    </row>
    <row r="30" customFormat="false" ht="15.75" hidden="false" customHeight="true" outlineLevel="0" collapsed="false">
      <c r="A30" s="4"/>
      <c r="B30" s="4"/>
      <c r="C30" s="4"/>
      <c r="D30" s="4"/>
      <c r="E30" s="4"/>
      <c r="F30" s="4"/>
      <c r="G30" s="194"/>
      <c r="H30" s="225"/>
      <c r="I30" s="225"/>
      <c r="J30" s="4"/>
      <c r="K30" s="4"/>
      <c r="L30" s="4"/>
      <c r="M30" s="225"/>
      <c r="N30" s="225"/>
      <c r="O30" s="225"/>
      <c r="P30" s="4"/>
      <c r="Q30" s="4"/>
      <c r="R30" s="4"/>
      <c r="S30" s="4"/>
      <c r="T30" s="4"/>
      <c r="U30" s="194"/>
      <c r="V30" s="4"/>
      <c r="W30" s="4"/>
      <c r="X30" s="4"/>
      <c r="Y30" s="4"/>
      <c r="Z30" s="4"/>
    </row>
    <row r="31" customFormat="false" ht="15.75" hidden="false" customHeight="true" outlineLevel="0" collapsed="false">
      <c r="A31" s="4"/>
      <c r="B31" s="4"/>
      <c r="C31" s="4"/>
      <c r="D31" s="4"/>
      <c r="E31" s="4"/>
      <c r="F31" s="4"/>
      <c r="G31" s="194"/>
      <c r="H31" s="225"/>
      <c r="I31" s="225"/>
      <c r="J31" s="4"/>
      <c r="K31" s="4"/>
      <c r="L31" s="4"/>
      <c r="M31" s="225"/>
      <c r="N31" s="225"/>
      <c r="O31" s="225"/>
      <c r="P31" s="4"/>
      <c r="Q31" s="4"/>
      <c r="R31" s="4"/>
      <c r="S31" s="4"/>
      <c r="T31" s="4"/>
      <c r="U31" s="194"/>
      <c r="V31" s="4"/>
      <c r="W31" s="4"/>
      <c r="X31" s="4"/>
      <c r="Y31" s="4"/>
      <c r="Z31" s="4"/>
    </row>
    <row r="32" customFormat="false" ht="15.75" hidden="false" customHeight="true" outlineLevel="0" collapsed="false">
      <c r="A32" s="4"/>
      <c r="B32" s="4"/>
      <c r="C32" s="4"/>
      <c r="D32" s="4"/>
      <c r="E32" s="4"/>
      <c r="F32" s="4"/>
      <c r="G32" s="194"/>
      <c r="H32" s="225"/>
      <c r="I32" s="225"/>
      <c r="J32" s="4"/>
      <c r="K32" s="4"/>
      <c r="L32" s="4"/>
      <c r="M32" s="225"/>
      <c r="N32" s="225"/>
      <c r="O32" s="225"/>
      <c r="P32" s="4"/>
      <c r="Q32" s="4"/>
      <c r="R32" s="4"/>
      <c r="S32" s="4"/>
      <c r="T32" s="4"/>
      <c r="U32" s="194"/>
      <c r="V32" s="4"/>
      <c r="W32" s="4"/>
      <c r="X32" s="4"/>
      <c r="Y32" s="4"/>
      <c r="Z32" s="4"/>
    </row>
    <row r="33" customFormat="false" ht="15.75" hidden="false" customHeight="true" outlineLevel="0" collapsed="false">
      <c r="A33" s="4"/>
      <c r="B33" s="4"/>
      <c r="C33" s="4"/>
      <c r="D33" s="4"/>
      <c r="E33" s="4"/>
      <c r="F33" s="4"/>
      <c r="G33" s="194"/>
      <c r="H33" s="225"/>
      <c r="I33" s="225"/>
      <c r="J33" s="4"/>
      <c r="K33" s="4"/>
      <c r="L33" s="4"/>
      <c r="M33" s="225"/>
      <c r="N33" s="225"/>
      <c r="O33" s="225"/>
      <c r="P33" s="4"/>
      <c r="Q33" s="4"/>
      <c r="R33" s="4"/>
      <c r="S33" s="4"/>
      <c r="T33" s="4"/>
      <c r="U33" s="194"/>
      <c r="V33" s="4"/>
      <c r="W33" s="4"/>
      <c r="X33" s="4"/>
      <c r="Y33" s="4"/>
      <c r="Z33" s="4"/>
    </row>
    <row r="34" customFormat="false" ht="15.75" hidden="false" customHeight="true" outlineLevel="0" collapsed="false">
      <c r="A34" s="4"/>
      <c r="B34" s="4"/>
      <c r="C34" s="4"/>
      <c r="D34" s="4"/>
      <c r="E34" s="4"/>
      <c r="F34" s="4"/>
      <c r="G34" s="194"/>
      <c r="H34" s="225"/>
      <c r="I34" s="225"/>
      <c r="J34" s="4"/>
      <c r="K34" s="4"/>
      <c r="L34" s="4"/>
      <c r="M34" s="225"/>
      <c r="N34" s="225"/>
      <c r="O34" s="225"/>
      <c r="P34" s="4"/>
      <c r="Q34" s="4"/>
      <c r="R34" s="4"/>
      <c r="S34" s="4"/>
      <c r="T34" s="4"/>
      <c r="U34" s="194"/>
      <c r="V34" s="4"/>
      <c r="W34" s="4"/>
      <c r="X34" s="4"/>
      <c r="Y34" s="4"/>
      <c r="Z34" s="4"/>
    </row>
    <row r="35" customFormat="false" ht="15.75" hidden="false" customHeight="true" outlineLevel="0" collapsed="false">
      <c r="A35" s="4"/>
      <c r="B35" s="4"/>
      <c r="C35" s="4"/>
      <c r="D35" s="4"/>
      <c r="E35" s="4"/>
      <c r="F35" s="4"/>
      <c r="G35" s="194"/>
      <c r="H35" s="225"/>
      <c r="I35" s="225"/>
      <c r="J35" s="4"/>
      <c r="K35" s="4"/>
      <c r="L35" s="4"/>
      <c r="M35" s="225"/>
      <c r="N35" s="225"/>
      <c r="O35" s="225"/>
      <c r="P35" s="4"/>
      <c r="Q35" s="4"/>
      <c r="R35" s="4"/>
      <c r="S35" s="4"/>
      <c r="T35" s="4"/>
      <c r="U35" s="194"/>
      <c r="V35" s="4"/>
      <c r="W35" s="4"/>
      <c r="X35" s="4"/>
      <c r="Y35" s="4"/>
      <c r="Z35" s="4"/>
    </row>
    <row r="36" customFormat="false" ht="15.75" hidden="false" customHeight="true" outlineLevel="0" collapsed="false">
      <c r="A36" s="4"/>
      <c r="B36" s="4"/>
      <c r="C36" s="4"/>
      <c r="D36" s="4"/>
      <c r="E36" s="4"/>
      <c r="F36" s="4"/>
      <c r="G36" s="194"/>
      <c r="H36" s="225"/>
      <c r="I36" s="225"/>
      <c r="J36" s="4"/>
      <c r="K36" s="4"/>
      <c r="L36" s="4"/>
      <c r="M36" s="225"/>
      <c r="N36" s="225"/>
      <c r="O36" s="225"/>
      <c r="P36" s="4"/>
      <c r="Q36" s="4"/>
      <c r="R36" s="4"/>
      <c r="S36" s="4"/>
      <c r="T36" s="4"/>
      <c r="U36" s="194"/>
      <c r="V36" s="4"/>
      <c r="W36" s="4"/>
      <c r="X36" s="4"/>
      <c r="Y36" s="4"/>
      <c r="Z36" s="4"/>
    </row>
    <row r="37" customFormat="false" ht="15.75" hidden="false" customHeight="true" outlineLevel="0" collapsed="false">
      <c r="A37" s="4"/>
      <c r="B37" s="4"/>
      <c r="C37" s="4"/>
      <c r="D37" s="4"/>
      <c r="E37" s="4"/>
      <c r="F37" s="4"/>
      <c r="G37" s="194"/>
      <c r="H37" s="225"/>
      <c r="I37" s="225"/>
      <c r="J37" s="4"/>
      <c r="K37" s="4"/>
      <c r="L37" s="4"/>
      <c r="M37" s="225"/>
      <c r="N37" s="225"/>
      <c r="O37" s="225"/>
      <c r="P37" s="4"/>
      <c r="Q37" s="4"/>
      <c r="R37" s="4"/>
      <c r="S37" s="4"/>
      <c r="T37" s="4"/>
      <c r="U37" s="194"/>
      <c r="V37" s="4"/>
      <c r="W37" s="4"/>
      <c r="X37" s="4"/>
      <c r="Y37" s="4"/>
      <c r="Z37" s="4"/>
    </row>
    <row r="38" customFormat="false" ht="15.75" hidden="false" customHeight="true" outlineLevel="0" collapsed="false">
      <c r="A38" s="4"/>
      <c r="B38" s="4"/>
      <c r="C38" s="4"/>
      <c r="D38" s="4"/>
      <c r="E38" s="4"/>
      <c r="F38" s="4"/>
      <c r="G38" s="194"/>
      <c r="H38" s="225"/>
      <c r="I38" s="225"/>
      <c r="J38" s="4"/>
      <c r="K38" s="4"/>
      <c r="L38" s="4"/>
      <c r="M38" s="225"/>
      <c r="N38" s="225"/>
      <c r="O38" s="225"/>
      <c r="P38" s="4"/>
      <c r="Q38" s="4"/>
      <c r="R38" s="4"/>
      <c r="S38" s="4"/>
      <c r="T38" s="4"/>
      <c r="U38" s="194"/>
      <c r="V38" s="4"/>
      <c r="W38" s="4"/>
      <c r="X38" s="4"/>
      <c r="Y38" s="4"/>
      <c r="Z38" s="4"/>
    </row>
    <row r="39" customFormat="false" ht="15.75" hidden="false" customHeight="true" outlineLevel="0" collapsed="false">
      <c r="A39" s="4"/>
      <c r="B39" s="4"/>
      <c r="C39" s="4"/>
      <c r="D39" s="4"/>
      <c r="E39" s="4"/>
      <c r="F39" s="4"/>
      <c r="G39" s="194"/>
      <c r="H39" s="225"/>
      <c r="I39" s="225"/>
      <c r="J39" s="4"/>
      <c r="K39" s="4"/>
      <c r="L39" s="4"/>
      <c r="M39" s="225"/>
      <c r="N39" s="225"/>
      <c r="O39" s="225"/>
      <c r="P39" s="4"/>
      <c r="Q39" s="4"/>
      <c r="R39" s="4"/>
      <c r="S39" s="4"/>
      <c r="T39" s="4"/>
      <c r="U39" s="194"/>
      <c r="V39" s="4"/>
      <c r="W39" s="4"/>
      <c r="X39" s="4"/>
      <c r="Y39" s="4"/>
      <c r="Z39" s="4"/>
    </row>
    <row r="40" customFormat="false" ht="15.75" hidden="false" customHeight="true" outlineLevel="0" collapsed="false">
      <c r="A40" s="4"/>
      <c r="B40" s="4"/>
      <c r="C40" s="4"/>
      <c r="D40" s="4"/>
      <c r="E40" s="4"/>
      <c r="F40" s="4"/>
      <c r="G40" s="194"/>
      <c r="H40" s="225"/>
      <c r="I40" s="225"/>
      <c r="J40" s="4"/>
      <c r="K40" s="4"/>
      <c r="L40" s="4"/>
      <c r="M40" s="225"/>
      <c r="N40" s="225"/>
      <c r="O40" s="225"/>
      <c r="P40" s="4"/>
      <c r="Q40" s="4"/>
      <c r="R40" s="4"/>
      <c r="S40" s="4"/>
      <c r="T40" s="4"/>
      <c r="U40" s="194"/>
      <c r="V40" s="4"/>
      <c r="W40" s="4"/>
      <c r="X40" s="4"/>
      <c r="Y40" s="4"/>
      <c r="Z40" s="4"/>
    </row>
    <row r="41" customFormat="false" ht="15.75" hidden="false" customHeight="true" outlineLevel="0" collapsed="false">
      <c r="A41" s="4"/>
      <c r="B41" s="4"/>
      <c r="C41" s="4"/>
      <c r="D41" s="4"/>
      <c r="E41" s="4"/>
      <c r="F41" s="4"/>
      <c r="G41" s="194"/>
      <c r="H41" s="225"/>
      <c r="I41" s="225"/>
      <c r="J41" s="4"/>
      <c r="K41" s="4"/>
      <c r="L41" s="4"/>
      <c r="M41" s="225"/>
      <c r="N41" s="225"/>
      <c r="O41" s="225"/>
      <c r="P41" s="4"/>
      <c r="Q41" s="4"/>
      <c r="R41" s="4"/>
      <c r="S41" s="4"/>
      <c r="T41" s="4"/>
      <c r="U41" s="194"/>
      <c r="V41" s="4"/>
      <c r="W41" s="4"/>
      <c r="X41" s="4"/>
      <c r="Y41" s="4"/>
      <c r="Z41" s="4"/>
    </row>
    <row r="42" customFormat="false" ht="15.75" hidden="false" customHeight="true" outlineLevel="0" collapsed="false">
      <c r="A42" s="4"/>
      <c r="B42" s="4"/>
      <c r="C42" s="4"/>
      <c r="D42" s="4"/>
      <c r="E42" s="4"/>
      <c r="F42" s="4"/>
      <c r="G42" s="194"/>
      <c r="H42" s="225"/>
      <c r="I42" s="225"/>
      <c r="J42" s="4"/>
      <c r="K42" s="4"/>
      <c r="L42" s="4"/>
      <c r="M42" s="225"/>
      <c r="N42" s="225"/>
      <c r="O42" s="225"/>
      <c r="P42" s="4"/>
      <c r="Q42" s="4"/>
      <c r="R42" s="4"/>
      <c r="S42" s="4"/>
      <c r="T42" s="4"/>
      <c r="U42" s="194"/>
      <c r="V42" s="4"/>
      <c r="W42" s="4"/>
      <c r="X42" s="4"/>
      <c r="Y42" s="4"/>
      <c r="Z42" s="4"/>
    </row>
    <row r="43" customFormat="false" ht="15.75" hidden="false" customHeight="true" outlineLevel="0" collapsed="false">
      <c r="A43" s="4"/>
      <c r="B43" s="4"/>
      <c r="C43" s="4"/>
      <c r="D43" s="4"/>
      <c r="E43" s="4"/>
      <c r="F43" s="4"/>
      <c r="G43" s="194"/>
      <c r="H43" s="225"/>
      <c r="I43" s="225"/>
      <c r="J43" s="4"/>
      <c r="K43" s="4"/>
      <c r="L43" s="4"/>
      <c r="M43" s="225"/>
      <c r="N43" s="225"/>
      <c r="O43" s="225"/>
      <c r="P43" s="4"/>
      <c r="Q43" s="4"/>
      <c r="R43" s="4"/>
      <c r="S43" s="4"/>
      <c r="T43" s="4"/>
      <c r="U43" s="194"/>
      <c r="V43" s="4"/>
      <c r="W43" s="4"/>
      <c r="X43" s="4"/>
      <c r="Y43" s="4"/>
      <c r="Z43" s="4"/>
    </row>
    <row r="44" customFormat="false" ht="15.75" hidden="false" customHeight="true" outlineLevel="0" collapsed="false">
      <c r="A44" s="4"/>
      <c r="B44" s="4"/>
      <c r="C44" s="4"/>
      <c r="D44" s="4"/>
      <c r="E44" s="4"/>
      <c r="F44" s="4"/>
      <c r="G44" s="194"/>
      <c r="H44" s="225"/>
      <c r="I44" s="225"/>
      <c r="J44" s="4"/>
      <c r="K44" s="4"/>
      <c r="L44" s="4"/>
      <c r="M44" s="225"/>
      <c r="N44" s="225"/>
      <c r="O44" s="225"/>
      <c r="P44" s="4"/>
      <c r="Q44" s="4"/>
      <c r="R44" s="4"/>
      <c r="S44" s="4"/>
      <c r="T44" s="4"/>
      <c r="U44" s="194"/>
      <c r="V44" s="4"/>
      <c r="W44" s="4"/>
      <c r="X44" s="4"/>
      <c r="Y44" s="4"/>
      <c r="Z44" s="4"/>
    </row>
    <row r="45" customFormat="false" ht="15.75" hidden="false" customHeight="true" outlineLevel="0" collapsed="false">
      <c r="A45" s="4"/>
      <c r="B45" s="4"/>
      <c r="C45" s="4"/>
      <c r="D45" s="4"/>
      <c r="E45" s="4"/>
      <c r="F45" s="4"/>
      <c r="G45" s="194"/>
      <c r="H45" s="225"/>
      <c r="I45" s="225"/>
      <c r="J45" s="4"/>
      <c r="K45" s="4"/>
      <c r="L45" s="4"/>
      <c r="M45" s="225"/>
      <c r="N45" s="225"/>
      <c r="O45" s="225"/>
      <c r="P45" s="4"/>
      <c r="Q45" s="4"/>
      <c r="R45" s="4"/>
      <c r="S45" s="4"/>
      <c r="T45" s="4"/>
      <c r="U45" s="194"/>
      <c r="V45" s="4"/>
      <c r="W45" s="4"/>
      <c r="X45" s="4"/>
      <c r="Y45" s="4"/>
      <c r="Z45" s="4"/>
    </row>
    <row r="46" customFormat="false" ht="15.75" hidden="false" customHeight="true" outlineLevel="0" collapsed="false">
      <c r="A46" s="4"/>
      <c r="B46" s="4"/>
      <c r="C46" s="4"/>
      <c r="D46" s="4"/>
      <c r="E46" s="4"/>
      <c r="F46" s="4"/>
      <c r="G46" s="194"/>
      <c r="H46" s="225"/>
      <c r="I46" s="225"/>
      <c r="J46" s="4"/>
      <c r="K46" s="4"/>
      <c r="L46" s="4"/>
      <c r="M46" s="225"/>
      <c r="N46" s="225"/>
      <c r="O46" s="225"/>
      <c r="P46" s="4"/>
      <c r="Q46" s="4"/>
      <c r="R46" s="4"/>
      <c r="S46" s="4"/>
      <c r="T46" s="4"/>
      <c r="U46" s="194"/>
      <c r="V46" s="4"/>
      <c r="W46" s="4"/>
      <c r="X46" s="4"/>
      <c r="Y46" s="4"/>
      <c r="Z46" s="4"/>
    </row>
    <row r="47" customFormat="false" ht="15.75" hidden="false" customHeight="true" outlineLevel="0" collapsed="false">
      <c r="A47" s="4"/>
      <c r="B47" s="4"/>
      <c r="C47" s="4"/>
      <c r="D47" s="4"/>
      <c r="E47" s="4"/>
      <c r="F47" s="4"/>
      <c r="G47" s="194"/>
      <c r="H47" s="225"/>
      <c r="I47" s="225"/>
      <c r="J47" s="4"/>
      <c r="K47" s="4"/>
      <c r="L47" s="4"/>
      <c r="M47" s="225"/>
      <c r="N47" s="225"/>
      <c r="O47" s="225"/>
      <c r="P47" s="4"/>
      <c r="Q47" s="4"/>
      <c r="R47" s="4"/>
      <c r="S47" s="4"/>
      <c r="T47" s="4"/>
      <c r="U47" s="194"/>
      <c r="V47" s="4"/>
      <c r="W47" s="4"/>
      <c r="X47" s="4"/>
      <c r="Y47" s="4"/>
      <c r="Z47" s="4"/>
    </row>
    <row r="48" customFormat="false" ht="15.75" hidden="false" customHeight="true" outlineLevel="0" collapsed="false">
      <c r="A48" s="4"/>
      <c r="B48" s="4"/>
      <c r="C48" s="4"/>
      <c r="D48" s="4"/>
      <c r="E48" s="4"/>
      <c r="F48" s="4"/>
      <c r="G48" s="194"/>
      <c r="H48" s="225"/>
      <c r="I48" s="225"/>
      <c r="J48" s="4"/>
      <c r="K48" s="4"/>
      <c r="L48" s="4"/>
      <c r="M48" s="225"/>
      <c r="N48" s="225"/>
      <c r="O48" s="225"/>
      <c r="P48" s="4"/>
      <c r="Q48" s="4"/>
      <c r="R48" s="4"/>
      <c r="S48" s="4"/>
      <c r="T48" s="4"/>
      <c r="U48" s="194"/>
      <c r="V48" s="4"/>
      <c r="W48" s="4"/>
      <c r="X48" s="4"/>
      <c r="Y48" s="4"/>
      <c r="Z48" s="4"/>
    </row>
    <row r="49" customFormat="false" ht="15.75" hidden="false" customHeight="true" outlineLevel="0" collapsed="false">
      <c r="A49" s="4"/>
      <c r="B49" s="4"/>
      <c r="C49" s="4"/>
      <c r="D49" s="4"/>
      <c r="E49" s="4"/>
      <c r="F49" s="4"/>
      <c r="G49" s="194"/>
      <c r="H49" s="225"/>
      <c r="I49" s="225"/>
      <c r="J49" s="4"/>
      <c r="K49" s="4"/>
      <c r="L49" s="4"/>
      <c r="M49" s="225"/>
      <c r="N49" s="225"/>
      <c r="O49" s="225"/>
      <c r="P49" s="4"/>
      <c r="Q49" s="4"/>
      <c r="R49" s="4"/>
      <c r="S49" s="4"/>
      <c r="T49" s="4"/>
      <c r="U49" s="194"/>
      <c r="V49" s="4"/>
      <c r="W49" s="4"/>
      <c r="X49" s="4"/>
      <c r="Y49" s="4"/>
      <c r="Z49" s="4"/>
    </row>
    <row r="50" customFormat="false" ht="15.75" hidden="false" customHeight="true" outlineLevel="0" collapsed="false">
      <c r="A50" s="4"/>
      <c r="B50" s="4"/>
      <c r="C50" s="4"/>
      <c r="D50" s="4"/>
      <c r="E50" s="4"/>
      <c r="F50" s="4"/>
      <c r="G50" s="194"/>
      <c r="H50" s="225"/>
      <c r="I50" s="225"/>
      <c r="J50" s="4"/>
      <c r="K50" s="4"/>
      <c r="L50" s="4"/>
      <c r="M50" s="225"/>
      <c r="N50" s="225"/>
      <c r="O50" s="225"/>
      <c r="P50" s="4"/>
      <c r="Q50" s="4"/>
      <c r="R50" s="4"/>
      <c r="S50" s="4"/>
      <c r="T50" s="4"/>
      <c r="U50" s="194"/>
      <c r="V50" s="4"/>
      <c r="W50" s="4"/>
      <c r="X50" s="4"/>
      <c r="Y50" s="4"/>
      <c r="Z50" s="4"/>
    </row>
    <row r="51" customFormat="false" ht="15.75" hidden="false" customHeight="true" outlineLevel="0" collapsed="false">
      <c r="A51" s="4"/>
      <c r="B51" s="4"/>
      <c r="C51" s="4"/>
      <c r="D51" s="4"/>
      <c r="E51" s="4"/>
      <c r="F51" s="4"/>
      <c r="G51" s="194"/>
      <c r="H51" s="225"/>
      <c r="I51" s="225"/>
      <c r="J51" s="4"/>
      <c r="K51" s="4"/>
      <c r="L51" s="4"/>
      <c r="M51" s="225"/>
      <c r="N51" s="225"/>
      <c r="O51" s="225"/>
      <c r="P51" s="4"/>
      <c r="Q51" s="4"/>
      <c r="R51" s="4"/>
      <c r="S51" s="4"/>
      <c r="T51" s="4"/>
      <c r="U51" s="194"/>
      <c r="V51" s="4"/>
      <c r="W51" s="4"/>
      <c r="X51" s="4"/>
      <c r="Y51" s="4"/>
      <c r="Z51" s="4"/>
    </row>
    <row r="52" customFormat="false" ht="15.75" hidden="false" customHeight="true" outlineLevel="0" collapsed="false">
      <c r="A52" s="4"/>
      <c r="B52" s="4"/>
      <c r="C52" s="4"/>
      <c r="D52" s="4"/>
      <c r="E52" s="4"/>
      <c r="F52" s="4"/>
      <c r="G52" s="194"/>
      <c r="H52" s="225"/>
      <c r="I52" s="225"/>
      <c r="J52" s="4"/>
      <c r="K52" s="4"/>
      <c r="L52" s="4"/>
      <c r="M52" s="225"/>
      <c r="N52" s="225"/>
      <c r="O52" s="225"/>
      <c r="P52" s="4"/>
      <c r="Q52" s="4"/>
      <c r="R52" s="4"/>
      <c r="S52" s="4"/>
      <c r="T52" s="4"/>
      <c r="U52" s="194"/>
      <c r="V52" s="4"/>
      <c r="W52" s="4"/>
      <c r="X52" s="4"/>
      <c r="Y52" s="4"/>
      <c r="Z52" s="4"/>
    </row>
    <row r="53" customFormat="false" ht="15.75" hidden="false" customHeight="true" outlineLevel="0" collapsed="false">
      <c r="A53" s="4"/>
      <c r="B53" s="4"/>
      <c r="C53" s="4"/>
      <c r="D53" s="4"/>
      <c r="E53" s="4"/>
      <c r="F53" s="4"/>
      <c r="G53" s="194"/>
      <c r="H53" s="225"/>
      <c r="I53" s="225"/>
      <c r="J53" s="4"/>
      <c r="K53" s="4"/>
      <c r="L53" s="4"/>
      <c r="M53" s="225"/>
      <c r="N53" s="225"/>
      <c r="O53" s="225"/>
      <c r="P53" s="4"/>
      <c r="Q53" s="4"/>
      <c r="R53" s="4"/>
      <c r="S53" s="4"/>
      <c r="T53" s="4"/>
      <c r="U53" s="194"/>
      <c r="V53" s="4"/>
      <c r="W53" s="4"/>
      <c r="X53" s="4"/>
      <c r="Y53" s="4"/>
      <c r="Z53" s="4"/>
    </row>
    <row r="54" customFormat="false" ht="15.75" hidden="false" customHeight="true" outlineLevel="0" collapsed="false">
      <c r="A54" s="4"/>
      <c r="B54" s="4"/>
      <c r="C54" s="4"/>
      <c r="D54" s="4"/>
      <c r="E54" s="4"/>
      <c r="F54" s="4"/>
      <c r="G54" s="194"/>
      <c r="H54" s="225"/>
      <c r="I54" s="225"/>
      <c r="J54" s="4"/>
      <c r="K54" s="4"/>
      <c r="L54" s="4"/>
      <c r="M54" s="225"/>
      <c r="N54" s="225"/>
      <c r="O54" s="225"/>
      <c r="P54" s="4"/>
      <c r="Q54" s="4"/>
      <c r="R54" s="4"/>
      <c r="S54" s="4"/>
      <c r="T54" s="4"/>
      <c r="U54" s="194"/>
      <c r="V54" s="4"/>
      <c r="W54" s="4"/>
      <c r="X54" s="4"/>
      <c r="Y54" s="4"/>
      <c r="Z54" s="4"/>
    </row>
    <row r="55" customFormat="false" ht="15.75" hidden="false" customHeight="true" outlineLevel="0" collapsed="false">
      <c r="A55" s="4"/>
      <c r="B55" s="4"/>
      <c r="C55" s="4"/>
      <c r="D55" s="4"/>
      <c r="E55" s="4"/>
      <c r="F55" s="4"/>
      <c r="G55" s="194"/>
      <c r="H55" s="225"/>
      <c r="I55" s="225"/>
      <c r="J55" s="4"/>
      <c r="K55" s="4"/>
      <c r="L55" s="4"/>
      <c r="M55" s="225"/>
      <c r="N55" s="225"/>
      <c r="O55" s="225"/>
      <c r="P55" s="4"/>
      <c r="Q55" s="4"/>
      <c r="R55" s="4"/>
      <c r="S55" s="4"/>
      <c r="T55" s="4"/>
      <c r="U55" s="194"/>
      <c r="V55" s="4"/>
      <c r="W55" s="4"/>
      <c r="X55" s="4"/>
      <c r="Y55" s="4"/>
      <c r="Z55" s="4"/>
    </row>
    <row r="56" customFormat="false" ht="15.75" hidden="false" customHeight="true" outlineLevel="0" collapsed="false">
      <c r="A56" s="4"/>
      <c r="B56" s="4"/>
      <c r="C56" s="4"/>
      <c r="D56" s="4"/>
      <c r="E56" s="4"/>
      <c r="F56" s="4"/>
      <c r="G56" s="194"/>
      <c r="H56" s="225"/>
      <c r="I56" s="225"/>
      <c r="J56" s="4"/>
      <c r="K56" s="4"/>
      <c r="L56" s="4"/>
      <c r="M56" s="225"/>
      <c r="N56" s="225"/>
      <c r="O56" s="225"/>
      <c r="P56" s="4"/>
      <c r="Q56" s="4"/>
      <c r="R56" s="4"/>
      <c r="S56" s="4"/>
      <c r="T56" s="4"/>
      <c r="U56" s="194"/>
      <c r="V56" s="4"/>
      <c r="W56" s="4"/>
      <c r="X56" s="4"/>
      <c r="Y56" s="4"/>
      <c r="Z56" s="4"/>
    </row>
    <row r="57" customFormat="false" ht="15.75" hidden="false" customHeight="true" outlineLevel="0" collapsed="false">
      <c r="A57" s="4"/>
      <c r="B57" s="4"/>
      <c r="C57" s="4"/>
      <c r="D57" s="4"/>
      <c r="E57" s="4"/>
      <c r="F57" s="4"/>
      <c r="G57" s="194"/>
      <c r="H57" s="225"/>
      <c r="I57" s="225"/>
      <c r="J57" s="4"/>
      <c r="K57" s="4"/>
      <c r="L57" s="4"/>
      <c r="M57" s="225"/>
      <c r="N57" s="225"/>
      <c r="O57" s="225"/>
      <c r="P57" s="4"/>
      <c r="Q57" s="4"/>
      <c r="R57" s="4"/>
      <c r="S57" s="4"/>
      <c r="T57" s="4"/>
      <c r="U57" s="194"/>
      <c r="V57" s="4"/>
      <c r="W57" s="4"/>
      <c r="X57" s="4"/>
      <c r="Y57" s="4"/>
      <c r="Z57" s="4"/>
    </row>
    <row r="58" customFormat="false" ht="15.75" hidden="false" customHeight="true" outlineLevel="0" collapsed="false">
      <c r="A58" s="4"/>
      <c r="B58" s="4"/>
      <c r="C58" s="4"/>
      <c r="D58" s="4"/>
      <c r="E58" s="4"/>
      <c r="F58" s="4"/>
      <c r="G58" s="194"/>
      <c r="H58" s="225"/>
      <c r="I58" s="225"/>
      <c r="J58" s="4"/>
      <c r="K58" s="4"/>
      <c r="L58" s="4"/>
      <c r="M58" s="225"/>
      <c r="N58" s="225"/>
      <c r="O58" s="225"/>
      <c r="P58" s="4"/>
      <c r="Q58" s="4"/>
      <c r="R58" s="4"/>
      <c r="S58" s="4"/>
      <c r="T58" s="4"/>
      <c r="U58" s="194"/>
      <c r="V58" s="4"/>
      <c r="W58" s="4"/>
      <c r="X58" s="4"/>
      <c r="Y58" s="4"/>
      <c r="Z58" s="4"/>
    </row>
    <row r="59" customFormat="false" ht="15.75" hidden="false" customHeight="true" outlineLevel="0" collapsed="false">
      <c r="A59" s="4"/>
      <c r="B59" s="4"/>
      <c r="C59" s="4"/>
      <c r="D59" s="4"/>
      <c r="E59" s="4"/>
      <c r="F59" s="4"/>
      <c r="G59" s="194"/>
      <c r="H59" s="225"/>
      <c r="I59" s="225"/>
      <c r="J59" s="4"/>
      <c r="K59" s="4"/>
      <c r="L59" s="4"/>
      <c r="M59" s="225"/>
      <c r="N59" s="225"/>
      <c r="O59" s="225"/>
      <c r="P59" s="4"/>
      <c r="Q59" s="4"/>
      <c r="R59" s="4"/>
      <c r="S59" s="4"/>
      <c r="T59" s="4"/>
      <c r="U59" s="194"/>
      <c r="V59" s="4"/>
      <c r="W59" s="4"/>
      <c r="X59" s="4"/>
      <c r="Y59" s="4"/>
      <c r="Z59" s="4"/>
    </row>
    <row r="60" customFormat="false" ht="15.75" hidden="false" customHeight="true" outlineLevel="0" collapsed="false">
      <c r="A60" s="4"/>
      <c r="B60" s="4"/>
      <c r="C60" s="4"/>
      <c r="D60" s="4"/>
      <c r="E60" s="4"/>
      <c r="F60" s="4"/>
      <c r="G60" s="194"/>
      <c r="H60" s="225"/>
      <c r="I60" s="225"/>
      <c r="J60" s="4"/>
      <c r="K60" s="4"/>
      <c r="L60" s="4"/>
      <c r="M60" s="225"/>
      <c r="N60" s="225"/>
      <c r="O60" s="225"/>
      <c r="P60" s="4"/>
      <c r="Q60" s="4"/>
      <c r="R60" s="4"/>
      <c r="S60" s="4"/>
      <c r="T60" s="4"/>
      <c r="U60" s="194"/>
      <c r="V60" s="4"/>
      <c r="W60" s="4"/>
      <c r="X60" s="4"/>
      <c r="Y60" s="4"/>
      <c r="Z60" s="4"/>
    </row>
    <row r="61" customFormat="false" ht="15.75" hidden="false" customHeight="true" outlineLevel="0" collapsed="false">
      <c r="A61" s="4"/>
      <c r="B61" s="4"/>
      <c r="C61" s="4"/>
      <c r="D61" s="4"/>
      <c r="E61" s="4"/>
      <c r="F61" s="4"/>
      <c r="G61" s="194"/>
      <c r="H61" s="225"/>
      <c r="I61" s="225"/>
      <c r="J61" s="4"/>
      <c r="K61" s="4"/>
      <c r="L61" s="4"/>
      <c r="M61" s="225"/>
      <c r="N61" s="225"/>
      <c r="O61" s="225"/>
      <c r="P61" s="4"/>
      <c r="Q61" s="4"/>
      <c r="R61" s="4"/>
      <c r="S61" s="4"/>
      <c r="T61" s="4"/>
      <c r="U61" s="194"/>
      <c r="V61" s="4"/>
      <c r="W61" s="4"/>
      <c r="X61" s="4"/>
      <c r="Y61" s="4"/>
      <c r="Z61" s="4"/>
    </row>
    <row r="62" customFormat="false" ht="15.75" hidden="false" customHeight="true" outlineLevel="0" collapsed="false">
      <c r="A62" s="4"/>
      <c r="B62" s="4"/>
      <c r="C62" s="4"/>
      <c r="D62" s="4"/>
      <c r="E62" s="4"/>
      <c r="F62" s="4"/>
      <c r="G62" s="194"/>
      <c r="H62" s="225"/>
      <c r="I62" s="225"/>
      <c r="J62" s="4"/>
      <c r="K62" s="4"/>
      <c r="L62" s="4"/>
      <c r="M62" s="225"/>
      <c r="N62" s="225"/>
      <c r="O62" s="225"/>
      <c r="P62" s="4"/>
      <c r="Q62" s="4"/>
      <c r="R62" s="4"/>
      <c r="S62" s="4"/>
      <c r="T62" s="4"/>
      <c r="U62" s="194"/>
      <c r="V62" s="4"/>
      <c r="W62" s="4"/>
      <c r="X62" s="4"/>
      <c r="Y62" s="4"/>
      <c r="Z62" s="4"/>
    </row>
    <row r="63" customFormat="false" ht="15.75" hidden="false" customHeight="true" outlineLevel="0" collapsed="false">
      <c r="A63" s="4"/>
      <c r="B63" s="4"/>
      <c r="C63" s="4"/>
      <c r="D63" s="4"/>
      <c r="E63" s="4"/>
      <c r="F63" s="4"/>
      <c r="G63" s="194"/>
      <c r="H63" s="225"/>
      <c r="I63" s="225"/>
      <c r="J63" s="4"/>
      <c r="K63" s="4"/>
      <c r="L63" s="4"/>
      <c r="M63" s="225"/>
      <c r="N63" s="225"/>
      <c r="O63" s="225"/>
      <c r="P63" s="4"/>
      <c r="Q63" s="4"/>
      <c r="R63" s="4"/>
      <c r="S63" s="4"/>
      <c r="T63" s="4"/>
      <c r="U63" s="194"/>
      <c r="V63" s="4"/>
      <c r="W63" s="4"/>
      <c r="X63" s="4"/>
      <c r="Y63" s="4"/>
      <c r="Z63" s="4"/>
    </row>
    <row r="64" customFormat="false" ht="15.75" hidden="false" customHeight="true" outlineLevel="0" collapsed="false">
      <c r="A64" s="4"/>
      <c r="B64" s="4"/>
      <c r="C64" s="4"/>
      <c r="D64" s="4"/>
      <c r="E64" s="4"/>
      <c r="F64" s="4"/>
      <c r="G64" s="194"/>
      <c r="H64" s="225"/>
      <c r="I64" s="225"/>
      <c r="J64" s="4"/>
      <c r="K64" s="4"/>
      <c r="L64" s="4"/>
      <c r="M64" s="225"/>
      <c r="N64" s="225"/>
      <c r="O64" s="225"/>
      <c r="P64" s="4"/>
      <c r="Q64" s="4"/>
      <c r="R64" s="4"/>
      <c r="S64" s="4"/>
      <c r="T64" s="4"/>
      <c r="U64" s="194"/>
      <c r="V64" s="4"/>
      <c r="W64" s="4"/>
      <c r="X64" s="4"/>
      <c r="Y64" s="4"/>
      <c r="Z64" s="4"/>
    </row>
    <row r="65" customFormat="false" ht="15.75" hidden="false" customHeight="true" outlineLevel="0" collapsed="false">
      <c r="A65" s="4"/>
      <c r="B65" s="4"/>
      <c r="C65" s="4"/>
      <c r="D65" s="4"/>
      <c r="E65" s="4"/>
      <c r="F65" s="4"/>
      <c r="G65" s="194"/>
      <c r="H65" s="225"/>
      <c r="I65" s="225"/>
      <c r="J65" s="4"/>
      <c r="K65" s="4"/>
      <c r="L65" s="4"/>
      <c r="M65" s="225"/>
      <c r="N65" s="225"/>
      <c r="O65" s="225"/>
      <c r="P65" s="4"/>
      <c r="Q65" s="4"/>
      <c r="R65" s="4"/>
      <c r="S65" s="4"/>
      <c r="T65" s="4"/>
      <c r="U65" s="194"/>
      <c r="V65" s="4"/>
      <c r="W65" s="4"/>
      <c r="X65" s="4"/>
      <c r="Y65" s="4"/>
      <c r="Z65" s="4"/>
    </row>
    <row r="66" customFormat="false" ht="15.75" hidden="false" customHeight="true" outlineLevel="0" collapsed="false">
      <c r="A66" s="4"/>
      <c r="B66" s="4"/>
      <c r="C66" s="4"/>
      <c r="D66" s="4"/>
      <c r="E66" s="4"/>
      <c r="F66" s="4"/>
      <c r="G66" s="194"/>
      <c r="H66" s="225"/>
      <c r="I66" s="225"/>
      <c r="J66" s="4"/>
      <c r="K66" s="4"/>
      <c r="L66" s="4"/>
      <c r="M66" s="225"/>
      <c r="N66" s="225"/>
      <c r="O66" s="225"/>
      <c r="P66" s="4"/>
      <c r="Q66" s="4"/>
      <c r="R66" s="4"/>
      <c r="S66" s="4"/>
      <c r="T66" s="4"/>
      <c r="U66" s="194"/>
      <c r="V66" s="4"/>
      <c r="W66" s="4"/>
      <c r="X66" s="4"/>
      <c r="Y66" s="4"/>
      <c r="Z66" s="4"/>
    </row>
    <row r="67" customFormat="false" ht="15.75" hidden="false" customHeight="true" outlineLevel="0" collapsed="false">
      <c r="A67" s="4"/>
      <c r="B67" s="4"/>
      <c r="C67" s="4"/>
      <c r="D67" s="4"/>
      <c r="E67" s="4"/>
      <c r="F67" s="4"/>
      <c r="G67" s="194"/>
      <c r="H67" s="225"/>
      <c r="I67" s="225"/>
      <c r="J67" s="4"/>
      <c r="K67" s="4"/>
      <c r="L67" s="4"/>
      <c r="M67" s="225"/>
      <c r="N67" s="225"/>
      <c r="O67" s="225"/>
      <c r="P67" s="4"/>
      <c r="Q67" s="4"/>
      <c r="R67" s="4"/>
      <c r="S67" s="4"/>
      <c r="T67" s="4"/>
      <c r="U67" s="194"/>
      <c r="V67" s="4"/>
      <c r="W67" s="4"/>
      <c r="X67" s="4"/>
      <c r="Y67" s="4"/>
      <c r="Z67" s="4"/>
    </row>
    <row r="68" customFormat="false" ht="15.75" hidden="false" customHeight="true" outlineLevel="0" collapsed="false">
      <c r="A68" s="4"/>
      <c r="B68" s="4"/>
      <c r="C68" s="4"/>
      <c r="D68" s="4"/>
      <c r="E68" s="4"/>
      <c r="F68" s="4"/>
      <c r="G68" s="194"/>
      <c r="H68" s="225"/>
      <c r="I68" s="225"/>
      <c r="J68" s="4"/>
      <c r="K68" s="4"/>
      <c r="L68" s="4"/>
      <c r="M68" s="225"/>
      <c r="N68" s="225"/>
      <c r="O68" s="225"/>
      <c r="P68" s="4"/>
      <c r="Q68" s="4"/>
      <c r="R68" s="4"/>
      <c r="S68" s="4"/>
      <c r="T68" s="4"/>
      <c r="U68" s="194"/>
      <c r="V68" s="4"/>
      <c r="W68" s="4"/>
      <c r="X68" s="4"/>
      <c r="Y68" s="4"/>
      <c r="Z68" s="4"/>
    </row>
    <row r="69" customFormat="false" ht="15.75" hidden="false" customHeight="true" outlineLevel="0" collapsed="false">
      <c r="A69" s="4"/>
      <c r="B69" s="4"/>
      <c r="C69" s="4"/>
      <c r="D69" s="4"/>
      <c r="E69" s="4"/>
      <c r="F69" s="4"/>
      <c r="G69" s="194"/>
      <c r="H69" s="225"/>
      <c r="I69" s="225"/>
      <c r="J69" s="4"/>
      <c r="K69" s="4"/>
      <c r="L69" s="4"/>
      <c r="M69" s="225"/>
      <c r="N69" s="225"/>
      <c r="O69" s="225"/>
      <c r="P69" s="4"/>
      <c r="Q69" s="4"/>
      <c r="R69" s="4"/>
      <c r="S69" s="4"/>
      <c r="T69" s="4"/>
      <c r="U69" s="194"/>
      <c r="V69" s="4"/>
      <c r="W69" s="4"/>
      <c r="X69" s="4"/>
      <c r="Y69" s="4"/>
      <c r="Z69" s="4"/>
    </row>
    <row r="70" customFormat="false" ht="15.75" hidden="false" customHeight="true" outlineLevel="0" collapsed="false">
      <c r="A70" s="4"/>
      <c r="B70" s="4"/>
      <c r="C70" s="4"/>
      <c r="D70" s="4"/>
      <c r="E70" s="4"/>
      <c r="F70" s="4"/>
      <c r="G70" s="194"/>
      <c r="H70" s="225"/>
      <c r="I70" s="225"/>
      <c r="J70" s="4"/>
      <c r="K70" s="4"/>
      <c r="L70" s="4"/>
      <c r="M70" s="225"/>
      <c r="N70" s="225"/>
      <c r="O70" s="225"/>
      <c r="P70" s="4"/>
      <c r="Q70" s="4"/>
      <c r="R70" s="4"/>
      <c r="S70" s="4"/>
      <c r="T70" s="4"/>
      <c r="U70" s="194"/>
      <c r="V70" s="4"/>
      <c r="W70" s="4"/>
      <c r="X70" s="4"/>
      <c r="Y70" s="4"/>
      <c r="Z70" s="4"/>
    </row>
    <row r="71" customFormat="false" ht="15.75" hidden="false" customHeight="true" outlineLevel="0" collapsed="false">
      <c r="A71" s="4"/>
      <c r="B71" s="4"/>
      <c r="C71" s="4"/>
      <c r="D71" s="4"/>
      <c r="E71" s="4"/>
      <c r="F71" s="4"/>
      <c r="G71" s="194"/>
      <c r="H71" s="225"/>
      <c r="I71" s="225"/>
      <c r="J71" s="4"/>
      <c r="K71" s="4"/>
      <c r="L71" s="4"/>
      <c r="M71" s="225"/>
      <c r="N71" s="225"/>
      <c r="O71" s="225"/>
      <c r="P71" s="4"/>
      <c r="Q71" s="4"/>
      <c r="R71" s="4"/>
      <c r="S71" s="4"/>
      <c r="T71" s="4"/>
      <c r="U71" s="194"/>
      <c r="V71" s="4"/>
      <c r="W71" s="4"/>
      <c r="X71" s="4"/>
      <c r="Y71" s="4"/>
      <c r="Z71" s="4"/>
    </row>
    <row r="72" customFormat="false" ht="15.75" hidden="false" customHeight="true" outlineLevel="0" collapsed="false">
      <c r="A72" s="4"/>
      <c r="B72" s="4"/>
      <c r="C72" s="4"/>
      <c r="D72" s="4"/>
      <c r="E72" s="4"/>
      <c r="F72" s="4"/>
      <c r="G72" s="194"/>
      <c r="H72" s="225"/>
      <c r="I72" s="225"/>
      <c r="J72" s="4"/>
      <c r="K72" s="4"/>
      <c r="L72" s="4"/>
      <c r="M72" s="225"/>
      <c r="N72" s="225"/>
      <c r="O72" s="225"/>
      <c r="P72" s="4"/>
      <c r="Q72" s="4"/>
      <c r="R72" s="4"/>
      <c r="S72" s="4"/>
      <c r="T72" s="4"/>
      <c r="U72" s="194"/>
      <c r="V72" s="4"/>
      <c r="W72" s="4"/>
      <c r="X72" s="4"/>
      <c r="Y72" s="4"/>
      <c r="Z72" s="4"/>
    </row>
    <row r="73" customFormat="false" ht="15.75" hidden="false" customHeight="true" outlineLevel="0" collapsed="false">
      <c r="A73" s="4"/>
      <c r="B73" s="4"/>
      <c r="C73" s="4"/>
      <c r="D73" s="4"/>
      <c r="E73" s="4"/>
      <c r="F73" s="4"/>
      <c r="G73" s="194"/>
      <c r="H73" s="225"/>
      <c r="I73" s="225"/>
      <c r="J73" s="4"/>
      <c r="K73" s="4"/>
      <c r="L73" s="4"/>
      <c r="M73" s="225"/>
      <c r="N73" s="225"/>
      <c r="O73" s="225"/>
      <c r="P73" s="4"/>
      <c r="Q73" s="4"/>
      <c r="R73" s="4"/>
      <c r="S73" s="4"/>
      <c r="T73" s="4"/>
      <c r="U73" s="194"/>
      <c r="V73" s="4"/>
      <c r="W73" s="4"/>
      <c r="X73" s="4"/>
      <c r="Y73" s="4"/>
      <c r="Z73" s="4"/>
    </row>
    <row r="74" customFormat="false" ht="15.75" hidden="false" customHeight="true" outlineLevel="0" collapsed="false">
      <c r="A74" s="4"/>
      <c r="B74" s="4"/>
      <c r="C74" s="4"/>
      <c r="D74" s="4"/>
      <c r="E74" s="4"/>
      <c r="F74" s="4"/>
      <c r="G74" s="194"/>
      <c r="H74" s="225"/>
      <c r="I74" s="225"/>
      <c r="J74" s="4"/>
      <c r="K74" s="4"/>
      <c r="L74" s="4"/>
      <c r="M74" s="225"/>
      <c r="N74" s="225"/>
      <c r="O74" s="225"/>
      <c r="P74" s="4"/>
      <c r="Q74" s="4"/>
      <c r="R74" s="4"/>
      <c r="S74" s="4"/>
      <c r="T74" s="4"/>
      <c r="U74" s="194"/>
      <c r="V74" s="4"/>
      <c r="W74" s="4"/>
      <c r="X74" s="4"/>
      <c r="Y74" s="4"/>
      <c r="Z74" s="4"/>
    </row>
    <row r="75" customFormat="false" ht="15.75" hidden="false" customHeight="true" outlineLevel="0" collapsed="false">
      <c r="A75" s="4"/>
      <c r="B75" s="4"/>
      <c r="C75" s="4"/>
      <c r="D75" s="4"/>
      <c r="E75" s="4"/>
      <c r="F75" s="4"/>
      <c r="G75" s="194"/>
      <c r="H75" s="225"/>
      <c r="I75" s="225"/>
      <c r="J75" s="4"/>
      <c r="K75" s="4"/>
      <c r="L75" s="4"/>
      <c r="M75" s="225"/>
      <c r="N75" s="225"/>
      <c r="O75" s="225"/>
      <c r="P75" s="4"/>
      <c r="Q75" s="4"/>
      <c r="R75" s="4"/>
      <c r="S75" s="4"/>
      <c r="T75" s="4"/>
      <c r="U75" s="194"/>
      <c r="V75" s="4"/>
      <c r="W75" s="4"/>
      <c r="X75" s="4"/>
      <c r="Y75" s="4"/>
      <c r="Z75" s="4"/>
    </row>
    <row r="76" customFormat="false" ht="15.75" hidden="false" customHeight="true" outlineLevel="0" collapsed="false">
      <c r="A76" s="4"/>
      <c r="B76" s="4"/>
      <c r="C76" s="4"/>
      <c r="D76" s="4"/>
      <c r="E76" s="4"/>
      <c r="F76" s="4"/>
      <c r="G76" s="194"/>
      <c r="H76" s="225"/>
      <c r="I76" s="225"/>
      <c r="J76" s="4"/>
      <c r="K76" s="4"/>
      <c r="L76" s="4"/>
      <c r="M76" s="225"/>
      <c r="N76" s="225"/>
      <c r="O76" s="225"/>
      <c r="P76" s="4"/>
      <c r="Q76" s="4"/>
      <c r="R76" s="4"/>
      <c r="S76" s="4"/>
      <c r="T76" s="4"/>
      <c r="U76" s="194"/>
      <c r="V76" s="4"/>
      <c r="W76" s="4"/>
      <c r="X76" s="4"/>
      <c r="Y76" s="4"/>
      <c r="Z76" s="4"/>
    </row>
    <row r="77" customFormat="false" ht="15.75" hidden="false" customHeight="true" outlineLevel="0" collapsed="false">
      <c r="A77" s="4"/>
      <c r="B77" s="4"/>
      <c r="C77" s="4"/>
      <c r="D77" s="4"/>
      <c r="E77" s="4"/>
      <c r="F77" s="4"/>
      <c r="G77" s="194"/>
      <c r="H77" s="225"/>
      <c r="I77" s="225"/>
      <c r="J77" s="4"/>
      <c r="K77" s="4"/>
      <c r="L77" s="4"/>
      <c r="M77" s="225"/>
      <c r="N77" s="225"/>
      <c r="O77" s="225"/>
      <c r="P77" s="4"/>
      <c r="Q77" s="4"/>
      <c r="R77" s="4"/>
      <c r="S77" s="4"/>
      <c r="T77" s="4"/>
      <c r="U77" s="194"/>
      <c r="V77" s="4"/>
      <c r="W77" s="4"/>
      <c r="X77" s="4"/>
      <c r="Y77" s="4"/>
      <c r="Z77" s="4"/>
    </row>
    <row r="78" customFormat="false" ht="15.75" hidden="false" customHeight="true" outlineLevel="0" collapsed="false">
      <c r="A78" s="4"/>
      <c r="B78" s="4"/>
      <c r="C78" s="4"/>
      <c r="D78" s="4"/>
      <c r="E78" s="4"/>
      <c r="F78" s="4"/>
      <c r="G78" s="194"/>
      <c r="H78" s="225"/>
      <c r="I78" s="225"/>
      <c r="J78" s="4"/>
      <c r="K78" s="4"/>
      <c r="L78" s="4"/>
      <c r="M78" s="225"/>
      <c r="N78" s="225"/>
      <c r="O78" s="225"/>
      <c r="P78" s="4"/>
      <c r="Q78" s="4"/>
      <c r="R78" s="4"/>
      <c r="S78" s="4"/>
      <c r="T78" s="4"/>
      <c r="U78" s="194"/>
      <c r="V78" s="4"/>
      <c r="W78" s="4"/>
      <c r="X78" s="4"/>
      <c r="Y78" s="4"/>
      <c r="Z78" s="4"/>
    </row>
    <row r="79" customFormat="false" ht="15.75" hidden="false" customHeight="true" outlineLevel="0" collapsed="false">
      <c r="A79" s="4"/>
      <c r="B79" s="4"/>
      <c r="C79" s="4"/>
      <c r="D79" s="4"/>
      <c r="E79" s="4"/>
      <c r="F79" s="4"/>
      <c r="G79" s="194"/>
      <c r="H79" s="225"/>
      <c r="I79" s="225"/>
      <c r="J79" s="4"/>
      <c r="K79" s="4"/>
      <c r="L79" s="4"/>
      <c r="M79" s="225"/>
      <c r="N79" s="225"/>
      <c r="O79" s="225"/>
      <c r="P79" s="4"/>
      <c r="Q79" s="4"/>
      <c r="R79" s="4"/>
      <c r="S79" s="4"/>
      <c r="T79" s="4"/>
      <c r="U79" s="194"/>
      <c r="V79" s="4"/>
      <c r="W79" s="4"/>
      <c r="X79" s="4"/>
      <c r="Y79" s="4"/>
      <c r="Z79" s="4"/>
    </row>
    <row r="80" customFormat="false" ht="15.75" hidden="false" customHeight="true" outlineLevel="0" collapsed="false">
      <c r="A80" s="4"/>
      <c r="B80" s="4"/>
      <c r="C80" s="4"/>
      <c r="D80" s="4"/>
      <c r="E80" s="4"/>
      <c r="F80" s="4"/>
      <c r="G80" s="194"/>
      <c r="H80" s="225"/>
      <c r="I80" s="225"/>
      <c r="J80" s="4"/>
      <c r="K80" s="4"/>
      <c r="L80" s="4"/>
      <c r="M80" s="225"/>
      <c r="N80" s="225"/>
      <c r="O80" s="225"/>
      <c r="P80" s="4"/>
      <c r="Q80" s="4"/>
      <c r="R80" s="4"/>
      <c r="S80" s="4"/>
      <c r="T80" s="4"/>
      <c r="U80" s="194"/>
      <c r="V80" s="4"/>
      <c r="W80" s="4"/>
      <c r="X80" s="4"/>
      <c r="Y80" s="4"/>
      <c r="Z80" s="4"/>
    </row>
    <row r="81" customFormat="false" ht="15.75" hidden="false" customHeight="true" outlineLevel="0" collapsed="false">
      <c r="A81" s="4"/>
      <c r="B81" s="4"/>
      <c r="C81" s="4"/>
      <c r="D81" s="4"/>
      <c r="E81" s="4"/>
      <c r="F81" s="4"/>
      <c r="G81" s="194"/>
      <c r="H81" s="225"/>
      <c r="I81" s="225"/>
      <c r="J81" s="4"/>
      <c r="K81" s="4"/>
      <c r="L81" s="4"/>
      <c r="M81" s="225"/>
      <c r="N81" s="225"/>
      <c r="O81" s="225"/>
      <c r="P81" s="4"/>
      <c r="Q81" s="4"/>
      <c r="R81" s="4"/>
      <c r="S81" s="4"/>
      <c r="T81" s="4"/>
      <c r="U81" s="194"/>
      <c r="V81" s="4"/>
      <c r="W81" s="4"/>
      <c r="X81" s="4"/>
      <c r="Y81" s="4"/>
      <c r="Z81" s="4"/>
    </row>
    <row r="82" customFormat="false" ht="15.75" hidden="false" customHeight="true" outlineLevel="0" collapsed="false">
      <c r="A82" s="4"/>
      <c r="B82" s="4"/>
      <c r="C82" s="4"/>
      <c r="D82" s="4"/>
      <c r="E82" s="4"/>
      <c r="F82" s="4"/>
      <c r="G82" s="194"/>
      <c r="H82" s="225"/>
      <c r="I82" s="225"/>
      <c r="J82" s="4"/>
      <c r="K82" s="4"/>
      <c r="L82" s="4"/>
      <c r="M82" s="225"/>
      <c r="N82" s="225"/>
      <c r="O82" s="225"/>
      <c r="P82" s="4"/>
      <c r="Q82" s="4"/>
      <c r="R82" s="4"/>
      <c r="S82" s="4"/>
      <c r="T82" s="4"/>
      <c r="U82" s="194"/>
      <c r="V82" s="4"/>
      <c r="W82" s="4"/>
      <c r="X82" s="4"/>
      <c r="Y82" s="4"/>
      <c r="Z82" s="4"/>
    </row>
    <row r="83" customFormat="false" ht="15.75" hidden="false" customHeight="true" outlineLevel="0" collapsed="false">
      <c r="A83" s="4"/>
      <c r="B83" s="4"/>
      <c r="C83" s="4"/>
      <c r="D83" s="4"/>
      <c r="E83" s="4"/>
      <c r="F83" s="4"/>
      <c r="G83" s="194"/>
      <c r="H83" s="225"/>
      <c r="I83" s="225"/>
      <c r="J83" s="4"/>
      <c r="K83" s="4"/>
      <c r="L83" s="4"/>
      <c r="M83" s="225"/>
      <c r="N83" s="225"/>
      <c r="O83" s="225"/>
      <c r="P83" s="4"/>
      <c r="Q83" s="4"/>
      <c r="R83" s="4"/>
      <c r="S83" s="4"/>
      <c r="T83" s="4"/>
      <c r="U83" s="194"/>
      <c r="V83" s="4"/>
      <c r="W83" s="4"/>
      <c r="X83" s="4"/>
      <c r="Y83" s="4"/>
      <c r="Z83" s="4"/>
    </row>
    <row r="84" customFormat="false" ht="15.75" hidden="false" customHeight="true" outlineLevel="0" collapsed="false">
      <c r="A84" s="4"/>
      <c r="B84" s="4"/>
      <c r="C84" s="4"/>
      <c r="D84" s="4"/>
      <c r="E84" s="4"/>
      <c r="F84" s="4"/>
      <c r="G84" s="194"/>
      <c r="H84" s="225"/>
      <c r="I84" s="225"/>
      <c r="J84" s="4"/>
      <c r="K84" s="4"/>
      <c r="L84" s="4"/>
      <c r="M84" s="225"/>
      <c r="N84" s="225"/>
      <c r="O84" s="225"/>
      <c r="P84" s="4"/>
      <c r="Q84" s="4"/>
      <c r="R84" s="4"/>
      <c r="S84" s="4"/>
      <c r="T84" s="4"/>
      <c r="U84" s="194"/>
      <c r="V84" s="4"/>
      <c r="W84" s="4"/>
      <c r="X84" s="4"/>
      <c r="Y84" s="4"/>
      <c r="Z84" s="4"/>
    </row>
    <row r="85" customFormat="false" ht="15.75" hidden="false" customHeight="true" outlineLevel="0" collapsed="false">
      <c r="A85" s="4"/>
      <c r="B85" s="4"/>
      <c r="C85" s="4"/>
      <c r="D85" s="4"/>
      <c r="E85" s="4"/>
      <c r="F85" s="4"/>
      <c r="G85" s="194"/>
      <c r="H85" s="225"/>
      <c r="I85" s="225"/>
      <c r="J85" s="4"/>
      <c r="K85" s="4"/>
      <c r="L85" s="4"/>
      <c r="M85" s="225"/>
      <c r="N85" s="225"/>
      <c r="O85" s="225"/>
      <c r="P85" s="4"/>
      <c r="Q85" s="4"/>
      <c r="R85" s="4"/>
      <c r="S85" s="4"/>
      <c r="T85" s="4"/>
      <c r="U85" s="194"/>
      <c r="V85" s="4"/>
      <c r="W85" s="4"/>
      <c r="X85" s="4"/>
      <c r="Y85" s="4"/>
      <c r="Z85" s="4"/>
    </row>
    <row r="86" customFormat="false" ht="15.75" hidden="false" customHeight="true" outlineLevel="0" collapsed="false">
      <c r="A86" s="4"/>
      <c r="B86" s="4"/>
      <c r="C86" s="4"/>
      <c r="D86" s="4"/>
      <c r="E86" s="4"/>
      <c r="F86" s="4"/>
      <c r="G86" s="194"/>
      <c r="H86" s="225"/>
      <c r="I86" s="225"/>
      <c r="J86" s="4"/>
      <c r="K86" s="4"/>
      <c r="L86" s="4"/>
      <c r="M86" s="225"/>
      <c r="N86" s="225"/>
      <c r="O86" s="225"/>
      <c r="P86" s="4"/>
      <c r="Q86" s="4"/>
      <c r="R86" s="4"/>
      <c r="S86" s="4"/>
      <c r="T86" s="4"/>
      <c r="U86" s="194"/>
      <c r="V86" s="4"/>
      <c r="W86" s="4"/>
      <c r="X86" s="4"/>
      <c r="Y86" s="4"/>
      <c r="Z86" s="4"/>
    </row>
    <row r="87" customFormat="false" ht="15.75" hidden="false" customHeight="true" outlineLevel="0" collapsed="false">
      <c r="A87" s="4"/>
      <c r="B87" s="4"/>
      <c r="C87" s="4"/>
      <c r="D87" s="4"/>
      <c r="E87" s="4"/>
      <c r="F87" s="4"/>
      <c r="G87" s="194"/>
      <c r="H87" s="225"/>
      <c r="I87" s="225"/>
      <c r="J87" s="4"/>
      <c r="K87" s="4"/>
      <c r="L87" s="4"/>
      <c r="M87" s="225"/>
      <c r="N87" s="225"/>
      <c r="O87" s="225"/>
      <c r="P87" s="4"/>
      <c r="Q87" s="4"/>
      <c r="R87" s="4"/>
      <c r="S87" s="4"/>
      <c r="T87" s="4"/>
      <c r="U87" s="194"/>
      <c r="V87" s="4"/>
      <c r="W87" s="4"/>
      <c r="X87" s="4"/>
      <c r="Y87" s="4"/>
      <c r="Z87" s="4"/>
    </row>
    <row r="88" customFormat="false" ht="15.75" hidden="false" customHeight="true" outlineLevel="0" collapsed="false">
      <c r="A88" s="4"/>
      <c r="B88" s="4"/>
      <c r="C88" s="4"/>
      <c r="D88" s="4"/>
      <c r="E88" s="4"/>
      <c r="F88" s="4"/>
      <c r="G88" s="194"/>
      <c r="H88" s="225"/>
      <c r="I88" s="225"/>
      <c r="J88" s="4"/>
      <c r="K88" s="4"/>
      <c r="L88" s="4"/>
      <c r="M88" s="225"/>
      <c r="N88" s="225"/>
      <c r="O88" s="225"/>
      <c r="P88" s="4"/>
      <c r="Q88" s="4"/>
      <c r="R88" s="4"/>
      <c r="S88" s="4"/>
      <c r="T88" s="4"/>
      <c r="U88" s="194"/>
      <c r="V88" s="4"/>
      <c r="W88" s="4"/>
      <c r="X88" s="4"/>
      <c r="Y88" s="4"/>
      <c r="Z88" s="4"/>
    </row>
    <row r="89" customFormat="false" ht="15.75" hidden="false" customHeight="true" outlineLevel="0" collapsed="false">
      <c r="A89" s="4"/>
      <c r="B89" s="4"/>
      <c r="C89" s="4"/>
      <c r="D89" s="4"/>
      <c r="E89" s="4"/>
      <c r="F89" s="4"/>
      <c r="G89" s="194"/>
      <c r="H89" s="225"/>
      <c r="I89" s="225"/>
      <c r="J89" s="4"/>
      <c r="K89" s="4"/>
      <c r="L89" s="4"/>
      <c r="M89" s="225"/>
      <c r="N89" s="225"/>
      <c r="O89" s="225"/>
      <c r="P89" s="4"/>
      <c r="Q89" s="4"/>
      <c r="R89" s="4"/>
      <c r="S89" s="4"/>
      <c r="T89" s="4"/>
      <c r="U89" s="194"/>
      <c r="V89" s="4"/>
      <c r="W89" s="4"/>
      <c r="X89" s="4"/>
      <c r="Y89" s="4"/>
      <c r="Z89" s="4"/>
    </row>
    <row r="90" customFormat="false" ht="15.75" hidden="false" customHeight="true" outlineLevel="0" collapsed="false">
      <c r="A90" s="4"/>
      <c r="B90" s="4"/>
      <c r="C90" s="4"/>
      <c r="D90" s="4"/>
      <c r="E90" s="4"/>
      <c r="F90" s="4"/>
      <c r="G90" s="194"/>
      <c r="H90" s="225"/>
      <c r="I90" s="225"/>
      <c r="J90" s="4"/>
      <c r="K90" s="4"/>
      <c r="L90" s="4"/>
      <c r="M90" s="225"/>
      <c r="N90" s="225"/>
      <c r="O90" s="225"/>
      <c r="P90" s="4"/>
      <c r="Q90" s="4"/>
      <c r="R90" s="4"/>
      <c r="S90" s="4"/>
      <c r="T90" s="4"/>
      <c r="U90" s="194"/>
      <c r="V90" s="4"/>
      <c r="W90" s="4"/>
      <c r="X90" s="4"/>
      <c r="Y90" s="4"/>
      <c r="Z90" s="4"/>
    </row>
    <row r="91" customFormat="false" ht="15.75" hidden="false" customHeight="true" outlineLevel="0" collapsed="false">
      <c r="A91" s="4"/>
      <c r="B91" s="4"/>
      <c r="C91" s="4"/>
      <c r="D91" s="4"/>
      <c r="E91" s="4"/>
      <c r="F91" s="4"/>
      <c r="G91" s="194"/>
      <c r="H91" s="225"/>
      <c r="I91" s="225"/>
      <c r="J91" s="4"/>
      <c r="K91" s="4"/>
      <c r="L91" s="4"/>
      <c r="M91" s="225"/>
      <c r="N91" s="225"/>
      <c r="O91" s="225"/>
      <c r="P91" s="4"/>
      <c r="Q91" s="4"/>
      <c r="R91" s="4"/>
      <c r="S91" s="4"/>
      <c r="T91" s="4"/>
      <c r="U91" s="194"/>
      <c r="V91" s="4"/>
      <c r="W91" s="4"/>
      <c r="X91" s="4"/>
      <c r="Y91" s="4"/>
      <c r="Z91" s="4"/>
    </row>
    <row r="92" customFormat="false" ht="15.75" hidden="false" customHeight="true" outlineLevel="0" collapsed="false">
      <c r="A92" s="4"/>
      <c r="B92" s="4"/>
      <c r="C92" s="4"/>
      <c r="D92" s="4"/>
      <c r="E92" s="4"/>
      <c r="F92" s="4"/>
      <c r="G92" s="194"/>
      <c r="H92" s="225"/>
      <c r="I92" s="225"/>
      <c r="J92" s="4"/>
      <c r="K92" s="4"/>
      <c r="L92" s="4"/>
      <c r="M92" s="225"/>
      <c r="N92" s="225"/>
      <c r="O92" s="225"/>
      <c r="P92" s="4"/>
      <c r="Q92" s="4"/>
      <c r="R92" s="4"/>
      <c r="S92" s="4"/>
      <c r="T92" s="4"/>
      <c r="U92" s="194"/>
      <c r="V92" s="4"/>
      <c r="W92" s="4"/>
      <c r="X92" s="4"/>
      <c r="Y92" s="4"/>
      <c r="Z92" s="4"/>
    </row>
    <row r="93" customFormat="false" ht="15.75" hidden="false" customHeight="true" outlineLevel="0" collapsed="false">
      <c r="A93" s="4"/>
      <c r="B93" s="4"/>
      <c r="C93" s="4"/>
      <c r="D93" s="4"/>
      <c r="E93" s="4"/>
      <c r="F93" s="4"/>
      <c r="G93" s="194"/>
      <c r="H93" s="225"/>
      <c r="I93" s="225"/>
      <c r="J93" s="4"/>
      <c r="K93" s="4"/>
      <c r="L93" s="4"/>
      <c r="M93" s="225"/>
      <c r="N93" s="225"/>
      <c r="O93" s="225"/>
      <c r="P93" s="4"/>
      <c r="Q93" s="4"/>
      <c r="R93" s="4"/>
      <c r="S93" s="4"/>
      <c r="T93" s="4"/>
      <c r="U93" s="194"/>
      <c r="V93" s="4"/>
      <c r="W93" s="4"/>
      <c r="X93" s="4"/>
      <c r="Y93" s="4"/>
      <c r="Z93" s="4"/>
    </row>
    <row r="94" customFormat="false" ht="15.75" hidden="false" customHeight="true" outlineLevel="0" collapsed="false">
      <c r="A94" s="4"/>
      <c r="B94" s="4"/>
      <c r="C94" s="4"/>
      <c r="D94" s="4"/>
      <c r="E94" s="4"/>
      <c r="F94" s="4"/>
      <c r="G94" s="194"/>
      <c r="H94" s="225"/>
      <c r="I94" s="225"/>
      <c r="J94" s="4"/>
      <c r="K94" s="4"/>
      <c r="L94" s="4"/>
      <c r="M94" s="225"/>
      <c r="N94" s="225"/>
      <c r="O94" s="225"/>
      <c r="P94" s="4"/>
      <c r="Q94" s="4"/>
      <c r="R94" s="4"/>
      <c r="S94" s="4"/>
      <c r="T94" s="4"/>
      <c r="U94" s="194"/>
      <c r="V94" s="4"/>
      <c r="W94" s="4"/>
      <c r="X94" s="4"/>
      <c r="Y94" s="4"/>
      <c r="Z94" s="4"/>
    </row>
    <row r="95" customFormat="false" ht="15.75" hidden="false" customHeight="true" outlineLevel="0" collapsed="false">
      <c r="A95" s="4"/>
      <c r="B95" s="4"/>
      <c r="C95" s="4"/>
      <c r="D95" s="4"/>
      <c r="E95" s="4"/>
      <c r="F95" s="4"/>
      <c r="G95" s="194"/>
      <c r="H95" s="225"/>
      <c r="I95" s="225"/>
      <c r="J95" s="4"/>
      <c r="K95" s="4"/>
      <c r="L95" s="4"/>
      <c r="M95" s="225"/>
      <c r="N95" s="225"/>
      <c r="O95" s="225"/>
      <c r="P95" s="4"/>
      <c r="Q95" s="4"/>
      <c r="R95" s="4"/>
      <c r="S95" s="4"/>
      <c r="T95" s="4"/>
      <c r="U95" s="194"/>
      <c r="V95" s="4"/>
      <c r="W95" s="4"/>
      <c r="X95" s="4"/>
      <c r="Y95" s="4"/>
      <c r="Z95" s="4"/>
    </row>
    <row r="96" customFormat="false" ht="15.75" hidden="false" customHeight="true" outlineLevel="0" collapsed="false">
      <c r="A96" s="4"/>
      <c r="B96" s="4"/>
      <c r="C96" s="4"/>
      <c r="D96" s="4"/>
      <c r="E96" s="4"/>
      <c r="F96" s="4"/>
      <c r="G96" s="194"/>
      <c r="H96" s="225"/>
      <c r="I96" s="225"/>
      <c r="J96" s="4"/>
      <c r="K96" s="4"/>
      <c r="L96" s="4"/>
      <c r="M96" s="225"/>
      <c r="N96" s="225"/>
      <c r="O96" s="225"/>
      <c r="P96" s="4"/>
      <c r="Q96" s="4"/>
      <c r="R96" s="4"/>
      <c r="S96" s="4"/>
      <c r="T96" s="4"/>
      <c r="U96" s="194"/>
      <c r="V96" s="4"/>
      <c r="W96" s="4"/>
      <c r="X96" s="4"/>
      <c r="Y96" s="4"/>
      <c r="Z96" s="4"/>
    </row>
    <row r="97" customFormat="false" ht="15.75" hidden="false" customHeight="true" outlineLevel="0" collapsed="false">
      <c r="A97" s="4"/>
      <c r="B97" s="4"/>
      <c r="C97" s="4"/>
      <c r="D97" s="4"/>
      <c r="E97" s="4"/>
      <c r="F97" s="4"/>
      <c r="G97" s="194"/>
      <c r="H97" s="225"/>
      <c r="I97" s="225"/>
      <c r="J97" s="4"/>
      <c r="K97" s="4"/>
      <c r="L97" s="4"/>
      <c r="M97" s="225"/>
      <c r="N97" s="225"/>
      <c r="O97" s="225"/>
      <c r="P97" s="4"/>
      <c r="Q97" s="4"/>
      <c r="R97" s="4"/>
      <c r="S97" s="4"/>
      <c r="T97" s="4"/>
      <c r="U97" s="194"/>
      <c r="V97" s="4"/>
      <c r="W97" s="4"/>
      <c r="X97" s="4"/>
      <c r="Y97" s="4"/>
      <c r="Z97" s="4"/>
    </row>
    <row r="98" customFormat="false" ht="15.75" hidden="false" customHeight="true" outlineLevel="0" collapsed="false">
      <c r="A98" s="4"/>
      <c r="B98" s="4"/>
      <c r="C98" s="4"/>
      <c r="D98" s="4"/>
      <c r="E98" s="4"/>
      <c r="F98" s="4"/>
      <c r="G98" s="194"/>
      <c r="H98" s="225"/>
      <c r="I98" s="225"/>
      <c r="J98" s="4"/>
      <c r="K98" s="4"/>
      <c r="L98" s="4"/>
      <c r="M98" s="225"/>
      <c r="N98" s="225"/>
      <c r="O98" s="225"/>
      <c r="P98" s="4"/>
      <c r="Q98" s="4"/>
      <c r="R98" s="4"/>
      <c r="S98" s="4"/>
      <c r="T98" s="4"/>
      <c r="U98" s="194"/>
      <c r="V98" s="4"/>
      <c r="W98" s="4"/>
      <c r="X98" s="4"/>
      <c r="Y98" s="4"/>
      <c r="Z98" s="4"/>
    </row>
    <row r="99" customFormat="false" ht="15.75" hidden="false" customHeight="true" outlineLevel="0" collapsed="false">
      <c r="A99" s="4"/>
      <c r="B99" s="4"/>
      <c r="C99" s="4"/>
      <c r="D99" s="4"/>
      <c r="E99" s="4"/>
      <c r="F99" s="4"/>
      <c r="G99" s="194"/>
      <c r="H99" s="225"/>
      <c r="I99" s="225"/>
      <c r="J99" s="4"/>
      <c r="K99" s="4"/>
      <c r="L99" s="4"/>
      <c r="M99" s="225"/>
      <c r="N99" s="225"/>
      <c r="O99" s="225"/>
      <c r="P99" s="4"/>
      <c r="Q99" s="4"/>
      <c r="R99" s="4"/>
      <c r="S99" s="4"/>
      <c r="T99" s="4"/>
      <c r="U99" s="194"/>
      <c r="V99" s="4"/>
      <c r="W99" s="4"/>
      <c r="X99" s="4"/>
      <c r="Y99" s="4"/>
      <c r="Z99" s="4"/>
    </row>
    <row r="100" customFormat="false" ht="15.75" hidden="false" customHeight="true" outlineLevel="0" collapsed="false">
      <c r="A100" s="4"/>
      <c r="B100" s="4"/>
      <c r="C100" s="4"/>
      <c r="D100" s="4"/>
      <c r="E100" s="4"/>
      <c r="F100" s="4"/>
      <c r="G100" s="194"/>
      <c r="H100" s="225"/>
      <c r="I100" s="225"/>
      <c r="J100" s="4"/>
      <c r="K100" s="4"/>
      <c r="L100" s="4"/>
      <c r="M100" s="225"/>
      <c r="N100" s="225"/>
      <c r="O100" s="225"/>
      <c r="P100" s="4"/>
      <c r="Q100" s="4"/>
      <c r="R100" s="4"/>
      <c r="S100" s="4"/>
      <c r="T100" s="4"/>
      <c r="U100" s="194"/>
      <c r="V100" s="4"/>
      <c r="W100" s="4"/>
      <c r="X100" s="4"/>
      <c r="Y100" s="4"/>
      <c r="Z100" s="4"/>
    </row>
    <row r="101" customFormat="false" ht="15.75" hidden="false" customHeight="true" outlineLevel="0" collapsed="false">
      <c r="A101" s="4"/>
      <c r="B101" s="4"/>
      <c r="C101" s="4"/>
      <c r="D101" s="4"/>
      <c r="E101" s="4"/>
      <c r="F101" s="4"/>
      <c r="G101" s="194"/>
      <c r="H101" s="225"/>
      <c r="I101" s="225"/>
      <c r="J101" s="4"/>
      <c r="K101" s="4"/>
      <c r="L101" s="4"/>
      <c r="M101" s="225"/>
      <c r="N101" s="225"/>
      <c r="O101" s="225"/>
      <c r="P101" s="4"/>
      <c r="Q101" s="4"/>
      <c r="R101" s="4"/>
      <c r="S101" s="4"/>
      <c r="T101" s="4"/>
      <c r="U101" s="194"/>
      <c r="V101" s="4"/>
      <c r="W101" s="4"/>
      <c r="X101" s="4"/>
      <c r="Y101" s="4"/>
      <c r="Z101" s="4"/>
    </row>
    <row r="102" customFormat="false" ht="15.75" hidden="false" customHeight="true" outlineLevel="0" collapsed="false">
      <c r="A102" s="4"/>
      <c r="B102" s="4"/>
      <c r="C102" s="4"/>
      <c r="D102" s="4"/>
      <c r="E102" s="4"/>
      <c r="F102" s="4"/>
      <c r="G102" s="194"/>
      <c r="H102" s="225"/>
      <c r="I102" s="225"/>
      <c r="J102" s="4"/>
      <c r="K102" s="4"/>
      <c r="L102" s="4"/>
      <c r="M102" s="225"/>
      <c r="N102" s="225"/>
      <c r="O102" s="225"/>
      <c r="P102" s="4"/>
      <c r="Q102" s="4"/>
      <c r="R102" s="4"/>
      <c r="S102" s="4"/>
      <c r="T102" s="4"/>
      <c r="U102" s="194"/>
      <c r="V102" s="4"/>
      <c r="W102" s="4"/>
      <c r="X102" s="4"/>
      <c r="Y102" s="4"/>
      <c r="Z102" s="4"/>
    </row>
    <row r="103" customFormat="false" ht="15.75" hidden="false" customHeight="true" outlineLevel="0" collapsed="false">
      <c r="A103" s="4"/>
      <c r="B103" s="4"/>
      <c r="C103" s="4"/>
      <c r="D103" s="4"/>
      <c r="E103" s="4"/>
      <c r="F103" s="4"/>
      <c r="G103" s="194"/>
      <c r="H103" s="225"/>
      <c r="I103" s="225"/>
      <c r="J103" s="4"/>
      <c r="K103" s="4"/>
      <c r="L103" s="4"/>
      <c r="M103" s="225"/>
      <c r="N103" s="225"/>
      <c r="O103" s="225"/>
      <c r="P103" s="4"/>
      <c r="Q103" s="4"/>
      <c r="R103" s="4"/>
      <c r="S103" s="4"/>
      <c r="T103" s="4"/>
      <c r="U103" s="194"/>
      <c r="V103" s="4"/>
      <c r="W103" s="4"/>
      <c r="X103" s="4"/>
      <c r="Y103" s="4"/>
      <c r="Z103" s="4"/>
    </row>
    <row r="104" customFormat="false" ht="15.75" hidden="false" customHeight="true" outlineLevel="0" collapsed="false">
      <c r="A104" s="4"/>
      <c r="B104" s="4"/>
      <c r="C104" s="4"/>
      <c r="D104" s="4"/>
      <c r="E104" s="4"/>
      <c r="F104" s="4"/>
      <c r="G104" s="194"/>
      <c r="H104" s="225"/>
      <c r="I104" s="225"/>
      <c r="J104" s="4"/>
      <c r="K104" s="4"/>
      <c r="L104" s="4"/>
      <c r="M104" s="225"/>
      <c r="N104" s="225"/>
      <c r="O104" s="225"/>
      <c r="P104" s="4"/>
      <c r="Q104" s="4"/>
      <c r="R104" s="4"/>
      <c r="S104" s="4"/>
      <c r="T104" s="4"/>
      <c r="U104" s="194"/>
      <c r="V104" s="4"/>
      <c r="W104" s="4"/>
      <c r="X104" s="4"/>
      <c r="Y104" s="4"/>
      <c r="Z104" s="4"/>
    </row>
    <row r="105" customFormat="false" ht="15.75" hidden="false" customHeight="true" outlineLevel="0" collapsed="false">
      <c r="A105" s="4"/>
      <c r="B105" s="4"/>
      <c r="C105" s="4"/>
      <c r="D105" s="4"/>
      <c r="E105" s="4"/>
      <c r="F105" s="4"/>
      <c r="G105" s="194"/>
      <c r="H105" s="225"/>
      <c r="I105" s="225"/>
      <c r="J105" s="4"/>
      <c r="K105" s="4"/>
      <c r="L105" s="4"/>
      <c r="M105" s="225"/>
      <c r="N105" s="225"/>
      <c r="O105" s="225"/>
      <c r="P105" s="4"/>
      <c r="Q105" s="4"/>
      <c r="R105" s="4"/>
      <c r="S105" s="4"/>
      <c r="T105" s="4"/>
      <c r="U105" s="194"/>
      <c r="V105" s="4"/>
      <c r="W105" s="4"/>
      <c r="X105" s="4"/>
      <c r="Y105" s="4"/>
      <c r="Z105" s="4"/>
    </row>
    <row r="106" customFormat="false" ht="15.75" hidden="false" customHeight="true" outlineLevel="0" collapsed="false">
      <c r="A106" s="4"/>
      <c r="B106" s="4"/>
      <c r="C106" s="4"/>
      <c r="D106" s="4"/>
      <c r="E106" s="4"/>
      <c r="F106" s="4"/>
      <c r="G106" s="194"/>
      <c r="H106" s="225"/>
      <c r="I106" s="225"/>
      <c r="J106" s="4"/>
      <c r="K106" s="4"/>
      <c r="L106" s="4"/>
      <c r="M106" s="225"/>
      <c r="N106" s="225"/>
      <c r="O106" s="225"/>
      <c r="P106" s="4"/>
      <c r="Q106" s="4"/>
      <c r="R106" s="4"/>
      <c r="S106" s="4"/>
      <c r="T106" s="4"/>
      <c r="U106" s="194"/>
      <c r="V106" s="4"/>
      <c r="W106" s="4"/>
      <c r="X106" s="4"/>
      <c r="Y106" s="4"/>
      <c r="Z106" s="4"/>
    </row>
    <row r="107" customFormat="false" ht="15.75" hidden="false" customHeight="true" outlineLevel="0" collapsed="false">
      <c r="A107" s="4"/>
      <c r="B107" s="4"/>
      <c r="C107" s="4"/>
      <c r="D107" s="4"/>
      <c r="E107" s="4"/>
      <c r="F107" s="4"/>
      <c r="G107" s="194"/>
      <c r="H107" s="225"/>
      <c r="I107" s="225"/>
      <c r="J107" s="4"/>
      <c r="K107" s="4"/>
      <c r="L107" s="4"/>
      <c r="M107" s="225"/>
      <c r="N107" s="225"/>
      <c r="O107" s="225"/>
      <c r="P107" s="4"/>
      <c r="Q107" s="4"/>
      <c r="R107" s="4"/>
      <c r="S107" s="4"/>
      <c r="T107" s="4"/>
      <c r="U107" s="194"/>
      <c r="V107" s="4"/>
      <c r="W107" s="4"/>
      <c r="X107" s="4"/>
      <c r="Y107" s="4"/>
      <c r="Z107" s="4"/>
    </row>
    <row r="108" customFormat="false" ht="15.75" hidden="false" customHeight="true" outlineLevel="0" collapsed="false">
      <c r="A108" s="4"/>
      <c r="B108" s="4"/>
      <c r="C108" s="4"/>
      <c r="D108" s="4"/>
      <c r="E108" s="4"/>
      <c r="F108" s="4"/>
      <c r="G108" s="194"/>
      <c r="H108" s="225"/>
      <c r="I108" s="225"/>
      <c r="J108" s="4"/>
      <c r="K108" s="4"/>
      <c r="L108" s="4"/>
      <c r="M108" s="225"/>
      <c r="N108" s="225"/>
      <c r="O108" s="225"/>
      <c r="P108" s="4"/>
      <c r="Q108" s="4"/>
      <c r="R108" s="4"/>
      <c r="S108" s="4"/>
      <c r="T108" s="4"/>
      <c r="U108" s="194"/>
      <c r="V108" s="4"/>
      <c r="W108" s="4"/>
      <c r="X108" s="4"/>
      <c r="Y108" s="4"/>
      <c r="Z108" s="4"/>
    </row>
    <row r="109" customFormat="false" ht="15.75" hidden="false" customHeight="true" outlineLevel="0" collapsed="false">
      <c r="A109" s="4"/>
      <c r="B109" s="4"/>
      <c r="C109" s="4"/>
      <c r="D109" s="4"/>
      <c r="E109" s="4"/>
      <c r="F109" s="4"/>
      <c r="G109" s="194"/>
      <c r="H109" s="225"/>
      <c r="I109" s="225"/>
      <c r="J109" s="4"/>
      <c r="K109" s="4"/>
      <c r="L109" s="4"/>
      <c r="M109" s="225"/>
      <c r="N109" s="225"/>
      <c r="O109" s="225"/>
      <c r="P109" s="4"/>
      <c r="Q109" s="4"/>
      <c r="R109" s="4"/>
      <c r="S109" s="4"/>
      <c r="T109" s="4"/>
      <c r="U109" s="194"/>
      <c r="V109" s="4"/>
      <c r="W109" s="4"/>
      <c r="X109" s="4"/>
      <c r="Y109" s="4"/>
      <c r="Z109" s="4"/>
    </row>
    <row r="110" customFormat="false" ht="15.75" hidden="false" customHeight="true" outlineLevel="0" collapsed="false">
      <c r="A110" s="4"/>
      <c r="B110" s="4"/>
      <c r="C110" s="4"/>
      <c r="D110" s="4"/>
      <c r="E110" s="4"/>
      <c r="F110" s="4"/>
      <c r="G110" s="194"/>
      <c r="H110" s="225"/>
      <c r="I110" s="225"/>
      <c r="J110" s="4"/>
      <c r="K110" s="4"/>
      <c r="L110" s="4"/>
      <c r="M110" s="225"/>
      <c r="N110" s="225"/>
      <c r="O110" s="225"/>
      <c r="P110" s="4"/>
      <c r="Q110" s="4"/>
      <c r="R110" s="4"/>
      <c r="S110" s="4"/>
      <c r="T110" s="4"/>
      <c r="U110" s="194"/>
      <c r="V110" s="4"/>
      <c r="W110" s="4"/>
      <c r="X110" s="4"/>
      <c r="Y110" s="4"/>
      <c r="Z110" s="4"/>
    </row>
    <row r="111" customFormat="false" ht="15.75" hidden="false" customHeight="true" outlineLevel="0" collapsed="false">
      <c r="A111" s="4"/>
      <c r="B111" s="4"/>
      <c r="C111" s="4"/>
      <c r="D111" s="4"/>
      <c r="E111" s="4"/>
      <c r="F111" s="4"/>
      <c r="G111" s="194"/>
      <c r="H111" s="225"/>
      <c r="I111" s="225"/>
      <c r="J111" s="4"/>
      <c r="K111" s="4"/>
      <c r="L111" s="4"/>
      <c r="M111" s="225"/>
      <c r="N111" s="225"/>
      <c r="O111" s="225"/>
      <c r="P111" s="4"/>
      <c r="Q111" s="4"/>
      <c r="R111" s="4"/>
      <c r="S111" s="4"/>
      <c r="T111" s="4"/>
      <c r="U111" s="194"/>
      <c r="V111" s="4"/>
      <c r="W111" s="4"/>
      <c r="X111" s="4"/>
      <c r="Y111" s="4"/>
      <c r="Z111" s="4"/>
    </row>
    <row r="112" customFormat="false" ht="15.75" hidden="false" customHeight="true" outlineLevel="0" collapsed="false">
      <c r="A112" s="4"/>
      <c r="B112" s="4"/>
      <c r="C112" s="4"/>
      <c r="D112" s="4"/>
      <c r="E112" s="4"/>
      <c r="F112" s="4"/>
      <c r="G112" s="194"/>
      <c r="H112" s="225"/>
      <c r="I112" s="225"/>
      <c r="J112" s="4"/>
      <c r="K112" s="4"/>
      <c r="L112" s="4"/>
      <c r="M112" s="225"/>
      <c r="N112" s="225"/>
      <c r="O112" s="225"/>
      <c r="P112" s="4"/>
      <c r="Q112" s="4"/>
      <c r="R112" s="4"/>
      <c r="S112" s="4"/>
      <c r="T112" s="4"/>
      <c r="U112" s="194"/>
      <c r="V112" s="4"/>
      <c r="W112" s="4"/>
      <c r="X112" s="4"/>
      <c r="Y112" s="4"/>
      <c r="Z112" s="4"/>
    </row>
    <row r="113" customFormat="false" ht="15.75" hidden="false" customHeight="true" outlineLevel="0" collapsed="false">
      <c r="A113" s="4"/>
      <c r="B113" s="4"/>
      <c r="C113" s="4"/>
      <c r="D113" s="4"/>
      <c r="E113" s="4"/>
      <c r="F113" s="4"/>
      <c r="G113" s="194"/>
      <c r="H113" s="225"/>
      <c r="I113" s="225"/>
      <c r="J113" s="4"/>
      <c r="K113" s="4"/>
      <c r="L113" s="4"/>
      <c r="M113" s="225"/>
      <c r="N113" s="225"/>
      <c r="O113" s="225"/>
      <c r="P113" s="4"/>
      <c r="Q113" s="4"/>
      <c r="R113" s="4"/>
      <c r="S113" s="4"/>
      <c r="T113" s="4"/>
      <c r="U113" s="194"/>
      <c r="V113" s="4"/>
      <c r="W113" s="4"/>
      <c r="X113" s="4"/>
      <c r="Y113" s="4"/>
      <c r="Z113" s="4"/>
    </row>
    <row r="114" customFormat="false" ht="15.75" hidden="false" customHeight="true" outlineLevel="0" collapsed="false">
      <c r="A114" s="4"/>
      <c r="B114" s="4"/>
      <c r="C114" s="4"/>
      <c r="D114" s="4"/>
      <c r="E114" s="4"/>
      <c r="F114" s="4"/>
      <c r="G114" s="194"/>
      <c r="H114" s="225"/>
      <c r="I114" s="225"/>
      <c r="J114" s="4"/>
      <c r="K114" s="4"/>
      <c r="L114" s="4"/>
      <c r="M114" s="225"/>
      <c r="N114" s="225"/>
      <c r="O114" s="225"/>
      <c r="P114" s="4"/>
      <c r="Q114" s="4"/>
      <c r="R114" s="4"/>
      <c r="S114" s="4"/>
      <c r="T114" s="4"/>
      <c r="U114" s="194"/>
      <c r="V114" s="4"/>
      <c r="W114" s="4"/>
      <c r="X114" s="4"/>
      <c r="Y114" s="4"/>
      <c r="Z114" s="4"/>
    </row>
    <row r="115" customFormat="false" ht="15.75" hidden="false" customHeight="true" outlineLevel="0" collapsed="false">
      <c r="A115" s="4"/>
      <c r="B115" s="4"/>
      <c r="C115" s="4"/>
      <c r="D115" s="4"/>
      <c r="E115" s="4"/>
      <c r="F115" s="4"/>
      <c r="G115" s="194"/>
      <c r="H115" s="225"/>
      <c r="I115" s="225"/>
      <c r="J115" s="4"/>
      <c r="K115" s="4"/>
      <c r="L115" s="4"/>
      <c r="M115" s="225"/>
      <c r="N115" s="225"/>
      <c r="O115" s="225"/>
      <c r="P115" s="4"/>
      <c r="Q115" s="4"/>
      <c r="R115" s="4"/>
      <c r="S115" s="4"/>
      <c r="T115" s="4"/>
      <c r="U115" s="194"/>
      <c r="V115" s="4"/>
      <c r="W115" s="4"/>
      <c r="X115" s="4"/>
      <c r="Y115" s="4"/>
      <c r="Z115" s="4"/>
    </row>
    <row r="116" customFormat="false" ht="15.75" hidden="false" customHeight="true" outlineLevel="0" collapsed="false">
      <c r="A116" s="4"/>
      <c r="B116" s="4"/>
      <c r="C116" s="4"/>
      <c r="D116" s="4"/>
      <c r="E116" s="4"/>
      <c r="F116" s="4"/>
      <c r="G116" s="194"/>
      <c r="H116" s="225"/>
      <c r="I116" s="225"/>
      <c r="J116" s="4"/>
      <c r="K116" s="4"/>
      <c r="L116" s="4"/>
      <c r="M116" s="225"/>
      <c r="N116" s="225"/>
      <c r="O116" s="225"/>
      <c r="P116" s="4"/>
      <c r="Q116" s="4"/>
      <c r="R116" s="4"/>
      <c r="S116" s="4"/>
      <c r="T116" s="4"/>
      <c r="U116" s="194"/>
      <c r="V116" s="4"/>
      <c r="W116" s="4"/>
      <c r="X116" s="4"/>
      <c r="Y116" s="4"/>
      <c r="Z116" s="4"/>
    </row>
    <row r="117" customFormat="false" ht="15.75" hidden="false" customHeight="true" outlineLevel="0" collapsed="false">
      <c r="A117" s="4"/>
      <c r="B117" s="4"/>
      <c r="C117" s="4"/>
      <c r="D117" s="4"/>
      <c r="E117" s="4"/>
      <c r="F117" s="4"/>
      <c r="G117" s="194"/>
      <c r="H117" s="225"/>
      <c r="I117" s="225"/>
      <c r="J117" s="4"/>
      <c r="K117" s="4"/>
      <c r="L117" s="4"/>
      <c r="M117" s="225"/>
      <c r="N117" s="225"/>
      <c r="O117" s="225"/>
      <c r="P117" s="4"/>
      <c r="Q117" s="4"/>
      <c r="R117" s="4"/>
      <c r="S117" s="4"/>
      <c r="T117" s="4"/>
      <c r="U117" s="194"/>
      <c r="V117" s="4"/>
      <c r="W117" s="4"/>
      <c r="X117" s="4"/>
      <c r="Y117" s="4"/>
      <c r="Z117" s="4"/>
    </row>
    <row r="118" customFormat="false" ht="15.75" hidden="false" customHeight="true" outlineLevel="0" collapsed="false">
      <c r="A118" s="4"/>
      <c r="B118" s="4"/>
      <c r="C118" s="4"/>
      <c r="D118" s="4"/>
      <c r="E118" s="4"/>
      <c r="F118" s="4"/>
      <c r="G118" s="194"/>
      <c r="H118" s="225"/>
      <c r="I118" s="225"/>
      <c r="J118" s="4"/>
      <c r="K118" s="4"/>
      <c r="L118" s="4"/>
      <c r="M118" s="225"/>
      <c r="N118" s="225"/>
      <c r="O118" s="225"/>
      <c r="P118" s="4"/>
      <c r="Q118" s="4"/>
      <c r="R118" s="4"/>
      <c r="S118" s="4"/>
      <c r="T118" s="4"/>
      <c r="U118" s="194"/>
      <c r="V118" s="4"/>
      <c r="W118" s="4"/>
      <c r="X118" s="4"/>
      <c r="Y118" s="4"/>
      <c r="Z118" s="4"/>
    </row>
    <row r="119" customFormat="false" ht="15.75" hidden="false" customHeight="true" outlineLevel="0" collapsed="false">
      <c r="A119" s="4"/>
      <c r="B119" s="4"/>
      <c r="C119" s="4"/>
      <c r="D119" s="4"/>
      <c r="E119" s="4"/>
      <c r="F119" s="4"/>
      <c r="G119" s="194"/>
      <c r="H119" s="225"/>
      <c r="I119" s="225"/>
      <c r="J119" s="4"/>
      <c r="K119" s="4"/>
      <c r="L119" s="4"/>
      <c r="M119" s="225"/>
      <c r="N119" s="225"/>
      <c r="O119" s="225"/>
      <c r="P119" s="4"/>
      <c r="Q119" s="4"/>
      <c r="R119" s="4"/>
      <c r="S119" s="4"/>
      <c r="T119" s="4"/>
      <c r="U119" s="194"/>
      <c r="V119" s="4"/>
      <c r="W119" s="4"/>
      <c r="X119" s="4"/>
      <c r="Y119" s="4"/>
      <c r="Z119" s="4"/>
    </row>
    <row r="120" customFormat="false" ht="15.75" hidden="false" customHeight="true" outlineLevel="0" collapsed="false">
      <c r="A120" s="4"/>
      <c r="B120" s="4"/>
      <c r="C120" s="4"/>
      <c r="D120" s="4"/>
      <c r="E120" s="4"/>
      <c r="F120" s="4"/>
      <c r="G120" s="194"/>
      <c r="H120" s="225"/>
      <c r="I120" s="225"/>
      <c r="J120" s="4"/>
      <c r="K120" s="4"/>
      <c r="L120" s="4"/>
      <c r="M120" s="225"/>
      <c r="N120" s="225"/>
      <c r="O120" s="225"/>
      <c r="P120" s="4"/>
      <c r="Q120" s="4"/>
      <c r="R120" s="4"/>
      <c r="S120" s="4"/>
      <c r="T120" s="4"/>
      <c r="U120" s="194"/>
      <c r="V120" s="4"/>
      <c r="W120" s="4"/>
      <c r="X120" s="4"/>
      <c r="Y120" s="4"/>
      <c r="Z120" s="4"/>
    </row>
    <row r="121" customFormat="false" ht="15.75" hidden="false" customHeight="true" outlineLevel="0" collapsed="false">
      <c r="A121" s="4"/>
      <c r="B121" s="4"/>
      <c r="C121" s="4"/>
      <c r="D121" s="4"/>
      <c r="E121" s="4"/>
      <c r="F121" s="4"/>
      <c r="G121" s="194"/>
      <c r="H121" s="225"/>
      <c r="I121" s="225"/>
      <c r="J121" s="4"/>
      <c r="K121" s="4"/>
      <c r="L121" s="4"/>
      <c r="M121" s="225"/>
      <c r="N121" s="225"/>
      <c r="O121" s="225"/>
      <c r="P121" s="4"/>
      <c r="Q121" s="4"/>
      <c r="R121" s="4"/>
      <c r="S121" s="4"/>
      <c r="T121" s="4"/>
      <c r="U121" s="194"/>
      <c r="V121" s="4"/>
      <c r="W121" s="4"/>
      <c r="X121" s="4"/>
      <c r="Y121" s="4"/>
      <c r="Z121" s="4"/>
    </row>
    <row r="122" customFormat="false" ht="15.75" hidden="false" customHeight="true" outlineLevel="0" collapsed="false">
      <c r="A122" s="4"/>
      <c r="B122" s="4"/>
      <c r="C122" s="4"/>
      <c r="D122" s="4"/>
      <c r="E122" s="4"/>
      <c r="F122" s="4"/>
      <c r="G122" s="194"/>
      <c r="H122" s="225"/>
      <c r="I122" s="225"/>
      <c r="J122" s="4"/>
      <c r="K122" s="4"/>
      <c r="L122" s="4"/>
      <c r="M122" s="225"/>
      <c r="N122" s="225"/>
      <c r="O122" s="225"/>
      <c r="P122" s="4"/>
      <c r="Q122" s="4"/>
      <c r="R122" s="4"/>
      <c r="S122" s="4"/>
      <c r="T122" s="4"/>
      <c r="U122" s="194"/>
      <c r="V122" s="4"/>
      <c r="W122" s="4"/>
      <c r="X122" s="4"/>
      <c r="Y122" s="4"/>
      <c r="Z122" s="4"/>
    </row>
    <row r="123" customFormat="false" ht="15.75" hidden="false" customHeight="true" outlineLevel="0" collapsed="false">
      <c r="A123" s="4"/>
      <c r="B123" s="4"/>
      <c r="C123" s="4"/>
      <c r="D123" s="4"/>
      <c r="E123" s="4"/>
      <c r="F123" s="4"/>
      <c r="G123" s="194"/>
      <c r="H123" s="225"/>
      <c r="I123" s="225"/>
      <c r="J123" s="4"/>
      <c r="K123" s="4"/>
      <c r="L123" s="4"/>
      <c r="M123" s="225"/>
      <c r="N123" s="225"/>
      <c r="O123" s="225"/>
      <c r="P123" s="4"/>
      <c r="Q123" s="4"/>
      <c r="R123" s="4"/>
      <c r="S123" s="4"/>
      <c r="T123" s="4"/>
      <c r="U123" s="194"/>
      <c r="V123" s="4"/>
      <c r="W123" s="4"/>
      <c r="X123" s="4"/>
      <c r="Y123" s="4"/>
      <c r="Z123" s="4"/>
    </row>
    <row r="124" customFormat="false" ht="15.75" hidden="false" customHeight="true" outlineLevel="0" collapsed="false">
      <c r="A124" s="4"/>
      <c r="B124" s="4"/>
      <c r="C124" s="4"/>
      <c r="D124" s="4"/>
      <c r="E124" s="4"/>
      <c r="F124" s="4"/>
      <c r="G124" s="194"/>
      <c r="H124" s="225"/>
      <c r="I124" s="225"/>
      <c r="J124" s="4"/>
      <c r="K124" s="4"/>
      <c r="L124" s="4"/>
      <c r="M124" s="225"/>
      <c r="N124" s="225"/>
      <c r="O124" s="225"/>
      <c r="P124" s="4"/>
      <c r="Q124" s="4"/>
      <c r="R124" s="4"/>
      <c r="S124" s="4"/>
      <c r="T124" s="4"/>
      <c r="U124" s="194"/>
      <c r="V124" s="4"/>
      <c r="W124" s="4"/>
      <c r="X124" s="4"/>
      <c r="Y124" s="4"/>
      <c r="Z124" s="4"/>
    </row>
    <row r="125" customFormat="false" ht="15.75" hidden="false" customHeight="true" outlineLevel="0" collapsed="false">
      <c r="A125" s="4"/>
      <c r="B125" s="4"/>
      <c r="C125" s="4"/>
      <c r="D125" s="4"/>
      <c r="E125" s="4"/>
      <c r="F125" s="4"/>
      <c r="G125" s="194"/>
      <c r="H125" s="225"/>
      <c r="I125" s="225"/>
      <c r="J125" s="4"/>
      <c r="K125" s="4"/>
      <c r="L125" s="4"/>
      <c r="M125" s="225"/>
      <c r="N125" s="225"/>
      <c r="O125" s="225"/>
      <c r="P125" s="4"/>
      <c r="Q125" s="4"/>
      <c r="R125" s="4"/>
      <c r="S125" s="4"/>
      <c r="T125" s="4"/>
      <c r="U125" s="194"/>
      <c r="V125" s="4"/>
      <c r="W125" s="4"/>
      <c r="X125" s="4"/>
      <c r="Y125" s="4"/>
      <c r="Z125" s="4"/>
    </row>
    <row r="126" customFormat="false" ht="15.75" hidden="false" customHeight="true" outlineLevel="0" collapsed="false">
      <c r="A126" s="4"/>
      <c r="B126" s="4"/>
      <c r="C126" s="4"/>
      <c r="D126" s="4"/>
      <c r="E126" s="4"/>
      <c r="F126" s="4"/>
      <c r="G126" s="194"/>
      <c r="H126" s="225"/>
      <c r="I126" s="225"/>
      <c r="J126" s="4"/>
      <c r="K126" s="4"/>
      <c r="L126" s="4"/>
      <c r="M126" s="225"/>
      <c r="N126" s="225"/>
      <c r="O126" s="225"/>
      <c r="P126" s="4"/>
      <c r="Q126" s="4"/>
      <c r="R126" s="4"/>
      <c r="S126" s="4"/>
      <c r="T126" s="4"/>
      <c r="U126" s="194"/>
      <c r="V126" s="4"/>
      <c r="W126" s="4"/>
      <c r="X126" s="4"/>
      <c r="Y126" s="4"/>
      <c r="Z126" s="4"/>
    </row>
    <row r="127" customFormat="false" ht="15.75" hidden="false" customHeight="true" outlineLevel="0" collapsed="false">
      <c r="A127" s="4"/>
      <c r="B127" s="4"/>
      <c r="C127" s="4"/>
      <c r="D127" s="4"/>
      <c r="E127" s="4"/>
      <c r="F127" s="4"/>
      <c r="G127" s="194"/>
      <c r="H127" s="225"/>
      <c r="I127" s="225"/>
      <c r="J127" s="4"/>
      <c r="K127" s="4"/>
      <c r="L127" s="4"/>
      <c r="M127" s="225"/>
      <c r="N127" s="225"/>
      <c r="O127" s="225"/>
      <c r="P127" s="4"/>
      <c r="Q127" s="4"/>
      <c r="R127" s="4"/>
      <c r="S127" s="4"/>
      <c r="T127" s="4"/>
      <c r="U127" s="194"/>
      <c r="V127" s="4"/>
      <c r="W127" s="4"/>
      <c r="X127" s="4"/>
      <c r="Y127" s="4"/>
      <c r="Z127" s="4"/>
    </row>
    <row r="128" customFormat="false" ht="15.75" hidden="false" customHeight="true" outlineLevel="0" collapsed="false">
      <c r="A128" s="4"/>
      <c r="B128" s="4"/>
      <c r="C128" s="4"/>
      <c r="D128" s="4"/>
      <c r="E128" s="4"/>
      <c r="F128" s="4"/>
      <c r="G128" s="194"/>
      <c r="H128" s="225"/>
      <c r="I128" s="225"/>
      <c r="J128" s="4"/>
      <c r="K128" s="4"/>
      <c r="L128" s="4"/>
      <c r="M128" s="225"/>
      <c r="N128" s="225"/>
      <c r="O128" s="225"/>
      <c r="P128" s="4"/>
      <c r="Q128" s="4"/>
      <c r="R128" s="4"/>
      <c r="S128" s="4"/>
      <c r="T128" s="4"/>
      <c r="U128" s="194"/>
      <c r="V128" s="4"/>
      <c r="W128" s="4"/>
      <c r="X128" s="4"/>
      <c r="Y128" s="4"/>
      <c r="Z128" s="4"/>
    </row>
    <row r="129" customFormat="false" ht="15.75" hidden="false" customHeight="true" outlineLevel="0" collapsed="false">
      <c r="A129" s="4"/>
      <c r="B129" s="4"/>
      <c r="C129" s="4"/>
      <c r="D129" s="4"/>
      <c r="E129" s="4"/>
      <c r="F129" s="4"/>
      <c r="G129" s="194"/>
      <c r="H129" s="225"/>
      <c r="I129" s="225"/>
      <c r="J129" s="4"/>
      <c r="K129" s="4"/>
      <c r="L129" s="4"/>
      <c r="M129" s="225"/>
      <c r="N129" s="225"/>
      <c r="O129" s="225"/>
      <c r="P129" s="4"/>
      <c r="Q129" s="4"/>
      <c r="R129" s="4"/>
      <c r="S129" s="4"/>
      <c r="T129" s="4"/>
      <c r="U129" s="194"/>
      <c r="V129" s="4"/>
      <c r="W129" s="4"/>
      <c r="X129" s="4"/>
      <c r="Y129" s="4"/>
      <c r="Z129" s="4"/>
    </row>
    <row r="130" customFormat="false" ht="15.75" hidden="false" customHeight="true" outlineLevel="0" collapsed="false">
      <c r="A130" s="4"/>
      <c r="B130" s="4"/>
      <c r="C130" s="4"/>
      <c r="D130" s="4"/>
      <c r="E130" s="4"/>
      <c r="F130" s="4"/>
      <c r="G130" s="194"/>
      <c r="H130" s="225"/>
      <c r="I130" s="225"/>
      <c r="J130" s="4"/>
      <c r="K130" s="4"/>
      <c r="L130" s="4"/>
      <c r="M130" s="225"/>
      <c r="N130" s="225"/>
      <c r="O130" s="225"/>
      <c r="P130" s="4"/>
      <c r="Q130" s="4"/>
      <c r="R130" s="4"/>
      <c r="S130" s="4"/>
      <c r="T130" s="4"/>
      <c r="U130" s="194"/>
      <c r="V130" s="4"/>
      <c r="W130" s="4"/>
      <c r="X130" s="4"/>
      <c r="Y130" s="4"/>
      <c r="Z130" s="4"/>
    </row>
    <row r="131" customFormat="false" ht="15.75" hidden="false" customHeight="true" outlineLevel="0" collapsed="false">
      <c r="A131" s="4"/>
      <c r="B131" s="4"/>
      <c r="C131" s="4"/>
      <c r="D131" s="4"/>
      <c r="E131" s="4"/>
      <c r="F131" s="4"/>
      <c r="G131" s="194"/>
      <c r="H131" s="225"/>
      <c r="I131" s="225"/>
      <c r="J131" s="4"/>
      <c r="K131" s="4"/>
      <c r="L131" s="4"/>
      <c r="M131" s="225"/>
      <c r="N131" s="225"/>
      <c r="O131" s="225"/>
      <c r="P131" s="4"/>
      <c r="Q131" s="4"/>
      <c r="R131" s="4"/>
      <c r="S131" s="4"/>
      <c r="T131" s="4"/>
      <c r="U131" s="194"/>
      <c r="V131" s="4"/>
      <c r="W131" s="4"/>
      <c r="X131" s="4"/>
      <c r="Y131" s="4"/>
      <c r="Z131" s="4"/>
    </row>
    <row r="132" customFormat="false" ht="15.75" hidden="false" customHeight="true" outlineLevel="0" collapsed="false">
      <c r="A132" s="4"/>
      <c r="B132" s="4"/>
      <c r="C132" s="4"/>
      <c r="D132" s="4"/>
      <c r="E132" s="4"/>
      <c r="F132" s="4"/>
      <c r="G132" s="194"/>
      <c r="H132" s="225"/>
      <c r="I132" s="225"/>
      <c r="J132" s="4"/>
      <c r="K132" s="4"/>
      <c r="L132" s="4"/>
      <c r="M132" s="225"/>
      <c r="N132" s="225"/>
      <c r="O132" s="225"/>
      <c r="P132" s="4"/>
      <c r="Q132" s="4"/>
      <c r="R132" s="4"/>
      <c r="S132" s="4"/>
      <c r="T132" s="4"/>
      <c r="U132" s="194"/>
      <c r="V132" s="4"/>
      <c r="W132" s="4"/>
      <c r="X132" s="4"/>
      <c r="Y132" s="4"/>
      <c r="Z132" s="4"/>
    </row>
    <row r="133" customFormat="false" ht="15.75" hidden="false" customHeight="true" outlineLevel="0" collapsed="false">
      <c r="A133" s="4"/>
      <c r="B133" s="4"/>
      <c r="C133" s="4"/>
      <c r="D133" s="4"/>
      <c r="E133" s="4"/>
      <c r="F133" s="4"/>
      <c r="G133" s="194"/>
      <c r="H133" s="225"/>
      <c r="I133" s="225"/>
      <c r="J133" s="4"/>
      <c r="K133" s="4"/>
      <c r="L133" s="4"/>
      <c r="M133" s="225"/>
      <c r="N133" s="225"/>
      <c r="O133" s="225"/>
      <c r="P133" s="4"/>
      <c r="Q133" s="4"/>
      <c r="R133" s="4"/>
      <c r="S133" s="4"/>
      <c r="T133" s="4"/>
      <c r="U133" s="194"/>
      <c r="V133" s="4"/>
      <c r="W133" s="4"/>
      <c r="X133" s="4"/>
      <c r="Y133" s="4"/>
      <c r="Z133" s="4"/>
    </row>
    <row r="134" customFormat="false" ht="15.75" hidden="false" customHeight="true" outlineLevel="0" collapsed="false">
      <c r="A134" s="4"/>
      <c r="B134" s="4"/>
      <c r="C134" s="4"/>
      <c r="D134" s="4"/>
      <c r="E134" s="4"/>
      <c r="F134" s="4"/>
      <c r="G134" s="194"/>
      <c r="H134" s="225"/>
      <c r="I134" s="225"/>
      <c r="J134" s="4"/>
      <c r="K134" s="4"/>
      <c r="L134" s="4"/>
      <c r="M134" s="225"/>
      <c r="N134" s="225"/>
      <c r="O134" s="225"/>
      <c r="P134" s="4"/>
      <c r="Q134" s="4"/>
      <c r="R134" s="4"/>
      <c r="S134" s="4"/>
      <c r="T134" s="4"/>
      <c r="U134" s="194"/>
      <c r="V134" s="4"/>
      <c r="W134" s="4"/>
      <c r="X134" s="4"/>
      <c r="Y134" s="4"/>
      <c r="Z134" s="4"/>
    </row>
    <row r="135" customFormat="false" ht="15.75" hidden="false" customHeight="true" outlineLevel="0" collapsed="false">
      <c r="A135" s="4"/>
      <c r="B135" s="4"/>
      <c r="C135" s="4"/>
      <c r="D135" s="4"/>
      <c r="E135" s="4"/>
      <c r="F135" s="4"/>
      <c r="G135" s="194"/>
      <c r="H135" s="225"/>
      <c r="I135" s="225"/>
      <c r="J135" s="4"/>
      <c r="K135" s="4"/>
      <c r="L135" s="4"/>
      <c r="M135" s="225"/>
      <c r="N135" s="225"/>
      <c r="O135" s="225"/>
      <c r="P135" s="4"/>
      <c r="Q135" s="4"/>
      <c r="R135" s="4"/>
      <c r="S135" s="4"/>
      <c r="T135" s="4"/>
      <c r="U135" s="194"/>
      <c r="V135" s="4"/>
      <c r="W135" s="4"/>
      <c r="X135" s="4"/>
      <c r="Y135" s="4"/>
      <c r="Z135" s="4"/>
    </row>
    <row r="136" customFormat="false" ht="15.75" hidden="false" customHeight="true" outlineLevel="0" collapsed="false">
      <c r="A136" s="4"/>
      <c r="B136" s="4"/>
      <c r="C136" s="4"/>
      <c r="D136" s="4"/>
      <c r="E136" s="4"/>
      <c r="F136" s="4"/>
      <c r="G136" s="194"/>
      <c r="H136" s="225"/>
      <c r="I136" s="225"/>
      <c r="J136" s="4"/>
      <c r="K136" s="4"/>
      <c r="L136" s="4"/>
      <c r="M136" s="225"/>
      <c r="N136" s="225"/>
      <c r="O136" s="225"/>
      <c r="P136" s="4"/>
      <c r="Q136" s="4"/>
      <c r="R136" s="4"/>
      <c r="S136" s="4"/>
      <c r="T136" s="4"/>
      <c r="U136" s="194"/>
      <c r="V136" s="4"/>
      <c r="W136" s="4"/>
      <c r="X136" s="4"/>
      <c r="Y136" s="4"/>
      <c r="Z136" s="4"/>
    </row>
    <row r="137" customFormat="false" ht="15.75" hidden="false" customHeight="true" outlineLevel="0" collapsed="false">
      <c r="A137" s="4"/>
      <c r="B137" s="4"/>
      <c r="C137" s="4"/>
      <c r="D137" s="4"/>
      <c r="E137" s="4"/>
      <c r="F137" s="4"/>
      <c r="G137" s="194"/>
      <c r="H137" s="225"/>
      <c r="I137" s="225"/>
      <c r="J137" s="4"/>
      <c r="K137" s="4"/>
      <c r="L137" s="4"/>
      <c r="M137" s="225"/>
      <c r="N137" s="225"/>
      <c r="O137" s="225"/>
      <c r="P137" s="4"/>
      <c r="Q137" s="4"/>
      <c r="R137" s="4"/>
      <c r="S137" s="4"/>
      <c r="T137" s="4"/>
      <c r="U137" s="194"/>
      <c r="V137" s="4"/>
      <c r="W137" s="4"/>
      <c r="X137" s="4"/>
      <c r="Y137" s="4"/>
      <c r="Z137" s="4"/>
    </row>
    <row r="138" customFormat="false" ht="15.75" hidden="false" customHeight="true" outlineLevel="0" collapsed="false">
      <c r="A138" s="4"/>
      <c r="B138" s="4"/>
      <c r="C138" s="4"/>
      <c r="D138" s="4"/>
      <c r="E138" s="4"/>
      <c r="F138" s="4"/>
      <c r="G138" s="194"/>
      <c r="H138" s="225"/>
      <c r="I138" s="225"/>
      <c r="J138" s="4"/>
      <c r="K138" s="4"/>
      <c r="L138" s="4"/>
      <c r="M138" s="225"/>
      <c r="N138" s="225"/>
      <c r="O138" s="225"/>
      <c r="P138" s="4"/>
      <c r="Q138" s="4"/>
      <c r="R138" s="4"/>
      <c r="S138" s="4"/>
      <c r="T138" s="4"/>
      <c r="U138" s="194"/>
      <c r="V138" s="4"/>
      <c r="W138" s="4"/>
      <c r="X138" s="4"/>
      <c r="Y138" s="4"/>
      <c r="Z138" s="4"/>
    </row>
    <row r="139" customFormat="false" ht="15.75" hidden="false" customHeight="true" outlineLevel="0" collapsed="false">
      <c r="A139" s="4"/>
      <c r="B139" s="4"/>
      <c r="C139" s="4"/>
      <c r="D139" s="4"/>
      <c r="E139" s="4"/>
      <c r="F139" s="4"/>
      <c r="G139" s="194"/>
      <c r="H139" s="225"/>
      <c r="I139" s="225"/>
      <c r="J139" s="4"/>
      <c r="K139" s="4"/>
      <c r="L139" s="4"/>
      <c r="M139" s="225"/>
      <c r="N139" s="225"/>
      <c r="O139" s="225"/>
      <c r="P139" s="4"/>
      <c r="Q139" s="4"/>
      <c r="R139" s="4"/>
      <c r="S139" s="4"/>
      <c r="T139" s="4"/>
      <c r="U139" s="194"/>
      <c r="V139" s="4"/>
      <c r="W139" s="4"/>
      <c r="X139" s="4"/>
      <c r="Y139" s="4"/>
      <c r="Z139" s="4"/>
    </row>
    <row r="140" customFormat="false" ht="15.75" hidden="false" customHeight="true" outlineLevel="0" collapsed="false">
      <c r="A140" s="4"/>
      <c r="B140" s="4"/>
      <c r="C140" s="4"/>
      <c r="D140" s="4"/>
      <c r="E140" s="4"/>
      <c r="F140" s="4"/>
      <c r="G140" s="194"/>
      <c r="H140" s="225"/>
      <c r="I140" s="225"/>
      <c r="J140" s="4"/>
      <c r="K140" s="4"/>
      <c r="L140" s="4"/>
      <c r="M140" s="225"/>
      <c r="N140" s="225"/>
      <c r="O140" s="225"/>
      <c r="P140" s="4"/>
      <c r="Q140" s="4"/>
      <c r="R140" s="4"/>
      <c r="S140" s="4"/>
      <c r="T140" s="4"/>
      <c r="U140" s="194"/>
      <c r="V140" s="4"/>
      <c r="W140" s="4"/>
      <c r="X140" s="4"/>
      <c r="Y140" s="4"/>
      <c r="Z140" s="4"/>
    </row>
    <row r="141" customFormat="false" ht="15.75" hidden="false" customHeight="true" outlineLevel="0" collapsed="false">
      <c r="A141" s="4"/>
      <c r="B141" s="4"/>
      <c r="C141" s="4"/>
      <c r="D141" s="4"/>
      <c r="E141" s="4"/>
      <c r="F141" s="4"/>
      <c r="G141" s="194"/>
      <c r="H141" s="225"/>
      <c r="I141" s="225"/>
      <c r="J141" s="4"/>
      <c r="K141" s="4"/>
      <c r="L141" s="4"/>
      <c r="M141" s="225"/>
      <c r="N141" s="225"/>
      <c r="O141" s="225"/>
      <c r="P141" s="4"/>
      <c r="Q141" s="4"/>
      <c r="R141" s="4"/>
      <c r="S141" s="4"/>
      <c r="T141" s="4"/>
      <c r="U141" s="194"/>
      <c r="V141" s="4"/>
      <c r="W141" s="4"/>
      <c r="X141" s="4"/>
      <c r="Y141" s="4"/>
      <c r="Z141" s="4"/>
    </row>
    <row r="142" customFormat="false" ht="15.75" hidden="false" customHeight="true" outlineLevel="0" collapsed="false">
      <c r="A142" s="4"/>
      <c r="B142" s="4"/>
      <c r="C142" s="4"/>
      <c r="D142" s="4"/>
      <c r="E142" s="4"/>
      <c r="F142" s="4"/>
      <c r="G142" s="194"/>
      <c r="H142" s="225"/>
      <c r="I142" s="225"/>
      <c r="J142" s="4"/>
      <c r="K142" s="4"/>
      <c r="L142" s="4"/>
      <c r="M142" s="225"/>
      <c r="N142" s="225"/>
      <c r="O142" s="225"/>
      <c r="P142" s="4"/>
      <c r="Q142" s="4"/>
      <c r="R142" s="4"/>
      <c r="S142" s="4"/>
      <c r="T142" s="4"/>
      <c r="U142" s="194"/>
      <c r="V142" s="4"/>
      <c r="W142" s="4"/>
      <c r="X142" s="4"/>
      <c r="Y142" s="4"/>
      <c r="Z142" s="4"/>
    </row>
    <row r="143" customFormat="false" ht="15.75" hidden="false" customHeight="true" outlineLevel="0" collapsed="false">
      <c r="A143" s="4"/>
      <c r="B143" s="4"/>
      <c r="C143" s="4"/>
      <c r="D143" s="4"/>
      <c r="E143" s="4"/>
      <c r="F143" s="4"/>
      <c r="G143" s="194"/>
      <c r="H143" s="225"/>
      <c r="I143" s="225"/>
      <c r="J143" s="4"/>
      <c r="K143" s="4"/>
      <c r="L143" s="4"/>
      <c r="M143" s="225"/>
      <c r="N143" s="225"/>
      <c r="O143" s="225"/>
      <c r="P143" s="4"/>
      <c r="Q143" s="4"/>
      <c r="R143" s="4"/>
      <c r="S143" s="4"/>
      <c r="T143" s="4"/>
      <c r="U143" s="194"/>
      <c r="V143" s="4"/>
      <c r="W143" s="4"/>
      <c r="X143" s="4"/>
      <c r="Y143" s="4"/>
      <c r="Z143" s="4"/>
    </row>
    <row r="144" customFormat="false" ht="15.75" hidden="false" customHeight="true" outlineLevel="0" collapsed="false">
      <c r="A144" s="4"/>
      <c r="B144" s="4"/>
      <c r="C144" s="4"/>
      <c r="D144" s="4"/>
      <c r="E144" s="4"/>
      <c r="F144" s="4"/>
      <c r="G144" s="194"/>
      <c r="H144" s="225"/>
      <c r="I144" s="225"/>
      <c r="J144" s="4"/>
      <c r="K144" s="4"/>
      <c r="L144" s="4"/>
      <c r="M144" s="225"/>
      <c r="N144" s="225"/>
      <c r="O144" s="225"/>
      <c r="P144" s="4"/>
      <c r="Q144" s="4"/>
      <c r="R144" s="4"/>
      <c r="S144" s="4"/>
      <c r="T144" s="4"/>
      <c r="U144" s="194"/>
      <c r="V144" s="4"/>
      <c r="W144" s="4"/>
      <c r="X144" s="4"/>
      <c r="Y144" s="4"/>
      <c r="Z144" s="4"/>
    </row>
    <row r="145" customFormat="false" ht="15.75" hidden="false" customHeight="true" outlineLevel="0" collapsed="false">
      <c r="A145" s="4"/>
      <c r="B145" s="4"/>
      <c r="C145" s="4"/>
      <c r="D145" s="4"/>
      <c r="E145" s="4"/>
      <c r="F145" s="4"/>
      <c r="G145" s="194"/>
      <c r="H145" s="225"/>
      <c r="I145" s="225"/>
      <c r="J145" s="4"/>
      <c r="K145" s="4"/>
      <c r="L145" s="4"/>
      <c r="M145" s="225"/>
      <c r="N145" s="225"/>
      <c r="O145" s="225"/>
      <c r="P145" s="4"/>
      <c r="Q145" s="4"/>
      <c r="R145" s="4"/>
      <c r="S145" s="4"/>
      <c r="T145" s="4"/>
      <c r="U145" s="194"/>
      <c r="V145" s="4"/>
      <c r="W145" s="4"/>
      <c r="X145" s="4"/>
      <c r="Y145" s="4"/>
      <c r="Z145" s="4"/>
    </row>
    <row r="146" customFormat="false" ht="15.75" hidden="false" customHeight="true" outlineLevel="0" collapsed="false">
      <c r="A146" s="4"/>
      <c r="B146" s="4"/>
      <c r="C146" s="4"/>
      <c r="D146" s="4"/>
      <c r="E146" s="4"/>
      <c r="F146" s="4"/>
      <c r="G146" s="194"/>
      <c r="H146" s="225"/>
      <c r="I146" s="225"/>
      <c r="J146" s="4"/>
      <c r="K146" s="4"/>
      <c r="L146" s="4"/>
      <c r="M146" s="225"/>
      <c r="N146" s="225"/>
      <c r="O146" s="225"/>
      <c r="P146" s="4"/>
      <c r="Q146" s="4"/>
      <c r="R146" s="4"/>
      <c r="S146" s="4"/>
      <c r="T146" s="4"/>
      <c r="U146" s="194"/>
      <c r="V146" s="4"/>
      <c r="W146" s="4"/>
      <c r="X146" s="4"/>
      <c r="Y146" s="4"/>
      <c r="Z146" s="4"/>
    </row>
    <row r="147" customFormat="false" ht="15.75" hidden="false" customHeight="true" outlineLevel="0" collapsed="false">
      <c r="A147" s="4"/>
      <c r="B147" s="4"/>
      <c r="C147" s="4"/>
      <c r="D147" s="4"/>
      <c r="E147" s="4"/>
      <c r="F147" s="4"/>
      <c r="G147" s="194"/>
      <c r="H147" s="225"/>
      <c r="I147" s="225"/>
      <c r="J147" s="4"/>
      <c r="K147" s="4"/>
      <c r="L147" s="4"/>
      <c r="M147" s="225"/>
      <c r="N147" s="225"/>
      <c r="O147" s="225"/>
      <c r="P147" s="4"/>
      <c r="Q147" s="4"/>
      <c r="R147" s="4"/>
      <c r="S147" s="4"/>
      <c r="T147" s="4"/>
      <c r="U147" s="194"/>
      <c r="V147" s="4"/>
      <c r="W147" s="4"/>
      <c r="X147" s="4"/>
      <c r="Y147" s="4"/>
      <c r="Z147" s="4"/>
    </row>
    <row r="148" customFormat="false" ht="15.75" hidden="false" customHeight="true" outlineLevel="0" collapsed="false">
      <c r="A148" s="4"/>
      <c r="B148" s="4"/>
      <c r="C148" s="4"/>
      <c r="D148" s="4"/>
      <c r="E148" s="4"/>
      <c r="F148" s="4"/>
      <c r="G148" s="194"/>
      <c r="H148" s="225"/>
      <c r="I148" s="225"/>
      <c r="J148" s="4"/>
      <c r="K148" s="4"/>
      <c r="L148" s="4"/>
      <c r="M148" s="225"/>
      <c r="N148" s="225"/>
      <c r="O148" s="225"/>
      <c r="P148" s="4"/>
      <c r="Q148" s="4"/>
      <c r="R148" s="4"/>
      <c r="S148" s="4"/>
      <c r="T148" s="4"/>
      <c r="U148" s="194"/>
      <c r="V148" s="4"/>
      <c r="W148" s="4"/>
      <c r="X148" s="4"/>
      <c r="Y148" s="4"/>
      <c r="Z148" s="4"/>
    </row>
    <row r="149" customFormat="false" ht="15.75" hidden="false" customHeight="true" outlineLevel="0" collapsed="false">
      <c r="A149" s="4"/>
      <c r="B149" s="4"/>
      <c r="C149" s="4"/>
      <c r="D149" s="4"/>
      <c r="E149" s="4"/>
      <c r="F149" s="4"/>
      <c r="G149" s="194"/>
      <c r="H149" s="225"/>
      <c r="I149" s="225"/>
      <c r="J149" s="4"/>
      <c r="K149" s="4"/>
      <c r="L149" s="4"/>
      <c r="M149" s="225"/>
      <c r="N149" s="225"/>
      <c r="O149" s="225"/>
      <c r="P149" s="4"/>
      <c r="Q149" s="4"/>
      <c r="R149" s="4"/>
      <c r="S149" s="4"/>
      <c r="T149" s="4"/>
      <c r="U149" s="194"/>
      <c r="V149" s="4"/>
      <c r="W149" s="4"/>
      <c r="X149" s="4"/>
      <c r="Y149" s="4"/>
      <c r="Z149" s="4"/>
    </row>
    <row r="150" customFormat="false" ht="15.75" hidden="false" customHeight="true" outlineLevel="0" collapsed="false">
      <c r="A150" s="4"/>
      <c r="B150" s="4"/>
      <c r="C150" s="4"/>
      <c r="D150" s="4"/>
      <c r="E150" s="4"/>
      <c r="F150" s="4"/>
      <c r="G150" s="194"/>
      <c r="H150" s="225"/>
      <c r="I150" s="225"/>
      <c r="J150" s="4"/>
      <c r="K150" s="4"/>
      <c r="L150" s="4"/>
      <c r="M150" s="225"/>
      <c r="N150" s="225"/>
      <c r="O150" s="225"/>
      <c r="P150" s="4"/>
      <c r="Q150" s="4"/>
      <c r="R150" s="4"/>
      <c r="S150" s="4"/>
      <c r="T150" s="4"/>
      <c r="U150" s="194"/>
      <c r="V150" s="4"/>
      <c r="W150" s="4"/>
      <c r="X150" s="4"/>
      <c r="Y150" s="4"/>
      <c r="Z150" s="4"/>
    </row>
    <row r="151" customFormat="false" ht="15.75" hidden="false" customHeight="true" outlineLevel="0" collapsed="false">
      <c r="A151" s="4"/>
      <c r="B151" s="4"/>
      <c r="C151" s="4"/>
      <c r="D151" s="4"/>
      <c r="E151" s="4"/>
      <c r="F151" s="4"/>
      <c r="G151" s="194"/>
      <c r="H151" s="225"/>
      <c r="I151" s="225"/>
      <c r="J151" s="4"/>
      <c r="K151" s="4"/>
      <c r="L151" s="4"/>
      <c r="M151" s="225"/>
      <c r="N151" s="225"/>
      <c r="O151" s="225"/>
      <c r="P151" s="4"/>
      <c r="Q151" s="4"/>
      <c r="R151" s="4"/>
      <c r="S151" s="4"/>
      <c r="T151" s="4"/>
      <c r="U151" s="194"/>
      <c r="V151" s="4"/>
      <c r="W151" s="4"/>
      <c r="X151" s="4"/>
      <c r="Y151" s="4"/>
      <c r="Z151" s="4"/>
    </row>
    <row r="152" customFormat="false" ht="15.75" hidden="false" customHeight="true" outlineLevel="0" collapsed="false">
      <c r="A152" s="4"/>
      <c r="B152" s="4"/>
      <c r="C152" s="4"/>
      <c r="D152" s="4"/>
      <c r="E152" s="4"/>
      <c r="F152" s="4"/>
      <c r="G152" s="194"/>
      <c r="H152" s="225"/>
      <c r="I152" s="225"/>
      <c r="J152" s="4"/>
      <c r="K152" s="4"/>
      <c r="L152" s="4"/>
      <c r="M152" s="225"/>
      <c r="N152" s="225"/>
      <c r="O152" s="225"/>
      <c r="P152" s="4"/>
      <c r="Q152" s="4"/>
      <c r="R152" s="4"/>
      <c r="S152" s="4"/>
      <c r="T152" s="4"/>
      <c r="U152" s="194"/>
      <c r="V152" s="4"/>
      <c r="W152" s="4"/>
      <c r="X152" s="4"/>
      <c r="Y152" s="4"/>
      <c r="Z152" s="4"/>
    </row>
    <row r="153" customFormat="false" ht="15.75" hidden="false" customHeight="true" outlineLevel="0" collapsed="false">
      <c r="A153" s="4"/>
      <c r="B153" s="4"/>
      <c r="C153" s="4"/>
      <c r="D153" s="4"/>
      <c r="E153" s="4"/>
      <c r="F153" s="4"/>
      <c r="G153" s="194"/>
      <c r="H153" s="225"/>
      <c r="I153" s="225"/>
      <c r="J153" s="4"/>
      <c r="K153" s="4"/>
      <c r="L153" s="4"/>
      <c r="M153" s="225"/>
      <c r="N153" s="225"/>
      <c r="O153" s="225"/>
      <c r="P153" s="4"/>
      <c r="Q153" s="4"/>
      <c r="R153" s="4"/>
      <c r="S153" s="4"/>
      <c r="T153" s="4"/>
      <c r="U153" s="194"/>
      <c r="V153" s="4"/>
      <c r="W153" s="4"/>
      <c r="X153" s="4"/>
      <c r="Y153" s="4"/>
      <c r="Z153" s="4"/>
    </row>
    <row r="154" customFormat="false" ht="15.75" hidden="false" customHeight="true" outlineLevel="0" collapsed="false">
      <c r="A154" s="4"/>
      <c r="B154" s="4"/>
      <c r="C154" s="4"/>
      <c r="D154" s="4"/>
      <c r="E154" s="4"/>
      <c r="F154" s="4"/>
      <c r="G154" s="194"/>
      <c r="H154" s="225"/>
      <c r="I154" s="225"/>
      <c r="J154" s="4"/>
      <c r="K154" s="4"/>
      <c r="L154" s="4"/>
      <c r="M154" s="225"/>
      <c r="N154" s="225"/>
      <c r="O154" s="225"/>
      <c r="P154" s="4"/>
      <c r="Q154" s="4"/>
      <c r="R154" s="4"/>
      <c r="S154" s="4"/>
      <c r="T154" s="4"/>
      <c r="U154" s="194"/>
      <c r="V154" s="4"/>
      <c r="W154" s="4"/>
      <c r="X154" s="4"/>
      <c r="Y154" s="4"/>
      <c r="Z154" s="4"/>
    </row>
    <row r="155" customFormat="false" ht="15.75" hidden="false" customHeight="true" outlineLevel="0" collapsed="false">
      <c r="A155" s="4"/>
      <c r="B155" s="4"/>
      <c r="C155" s="4"/>
      <c r="D155" s="4"/>
      <c r="E155" s="4"/>
      <c r="F155" s="4"/>
      <c r="G155" s="194"/>
      <c r="H155" s="225"/>
      <c r="I155" s="225"/>
      <c r="J155" s="4"/>
      <c r="K155" s="4"/>
      <c r="L155" s="4"/>
      <c r="M155" s="225"/>
      <c r="N155" s="225"/>
      <c r="O155" s="225"/>
      <c r="P155" s="4"/>
      <c r="Q155" s="4"/>
      <c r="R155" s="4"/>
      <c r="S155" s="4"/>
      <c r="T155" s="4"/>
      <c r="U155" s="194"/>
      <c r="V155" s="4"/>
      <c r="W155" s="4"/>
      <c r="X155" s="4"/>
      <c r="Y155" s="4"/>
      <c r="Z155" s="4"/>
    </row>
    <row r="156" customFormat="false" ht="15.75" hidden="false" customHeight="true" outlineLevel="0" collapsed="false">
      <c r="A156" s="4"/>
      <c r="B156" s="4"/>
      <c r="C156" s="4"/>
      <c r="D156" s="4"/>
      <c r="E156" s="4"/>
      <c r="F156" s="4"/>
      <c r="G156" s="194"/>
      <c r="H156" s="225"/>
      <c r="I156" s="225"/>
      <c r="J156" s="4"/>
      <c r="K156" s="4"/>
      <c r="L156" s="4"/>
      <c r="M156" s="225"/>
      <c r="N156" s="225"/>
      <c r="O156" s="225"/>
      <c r="P156" s="4"/>
      <c r="Q156" s="4"/>
      <c r="R156" s="4"/>
      <c r="S156" s="4"/>
      <c r="T156" s="4"/>
      <c r="U156" s="194"/>
      <c r="V156" s="4"/>
      <c r="W156" s="4"/>
      <c r="X156" s="4"/>
      <c r="Y156" s="4"/>
      <c r="Z156" s="4"/>
    </row>
    <row r="157" customFormat="false" ht="15.75" hidden="false" customHeight="true" outlineLevel="0" collapsed="false">
      <c r="A157" s="4"/>
      <c r="B157" s="4"/>
      <c r="C157" s="4"/>
      <c r="D157" s="4"/>
      <c r="E157" s="4"/>
      <c r="F157" s="4"/>
      <c r="G157" s="194"/>
      <c r="H157" s="225"/>
      <c r="I157" s="225"/>
      <c r="J157" s="4"/>
      <c r="K157" s="4"/>
      <c r="L157" s="4"/>
      <c r="M157" s="225"/>
      <c r="N157" s="225"/>
      <c r="O157" s="225"/>
      <c r="P157" s="4"/>
      <c r="Q157" s="4"/>
      <c r="R157" s="4"/>
      <c r="S157" s="4"/>
      <c r="T157" s="4"/>
      <c r="U157" s="194"/>
      <c r="V157" s="4"/>
      <c r="W157" s="4"/>
      <c r="X157" s="4"/>
      <c r="Y157" s="4"/>
      <c r="Z157" s="4"/>
    </row>
    <row r="158" customFormat="false" ht="15.75" hidden="false" customHeight="true" outlineLevel="0" collapsed="false">
      <c r="A158" s="4"/>
      <c r="B158" s="4"/>
      <c r="C158" s="4"/>
      <c r="D158" s="4"/>
      <c r="E158" s="4"/>
      <c r="F158" s="4"/>
      <c r="G158" s="194"/>
      <c r="H158" s="225"/>
      <c r="I158" s="225"/>
      <c r="J158" s="4"/>
      <c r="K158" s="4"/>
      <c r="L158" s="4"/>
      <c r="M158" s="225"/>
      <c r="N158" s="225"/>
      <c r="O158" s="225"/>
      <c r="P158" s="4"/>
      <c r="Q158" s="4"/>
      <c r="R158" s="4"/>
      <c r="S158" s="4"/>
      <c r="T158" s="4"/>
      <c r="U158" s="194"/>
      <c r="V158" s="4"/>
      <c r="W158" s="4"/>
      <c r="X158" s="4"/>
      <c r="Y158" s="4"/>
      <c r="Z158" s="4"/>
    </row>
    <row r="159" customFormat="false" ht="15.75" hidden="false" customHeight="true" outlineLevel="0" collapsed="false">
      <c r="A159" s="4"/>
      <c r="B159" s="4"/>
      <c r="C159" s="4"/>
      <c r="D159" s="4"/>
      <c r="E159" s="4"/>
      <c r="F159" s="4"/>
      <c r="G159" s="194"/>
      <c r="H159" s="225"/>
      <c r="I159" s="225"/>
      <c r="J159" s="4"/>
      <c r="K159" s="4"/>
      <c r="L159" s="4"/>
      <c r="M159" s="225"/>
      <c r="N159" s="225"/>
      <c r="O159" s="225"/>
      <c r="P159" s="4"/>
      <c r="Q159" s="4"/>
      <c r="R159" s="4"/>
      <c r="S159" s="4"/>
      <c r="T159" s="4"/>
      <c r="U159" s="194"/>
      <c r="V159" s="4"/>
      <c r="W159" s="4"/>
      <c r="X159" s="4"/>
      <c r="Y159" s="4"/>
      <c r="Z159" s="4"/>
    </row>
    <row r="160" customFormat="false" ht="15.75" hidden="false" customHeight="true" outlineLevel="0" collapsed="false">
      <c r="A160" s="4"/>
      <c r="B160" s="4"/>
      <c r="C160" s="4"/>
      <c r="D160" s="4"/>
      <c r="E160" s="4"/>
      <c r="F160" s="4"/>
      <c r="G160" s="194"/>
      <c r="H160" s="225"/>
      <c r="I160" s="225"/>
      <c r="J160" s="4"/>
      <c r="K160" s="4"/>
      <c r="L160" s="4"/>
      <c r="M160" s="225"/>
      <c r="N160" s="225"/>
      <c r="O160" s="225"/>
      <c r="P160" s="4"/>
      <c r="Q160" s="4"/>
      <c r="R160" s="4"/>
      <c r="S160" s="4"/>
      <c r="T160" s="4"/>
      <c r="U160" s="194"/>
      <c r="V160" s="4"/>
      <c r="W160" s="4"/>
      <c r="X160" s="4"/>
      <c r="Y160" s="4"/>
      <c r="Z160" s="4"/>
    </row>
    <row r="161" customFormat="false" ht="15.75" hidden="false" customHeight="true" outlineLevel="0" collapsed="false">
      <c r="A161" s="4"/>
      <c r="B161" s="4"/>
      <c r="C161" s="4"/>
      <c r="D161" s="4"/>
      <c r="E161" s="4"/>
      <c r="F161" s="4"/>
      <c r="G161" s="194"/>
      <c r="H161" s="225"/>
      <c r="I161" s="225"/>
      <c r="J161" s="4"/>
      <c r="K161" s="4"/>
      <c r="L161" s="4"/>
      <c r="M161" s="225"/>
      <c r="N161" s="225"/>
      <c r="O161" s="225"/>
      <c r="P161" s="4"/>
      <c r="Q161" s="4"/>
      <c r="R161" s="4"/>
      <c r="S161" s="4"/>
      <c r="T161" s="4"/>
      <c r="U161" s="194"/>
      <c r="V161" s="4"/>
      <c r="W161" s="4"/>
      <c r="X161" s="4"/>
      <c r="Y161" s="4"/>
      <c r="Z161" s="4"/>
    </row>
    <row r="162" customFormat="false" ht="15.75" hidden="false" customHeight="true" outlineLevel="0" collapsed="false">
      <c r="A162" s="4"/>
      <c r="B162" s="4"/>
      <c r="C162" s="4"/>
      <c r="D162" s="4"/>
      <c r="E162" s="4"/>
      <c r="F162" s="4"/>
      <c r="G162" s="194"/>
      <c r="H162" s="225"/>
      <c r="I162" s="225"/>
      <c r="J162" s="4"/>
      <c r="K162" s="4"/>
      <c r="L162" s="4"/>
      <c r="M162" s="225"/>
      <c r="N162" s="225"/>
      <c r="O162" s="225"/>
      <c r="P162" s="4"/>
      <c r="Q162" s="4"/>
      <c r="R162" s="4"/>
      <c r="S162" s="4"/>
      <c r="T162" s="4"/>
      <c r="U162" s="194"/>
      <c r="V162" s="4"/>
      <c r="W162" s="4"/>
      <c r="X162" s="4"/>
      <c r="Y162" s="4"/>
      <c r="Z162" s="4"/>
    </row>
    <row r="163" customFormat="false" ht="15.75" hidden="false" customHeight="true" outlineLevel="0" collapsed="false">
      <c r="A163" s="4"/>
      <c r="B163" s="4"/>
      <c r="C163" s="4"/>
      <c r="D163" s="4"/>
      <c r="E163" s="4"/>
      <c r="F163" s="4"/>
      <c r="G163" s="194"/>
      <c r="H163" s="225"/>
      <c r="I163" s="225"/>
      <c r="J163" s="4"/>
      <c r="K163" s="4"/>
      <c r="L163" s="4"/>
      <c r="M163" s="225"/>
      <c r="N163" s="225"/>
      <c r="O163" s="225"/>
      <c r="P163" s="4"/>
      <c r="Q163" s="4"/>
      <c r="R163" s="4"/>
      <c r="S163" s="4"/>
      <c r="T163" s="4"/>
      <c r="U163" s="194"/>
      <c r="V163" s="4"/>
      <c r="W163" s="4"/>
      <c r="X163" s="4"/>
      <c r="Y163" s="4"/>
      <c r="Z163" s="4"/>
    </row>
    <row r="164" customFormat="false" ht="15.75" hidden="false" customHeight="true" outlineLevel="0" collapsed="false">
      <c r="A164" s="4"/>
      <c r="B164" s="4"/>
      <c r="C164" s="4"/>
      <c r="D164" s="4"/>
      <c r="E164" s="4"/>
      <c r="F164" s="4"/>
      <c r="G164" s="194"/>
      <c r="H164" s="225"/>
      <c r="I164" s="225"/>
      <c r="J164" s="4"/>
      <c r="K164" s="4"/>
      <c r="L164" s="4"/>
      <c r="M164" s="225"/>
      <c r="N164" s="225"/>
      <c r="O164" s="225"/>
      <c r="P164" s="4"/>
      <c r="Q164" s="4"/>
      <c r="R164" s="4"/>
      <c r="S164" s="4"/>
      <c r="T164" s="4"/>
      <c r="U164" s="194"/>
      <c r="V164" s="4"/>
      <c r="W164" s="4"/>
      <c r="X164" s="4"/>
      <c r="Y164" s="4"/>
      <c r="Z164" s="4"/>
    </row>
    <row r="165" customFormat="false" ht="15.75" hidden="false" customHeight="true" outlineLevel="0" collapsed="false">
      <c r="A165" s="4"/>
      <c r="B165" s="4"/>
      <c r="C165" s="4"/>
      <c r="D165" s="4"/>
      <c r="E165" s="4"/>
      <c r="F165" s="4"/>
      <c r="G165" s="194"/>
      <c r="H165" s="225"/>
      <c r="I165" s="225"/>
      <c r="J165" s="4"/>
      <c r="K165" s="4"/>
      <c r="L165" s="4"/>
      <c r="M165" s="225"/>
      <c r="N165" s="225"/>
      <c r="O165" s="225"/>
      <c r="P165" s="4"/>
      <c r="Q165" s="4"/>
      <c r="R165" s="4"/>
      <c r="S165" s="4"/>
      <c r="T165" s="4"/>
      <c r="U165" s="194"/>
      <c r="V165" s="4"/>
      <c r="W165" s="4"/>
      <c r="X165" s="4"/>
      <c r="Y165" s="4"/>
      <c r="Z165" s="4"/>
    </row>
    <row r="166" customFormat="false" ht="15.75" hidden="false" customHeight="true" outlineLevel="0" collapsed="false">
      <c r="A166" s="4"/>
      <c r="B166" s="4"/>
      <c r="C166" s="4"/>
      <c r="D166" s="4"/>
      <c r="E166" s="4"/>
      <c r="F166" s="4"/>
      <c r="G166" s="194"/>
      <c r="H166" s="225"/>
      <c r="I166" s="225"/>
      <c r="J166" s="4"/>
      <c r="K166" s="4"/>
      <c r="L166" s="4"/>
      <c r="M166" s="225"/>
      <c r="N166" s="225"/>
      <c r="O166" s="225"/>
      <c r="P166" s="4"/>
      <c r="Q166" s="4"/>
      <c r="R166" s="4"/>
      <c r="S166" s="4"/>
      <c r="T166" s="4"/>
      <c r="U166" s="194"/>
      <c r="V166" s="4"/>
      <c r="W166" s="4"/>
      <c r="X166" s="4"/>
      <c r="Y166" s="4"/>
      <c r="Z166" s="4"/>
    </row>
    <row r="167" customFormat="false" ht="15.75" hidden="false" customHeight="true" outlineLevel="0" collapsed="false">
      <c r="A167" s="4"/>
      <c r="B167" s="4"/>
      <c r="C167" s="4"/>
      <c r="D167" s="4"/>
      <c r="E167" s="4"/>
      <c r="F167" s="4"/>
      <c r="G167" s="194"/>
      <c r="H167" s="225"/>
      <c r="I167" s="225"/>
      <c r="J167" s="4"/>
      <c r="K167" s="4"/>
      <c r="L167" s="4"/>
      <c r="M167" s="225"/>
      <c r="N167" s="225"/>
      <c r="O167" s="225"/>
      <c r="P167" s="4"/>
      <c r="Q167" s="4"/>
      <c r="R167" s="4"/>
      <c r="S167" s="4"/>
      <c r="T167" s="4"/>
      <c r="U167" s="194"/>
      <c r="V167" s="4"/>
      <c r="W167" s="4"/>
      <c r="X167" s="4"/>
      <c r="Y167" s="4"/>
      <c r="Z167" s="4"/>
    </row>
    <row r="168" customFormat="false" ht="15.75" hidden="false" customHeight="true" outlineLevel="0" collapsed="false">
      <c r="A168" s="4"/>
      <c r="B168" s="4"/>
      <c r="C168" s="4"/>
      <c r="D168" s="4"/>
      <c r="E168" s="4"/>
      <c r="F168" s="4"/>
      <c r="G168" s="194"/>
      <c r="H168" s="225"/>
      <c r="I168" s="225"/>
      <c r="J168" s="4"/>
      <c r="K168" s="4"/>
      <c r="L168" s="4"/>
      <c r="M168" s="225"/>
      <c r="N168" s="225"/>
      <c r="O168" s="225"/>
      <c r="P168" s="4"/>
      <c r="Q168" s="4"/>
      <c r="R168" s="4"/>
      <c r="S168" s="4"/>
      <c r="T168" s="4"/>
      <c r="U168" s="194"/>
      <c r="V168" s="4"/>
      <c r="W168" s="4"/>
      <c r="X168" s="4"/>
      <c r="Y168" s="4"/>
      <c r="Z168" s="4"/>
    </row>
    <row r="169" customFormat="false" ht="15.75" hidden="false" customHeight="true" outlineLevel="0" collapsed="false">
      <c r="A169" s="4"/>
      <c r="B169" s="4"/>
      <c r="C169" s="4"/>
      <c r="D169" s="4"/>
      <c r="E169" s="4"/>
      <c r="F169" s="4"/>
      <c r="G169" s="194"/>
      <c r="H169" s="225"/>
      <c r="I169" s="225"/>
      <c r="J169" s="4"/>
      <c r="K169" s="4"/>
      <c r="L169" s="4"/>
      <c r="M169" s="225"/>
      <c r="N169" s="225"/>
      <c r="O169" s="225"/>
      <c r="P169" s="4"/>
      <c r="Q169" s="4"/>
      <c r="R169" s="4"/>
      <c r="S169" s="4"/>
      <c r="T169" s="4"/>
      <c r="U169" s="194"/>
      <c r="V169" s="4"/>
      <c r="W169" s="4"/>
      <c r="X169" s="4"/>
      <c r="Y169" s="4"/>
      <c r="Z169" s="4"/>
    </row>
    <row r="170" customFormat="false" ht="15.75" hidden="false" customHeight="true" outlineLevel="0" collapsed="false">
      <c r="A170" s="4"/>
      <c r="B170" s="4"/>
      <c r="C170" s="4"/>
      <c r="D170" s="4"/>
      <c r="E170" s="4"/>
      <c r="F170" s="4"/>
      <c r="G170" s="194"/>
      <c r="H170" s="225"/>
      <c r="I170" s="225"/>
      <c r="J170" s="4"/>
      <c r="K170" s="4"/>
      <c r="L170" s="4"/>
      <c r="M170" s="225"/>
      <c r="N170" s="225"/>
      <c r="O170" s="225"/>
      <c r="P170" s="4"/>
      <c r="Q170" s="4"/>
      <c r="R170" s="4"/>
      <c r="S170" s="4"/>
      <c r="T170" s="4"/>
      <c r="U170" s="194"/>
      <c r="V170" s="4"/>
      <c r="W170" s="4"/>
      <c r="X170" s="4"/>
      <c r="Y170" s="4"/>
      <c r="Z170" s="4"/>
    </row>
    <row r="171" customFormat="false" ht="15.75" hidden="false" customHeight="true" outlineLevel="0" collapsed="false">
      <c r="A171" s="4"/>
      <c r="B171" s="4"/>
      <c r="C171" s="4"/>
      <c r="D171" s="4"/>
      <c r="E171" s="4"/>
      <c r="F171" s="4"/>
      <c r="G171" s="194"/>
      <c r="H171" s="225"/>
      <c r="I171" s="225"/>
      <c r="J171" s="4"/>
      <c r="K171" s="4"/>
      <c r="L171" s="4"/>
      <c r="M171" s="225"/>
      <c r="N171" s="225"/>
      <c r="O171" s="225"/>
      <c r="P171" s="4"/>
      <c r="Q171" s="4"/>
      <c r="R171" s="4"/>
      <c r="S171" s="4"/>
      <c r="T171" s="4"/>
      <c r="U171" s="194"/>
      <c r="V171" s="4"/>
      <c r="W171" s="4"/>
      <c r="X171" s="4"/>
      <c r="Y171" s="4"/>
      <c r="Z171" s="4"/>
    </row>
    <row r="172" customFormat="false" ht="15.75" hidden="false" customHeight="true" outlineLevel="0" collapsed="false">
      <c r="A172" s="4"/>
      <c r="B172" s="4"/>
      <c r="C172" s="4"/>
      <c r="D172" s="4"/>
      <c r="E172" s="4"/>
      <c r="F172" s="4"/>
      <c r="G172" s="194"/>
      <c r="H172" s="225"/>
      <c r="I172" s="225"/>
      <c r="J172" s="4"/>
      <c r="K172" s="4"/>
      <c r="L172" s="4"/>
      <c r="M172" s="225"/>
      <c r="N172" s="225"/>
      <c r="O172" s="225"/>
      <c r="P172" s="4"/>
      <c r="Q172" s="4"/>
      <c r="R172" s="4"/>
      <c r="S172" s="4"/>
      <c r="T172" s="4"/>
      <c r="U172" s="194"/>
      <c r="V172" s="4"/>
      <c r="W172" s="4"/>
      <c r="X172" s="4"/>
      <c r="Y172" s="4"/>
      <c r="Z172" s="4"/>
    </row>
    <row r="173" customFormat="false" ht="15.75" hidden="false" customHeight="true" outlineLevel="0" collapsed="false">
      <c r="A173" s="4"/>
      <c r="B173" s="4"/>
      <c r="C173" s="4"/>
      <c r="D173" s="4"/>
      <c r="E173" s="4"/>
      <c r="F173" s="4"/>
      <c r="G173" s="194"/>
      <c r="H173" s="225"/>
      <c r="I173" s="225"/>
      <c r="J173" s="4"/>
      <c r="K173" s="4"/>
      <c r="L173" s="4"/>
      <c r="M173" s="225"/>
      <c r="N173" s="225"/>
      <c r="O173" s="225"/>
      <c r="P173" s="4"/>
      <c r="Q173" s="4"/>
      <c r="R173" s="4"/>
      <c r="S173" s="4"/>
      <c r="T173" s="4"/>
      <c r="U173" s="194"/>
      <c r="V173" s="4"/>
      <c r="W173" s="4"/>
      <c r="X173" s="4"/>
      <c r="Y173" s="4"/>
      <c r="Z173" s="4"/>
    </row>
    <row r="174" customFormat="false" ht="15.75" hidden="false" customHeight="true" outlineLevel="0" collapsed="false">
      <c r="A174" s="4"/>
      <c r="B174" s="4"/>
      <c r="C174" s="4"/>
      <c r="D174" s="4"/>
      <c r="E174" s="4"/>
      <c r="F174" s="4"/>
      <c r="G174" s="194"/>
      <c r="H174" s="225"/>
      <c r="I174" s="225"/>
      <c r="J174" s="4"/>
      <c r="K174" s="4"/>
      <c r="L174" s="4"/>
      <c r="M174" s="225"/>
      <c r="N174" s="225"/>
      <c r="O174" s="225"/>
      <c r="P174" s="4"/>
      <c r="Q174" s="4"/>
      <c r="R174" s="4"/>
      <c r="S174" s="4"/>
      <c r="T174" s="4"/>
      <c r="U174" s="194"/>
      <c r="V174" s="4"/>
      <c r="W174" s="4"/>
      <c r="X174" s="4"/>
      <c r="Y174" s="4"/>
      <c r="Z174" s="4"/>
    </row>
    <row r="175" customFormat="false" ht="15.75" hidden="false" customHeight="true" outlineLevel="0" collapsed="false">
      <c r="A175" s="4"/>
      <c r="B175" s="4"/>
      <c r="C175" s="4"/>
      <c r="D175" s="4"/>
      <c r="E175" s="4"/>
      <c r="F175" s="4"/>
      <c r="G175" s="194"/>
      <c r="H175" s="225"/>
      <c r="I175" s="225"/>
      <c r="J175" s="4"/>
      <c r="K175" s="4"/>
      <c r="L175" s="4"/>
      <c r="M175" s="225"/>
      <c r="N175" s="225"/>
      <c r="O175" s="225"/>
      <c r="P175" s="4"/>
      <c r="Q175" s="4"/>
      <c r="R175" s="4"/>
      <c r="S175" s="4"/>
      <c r="T175" s="4"/>
      <c r="U175" s="194"/>
      <c r="V175" s="4"/>
      <c r="W175" s="4"/>
      <c r="X175" s="4"/>
      <c r="Y175" s="4"/>
      <c r="Z175" s="4"/>
    </row>
    <row r="176" customFormat="false" ht="15.75" hidden="false" customHeight="true" outlineLevel="0" collapsed="false">
      <c r="A176" s="4"/>
      <c r="B176" s="4"/>
      <c r="C176" s="4"/>
      <c r="D176" s="4"/>
      <c r="E176" s="4"/>
      <c r="F176" s="4"/>
      <c r="G176" s="194"/>
      <c r="H176" s="225"/>
      <c r="I176" s="225"/>
      <c r="J176" s="4"/>
      <c r="K176" s="4"/>
      <c r="L176" s="4"/>
      <c r="M176" s="225"/>
      <c r="N176" s="225"/>
      <c r="O176" s="225"/>
      <c r="P176" s="4"/>
      <c r="Q176" s="4"/>
      <c r="R176" s="4"/>
      <c r="S176" s="4"/>
      <c r="T176" s="4"/>
      <c r="U176" s="194"/>
      <c r="V176" s="4"/>
      <c r="W176" s="4"/>
      <c r="X176" s="4"/>
      <c r="Y176" s="4"/>
      <c r="Z176" s="4"/>
    </row>
    <row r="177" customFormat="false" ht="15.75" hidden="false" customHeight="true" outlineLevel="0" collapsed="false">
      <c r="A177" s="4"/>
      <c r="B177" s="4"/>
      <c r="C177" s="4"/>
      <c r="D177" s="4"/>
      <c r="E177" s="4"/>
      <c r="F177" s="4"/>
      <c r="G177" s="194"/>
      <c r="H177" s="225"/>
      <c r="I177" s="225"/>
      <c r="J177" s="4"/>
      <c r="K177" s="4"/>
      <c r="L177" s="4"/>
      <c r="M177" s="225"/>
      <c r="N177" s="225"/>
      <c r="O177" s="225"/>
      <c r="P177" s="4"/>
      <c r="Q177" s="4"/>
      <c r="R177" s="4"/>
      <c r="S177" s="4"/>
      <c r="T177" s="4"/>
      <c r="U177" s="194"/>
      <c r="V177" s="4"/>
      <c r="W177" s="4"/>
      <c r="X177" s="4"/>
      <c r="Y177" s="4"/>
      <c r="Z177" s="4"/>
    </row>
    <row r="178" customFormat="false" ht="15.75" hidden="false" customHeight="true" outlineLevel="0" collapsed="false">
      <c r="A178" s="4"/>
      <c r="B178" s="4"/>
      <c r="C178" s="4"/>
      <c r="D178" s="4"/>
      <c r="E178" s="4"/>
      <c r="F178" s="4"/>
      <c r="G178" s="194"/>
      <c r="H178" s="225"/>
      <c r="I178" s="225"/>
      <c r="J178" s="4"/>
      <c r="K178" s="4"/>
      <c r="L178" s="4"/>
      <c r="M178" s="225"/>
      <c r="N178" s="225"/>
      <c r="O178" s="225"/>
      <c r="P178" s="4"/>
      <c r="Q178" s="4"/>
      <c r="R178" s="4"/>
      <c r="S178" s="4"/>
      <c r="T178" s="4"/>
      <c r="U178" s="194"/>
      <c r="V178" s="4"/>
      <c r="W178" s="4"/>
      <c r="X178" s="4"/>
      <c r="Y178" s="4"/>
      <c r="Z178" s="4"/>
    </row>
    <row r="179" customFormat="false" ht="15.75" hidden="false" customHeight="true" outlineLevel="0" collapsed="false">
      <c r="A179" s="4"/>
      <c r="B179" s="4"/>
      <c r="C179" s="4"/>
      <c r="D179" s="4"/>
      <c r="E179" s="4"/>
      <c r="F179" s="4"/>
      <c r="G179" s="194"/>
      <c r="H179" s="225"/>
      <c r="I179" s="225"/>
      <c r="J179" s="4"/>
      <c r="K179" s="4"/>
      <c r="L179" s="4"/>
      <c r="M179" s="225"/>
      <c r="N179" s="225"/>
      <c r="O179" s="225"/>
      <c r="P179" s="4"/>
      <c r="Q179" s="4"/>
      <c r="R179" s="4"/>
      <c r="S179" s="4"/>
      <c r="T179" s="4"/>
      <c r="U179" s="194"/>
      <c r="V179" s="4"/>
      <c r="W179" s="4"/>
      <c r="X179" s="4"/>
      <c r="Y179" s="4"/>
      <c r="Z179" s="4"/>
    </row>
    <row r="180" customFormat="false" ht="15.75" hidden="false" customHeight="true" outlineLevel="0" collapsed="false">
      <c r="A180" s="4"/>
      <c r="B180" s="4"/>
      <c r="C180" s="4"/>
      <c r="D180" s="4"/>
      <c r="E180" s="4"/>
      <c r="F180" s="4"/>
      <c r="G180" s="194"/>
      <c r="H180" s="225"/>
      <c r="I180" s="225"/>
      <c r="J180" s="4"/>
      <c r="K180" s="4"/>
      <c r="L180" s="4"/>
      <c r="M180" s="225"/>
      <c r="N180" s="225"/>
      <c r="O180" s="225"/>
      <c r="P180" s="4"/>
      <c r="Q180" s="4"/>
      <c r="R180" s="4"/>
      <c r="S180" s="4"/>
      <c r="T180" s="4"/>
      <c r="U180" s="194"/>
      <c r="V180" s="4"/>
      <c r="W180" s="4"/>
      <c r="X180" s="4"/>
      <c r="Y180" s="4"/>
      <c r="Z180" s="4"/>
    </row>
    <row r="181" customFormat="false" ht="15.75" hidden="false" customHeight="true" outlineLevel="0" collapsed="false">
      <c r="A181" s="4"/>
      <c r="B181" s="4"/>
      <c r="C181" s="4"/>
      <c r="D181" s="4"/>
      <c r="E181" s="4"/>
      <c r="F181" s="4"/>
      <c r="G181" s="194"/>
      <c r="H181" s="225"/>
      <c r="I181" s="225"/>
      <c r="J181" s="4"/>
      <c r="K181" s="4"/>
      <c r="L181" s="4"/>
      <c r="M181" s="225"/>
      <c r="N181" s="225"/>
      <c r="O181" s="225"/>
      <c r="P181" s="4"/>
      <c r="Q181" s="4"/>
      <c r="R181" s="4"/>
      <c r="S181" s="4"/>
      <c r="T181" s="4"/>
      <c r="U181" s="194"/>
      <c r="V181" s="4"/>
      <c r="W181" s="4"/>
      <c r="X181" s="4"/>
      <c r="Y181" s="4"/>
      <c r="Z181" s="4"/>
    </row>
    <row r="182" customFormat="false" ht="15.75" hidden="false" customHeight="true" outlineLevel="0" collapsed="false">
      <c r="A182" s="4"/>
      <c r="B182" s="4"/>
      <c r="C182" s="4"/>
      <c r="D182" s="4"/>
      <c r="E182" s="4"/>
      <c r="F182" s="4"/>
      <c r="G182" s="194"/>
      <c r="H182" s="225"/>
      <c r="I182" s="225"/>
      <c r="J182" s="4"/>
      <c r="K182" s="4"/>
      <c r="L182" s="4"/>
      <c r="M182" s="225"/>
      <c r="N182" s="225"/>
      <c r="O182" s="225"/>
      <c r="P182" s="4"/>
      <c r="Q182" s="4"/>
      <c r="R182" s="4"/>
      <c r="S182" s="4"/>
      <c r="T182" s="4"/>
      <c r="U182" s="194"/>
      <c r="V182" s="4"/>
      <c r="W182" s="4"/>
      <c r="X182" s="4"/>
      <c r="Y182" s="4"/>
      <c r="Z182" s="4"/>
    </row>
    <row r="183" customFormat="false" ht="15.75" hidden="false" customHeight="true" outlineLevel="0" collapsed="false">
      <c r="A183" s="4"/>
      <c r="B183" s="4"/>
      <c r="C183" s="4"/>
      <c r="D183" s="4"/>
      <c r="E183" s="4"/>
      <c r="F183" s="4"/>
      <c r="G183" s="194"/>
      <c r="H183" s="225"/>
      <c r="I183" s="225"/>
      <c r="J183" s="4"/>
      <c r="K183" s="4"/>
      <c r="L183" s="4"/>
      <c r="M183" s="225"/>
      <c r="N183" s="225"/>
      <c r="O183" s="225"/>
      <c r="P183" s="4"/>
      <c r="Q183" s="4"/>
      <c r="R183" s="4"/>
      <c r="S183" s="4"/>
      <c r="T183" s="4"/>
      <c r="U183" s="194"/>
      <c r="V183" s="4"/>
      <c r="W183" s="4"/>
      <c r="X183" s="4"/>
      <c r="Y183" s="4"/>
      <c r="Z183" s="4"/>
    </row>
    <row r="184" customFormat="false" ht="15.75" hidden="false" customHeight="true" outlineLevel="0" collapsed="false">
      <c r="A184" s="4"/>
      <c r="B184" s="4"/>
      <c r="C184" s="4"/>
      <c r="D184" s="4"/>
      <c r="E184" s="4"/>
      <c r="F184" s="4"/>
      <c r="G184" s="194"/>
      <c r="H184" s="225"/>
      <c r="I184" s="225"/>
      <c r="J184" s="4"/>
      <c r="K184" s="4"/>
      <c r="L184" s="4"/>
      <c r="M184" s="225"/>
      <c r="N184" s="225"/>
      <c r="O184" s="225"/>
      <c r="P184" s="4"/>
      <c r="Q184" s="4"/>
      <c r="R184" s="4"/>
      <c r="S184" s="4"/>
      <c r="T184" s="4"/>
      <c r="U184" s="194"/>
      <c r="V184" s="4"/>
      <c r="W184" s="4"/>
      <c r="X184" s="4"/>
      <c r="Y184" s="4"/>
      <c r="Z184" s="4"/>
    </row>
    <row r="185" customFormat="false" ht="15.75" hidden="false" customHeight="true" outlineLevel="0" collapsed="false">
      <c r="A185" s="4"/>
      <c r="B185" s="4"/>
      <c r="C185" s="4"/>
      <c r="D185" s="4"/>
      <c r="E185" s="4"/>
      <c r="F185" s="4"/>
      <c r="G185" s="194"/>
      <c r="H185" s="225"/>
      <c r="I185" s="225"/>
      <c r="J185" s="4"/>
      <c r="K185" s="4"/>
      <c r="L185" s="4"/>
      <c r="M185" s="225"/>
      <c r="N185" s="225"/>
      <c r="O185" s="225"/>
      <c r="P185" s="4"/>
      <c r="Q185" s="4"/>
      <c r="R185" s="4"/>
      <c r="S185" s="4"/>
      <c r="T185" s="4"/>
      <c r="U185" s="194"/>
      <c r="V185" s="4"/>
      <c r="W185" s="4"/>
      <c r="X185" s="4"/>
      <c r="Y185" s="4"/>
      <c r="Z185" s="4"/>
    </row>
    <row r="186" customFormat="false" ht="15.75" hidden="false" customHeight="true" outlineLevel="0" collapsed="false">
      <c r="A186" s="4"/>
      <c r="B186" s="4"/>
      <c r="C186" s="4"/>
      <c r="D186" s="4"/>
      <c r="E186" s="4"/>
      <c r="F186" s="4"/>
      <c r="G186" s="194"/>
      <c r="H186" s="225"/>
      <c r="I186" s="225"/>
      <c r="J186" s="4"/>
      <c r="K186" s="4"/>
      <c r="L186" s="4"/>
      <c r="M186" s="225"/>
      <c r="N186" s="225"/>
      <c r="O186" s="225"/>
      <c r="P186" s="4"/>
      <c r="Q186" s="4"/>
      <c r="R186" s="4"/>
      <c r="S186" s="4"/>
      <c r="T186" s="4"/>
      <c r="U186" s="194"/>
      <c r="V186" s="4"/>
      <c r="W186" s="4"/>
      <c r="X186" s="4"/>
      <c r="Y186" s="4"/>
      <c r="Z186" s="4"/>
    </row>
    <row r="187" customFormat="false" ht="15.75" hidden="false" customHeight="true" outlineLevel="0" collapsed="false">
      <c r="A187" s="4"/>
      <c r="B187" s="4"/>
      <c r="C187" s="4"/>
      <c r="D187" s="4"/>
      <c r="E187" s="4"/>
      <c r="F187" s="4"/>
      <c r="G187" s="194"/>
      <c r="H187" s="225"/>
      <c r="I187" s="225"/>
      <c r="J187" s="4"/>
      <c r="K187" s="4"/>
      <c r="L187" s="4"/>
      <c r="M187" s="225"/>
      <c r="N187" s="225"/>
      <c r="O187" s="225"/>
      <c r="P187" s="4"/>
      <c r="Q187" s="4"/>
      <c r="R187" s="4"/>
      <c r="S187" s="4"/>
      <c r="T187" s="4"/>
      <c r="U187" s="194"/>
      <c r="V187" s="4"/>
      <c r="W187" s="4"/>
      <c r="X187" s="4"/>
      <c r="Y187" s="4"/>
      <c r="Z187" s="4"/>
    </row>
    <row r="188" customFormat="false" ht="15.75" hidden="false" customHeight="true" outlineLevel="0" collapsed="false">
      <c r="A188" s="4"/>
      <c r="B188" s="4"/>
      <c r="C188" s="4"/>
      <c r="D188" s="4"/>
      <c r="E188" s="4"/>
      <c r="F188" s="4"/>
      <c r="G188" s="194"/>
      <c r="H188" s="225"/>
      <c r="I188" s="225"/>
      <c r="J188" s="4"/>
      <c r="K188" s="4"/>
      <c r="L188" s="4"/>
      <c r="M188" s="225"/>
      <c r="N188" s="225"/>
      <c r="O188" s="225"/>
      <c r="P188" s="4"/>
      <c r="Q188" s="4"/>
      <c r="R188" s="4"/>
      <c r="S188" s="4"/>
      <c r="T188" s="4"/>
      <c r="U188" s="194"/>
      <c r="V188" s="4"/>
      <c r="W188" s="4"/>
      <c r="X188" s="4"/>
      <c r="Y188" s="4"/>
      <c r="Z188" s="4"/>
    </row>
    <row r="189" customFormat="false" ht="15.75" hidden="false" customHeight="true" outlineLevel="0" collapsed="false">
      <c r="A189" s="4"/>
      <c r="B189" s="4"/>
      <c r="C189" s="4"/>
      <c r="D189" s="4"/>
      <c r="E189" s="4"/>
      <c r="F189" s="4"/>
      <c r="G189" s="194"/>
      <c r="H189" s="225"/>
      <c r="I189" s="225"/>
      <c r="J189" s="4"/>
      <c r="K189" s="4"/>
      <c r="L189" s="4"/>
      <c r="M189" s="225"/>
      <c r="N189" s="225"/>
      <c r="O189" s="225"/>
      <c r="P189" s="4"/>
      <c r="Q189" s="4"/>
      <c r="R189" s="4"/>
      <c r="S189" s="4"/>
      <c r="T189" s="4"/>
      <c r="U189" s="194"/>
      <c r="V189" s="4"/>
      <c r="W189" s="4"/>
      <c r="X189" s="4"/>
      <c r="Y189" s="4"/>
      <c r="Z189" s="4"/>
    </row>
    <row r="190" customFormat="false" ht="15.75" hidden="false" customHeight="true" outlineLevel="0" collapsed="false">
      <c r="A190" s="4"/>
      <c r="B190" s="4"/>
      <c r="C190" s="4"/>
      <c r="D190" s="4"/>
      <c r="E190" s="4"/>
      <c r="F190" s="4"/>
      <c r="G190" s="194"/>
      <c r="H190" s="225"/>
      <c r="I190" s="225"/>
      <c r="J190" s="4"/>
      <c r="K190" s="4"/>
      <c r="L190" s="4"/>
      <c r="M190" s="225"/>
      <c r="N190" s="225"/>
      <c r="O190" s="225"/>
      <c r="P190" s="4"/>
      <c r="Q190" s="4"/>
      <c r="R190" s="4"/>
      <c r="S190" s="4"/>
      <c r="T190" s="4"/>
      <c r="U190" s="194"/>
      <c r="V190" s="4"/>
      <c r="W190" s="4"/>
      <c r="X190" s="4"/>
      <c r="Y190" s="4"/>
      <c r="Z190" s="4"/>
    </row>
    <row r="191" customFormat="false" ht="15.75" hidden="false" customHeight="true" outlineLevel="0" collapsed="false">
      <c r="A191" s="4"/>
      <c r="B191" s="4"/>
      <c r="C191" s="4"/>
      <c r="D191" s="4"/>
      <c r="E191" s="4"/>
      <c r="F191" s="4"/>
      <c r="G191" s="194"/>
      <c r="H191" s="225"/>
      <c r="I191" s="225"/>
      <c r="J191" s="4"/>
      <c r="K191" s="4"/>
      <c r="L191" s="4"/>
      <c r="M191" s="225"/>
      <c r="N191" s="225"/>
      <c r="O191" s="225"/>
      <c r="P191" s="4"/>
      <c r="Q191" s="4"/>
      <c r="R191" s="4"/>
      <c r="S191" s="4"/>
      <c r="T191" s="4"/>
      <c r="U191" s="194"/>
      <c r="V191" s="4"/>
      <c r="W191" s="4"/>
      <c r="X191" s="4"/>
      <c r="Y191" s="4"/>
      <c r="Z191" s="4"/>
    </row>
    <row r="192" customFormat="false" ht="15.75" hidden="false" customHeight="true" outlineLevel="0" collapsed="false">
      <c r="A192" s="4"/>
      <c r="B192" s="4"/>
      <c r="C192" s="4"/>
      <c r="D192" s="4"/>
      <c r="E192" s="4"/>
      <c r="F192" s="4"/>
      <c r="G192" s="194"/>
      <c r="H192" s="225"/>
      <c r="I192" s="225"/>
      <c r="J192" s="4"/>
      <c r="K192" s="4"/>
      <c r="L192" s="4"/>
      <c r="M192" s="225"/>
      <c r="N192" s="225"/>
      <c r="O192" s="225"/>
      <c r="P192" s="4"/>
      <c r="Q192" s="4"/>
      <c r="R192" s="4"/>
      <c r="S192" s="4"/>
      <c r="T192" s="4"/>
      <c r="U192" s="194"/>
      <c r="V192" s="4"/>
      <c r="W192" s="4"/>
      <c r="X192" s="4"/>
      <c r="Y192" s="4"/>
      <c r="Z192" s="4"/>
    </row>
    <row r="193" customFormat="false" ht="15.75" hidden="false" customHeight="true" outlineLevel="0" collapsed="false">
      <c r="A193" s="4"/>
      <c r="B193" s="4"/>
      <c r="C193" s="4"/>
      <c r="D193" s="4"/>
      <c r="E193" s="4"/>
      <c r="F193" s="4"/>
      <c r="G193" s="194"/>
      <c r="H193" s="225"/>
      <c r="I193" s="225"/>
      <c r="J193" s="4"/>
      <c r="K193" s="4"/>
      <c r="L193" s="4"/>
      <c r="M193" s="225"/>
      <c r="N193" s="225"/>
      <c r="O193" s="225"/>
      <c r="P193" s="4"/>
      <c r="Q193" s="4"/>
      <c r="R193" s="4"/>
      <c r="S193" s="4"/>
      <c r="T193" s="4"/>
      <c r="U193" s="194"/>
      <c r="V193" s="4"/>
      <c r="W193" s="4"/>
      <c r="X193" s="4"/>
      <c r="Y193" s="4"/>
      <c r="Z193" s="4"/>
    </row>
    <row r="194" customFormat="false" ht="15.75" hidden="false" customHeight="true" outlineLevel="0" collapsed="false">
      <c r="A194" s="4"/>
      <c r="B194" s="4"/>
      <c r="C194" s="4"/>
      <c r="D194" s="4"/>
      <c r="E194" s="4"/>
      <c r="F194" s="4"/>
      <c r="G194" s="194"/>
      <c r="H194" s="225"/>
      <c r="I194" s="225"/>
      <c r="J194" s="4"/>
      <c r="K194" s="4"/>
      <c r="L194" s="4"/>
      <c r="M194" s="225"/>
      <c r="N194" s="225"/>
      <c r="O194" s="225"/>
      <c r="P194" s="4"/>
      <c r="Q194" s="4"/>
      <c r="R194" s="4"/>
      <c r="S194" s="4"/>
      <c r="T194" s="4"/>
      <c r="U194" s="194"/>
      <c r="V194" s="4"/>
      <c r="W194" s="4"/>
      <c r="X194" s="4"/>
      <c r="Y194" s="4"/>
      <c r="Z194" s="4"/>
    </row>
    <row r="195" customFormat="false" ht="15.75" hidden="false" customHeight="true" outlineLevel="0" collapsed="false">
      <c r="A195" s="4"/>
      <c r="B195" s="4"/>
      <c r="C195" s="4"/>
      <c r="D195" s="4"/>
      <c r="E195" s="4"/>
      <c r="F195" s="4"/>
      <c r="G195" s="194"/>
      <c r="H195" s="225"/>
      <c r="I195" s="225"/>
      <c r="J195" s="4"/>
      <c r="K195" s="4"/>
      <c r="L195" s="4"/>
      <c r="M195" s="225"/>
      <c r="N195" s="225"/>
      <c r="O195" s="225"/>
      <c r="P195" s="4"/>
      <c r="Q195" s="4"/>
      <c r="R195" s="4"/>
      <c r="S195" s="4"/>
      <c r="T195" s="4"/>
      <c r="U195" s="194"/>
      <c r="V195" s="4"/>
      <c r="W195" s="4"/>
      <c r="X195" s="4"/>
      <c r="Y195" s="4"/>
      <c r="Z195" s="4"/>
    </row>
    <row r="196" customFormat="false" ht="15.75" hidden="false" customHeight="true" outlineLevel="0" collapsed="false">
      <c r="A196" s="4"/>
      <c r="B196" s="4"/>
      <c r="C196" s="4"/>
      <c r="D196" s="4"/>
      <c r="E196" s="4"/>
      <c r="F196" s="4"/>
      <c r="G196" s="194"/>
      <c r="H196" s="225"/>
      <c r="I196" s="225"/>
      <c r="J196" s="4"/>
      <c r="K196" s="4"/>
      <c r="L196" s="4"/>
      <c r="M196" s="225"/>
      <c r="N196" s="225"/>
      <c r="O196" s="225"/>
      <c r="P196" s="4"/>
      <c r="Q196" s="4"/>
      <c r="R196" s="4"/>
      <c r="S196" s="4"/>
      <c r="T196" s="4"/>
      <c r="U196" s="194"/>
      <c r="V196" s="4"/>
      <c r="W196" s="4"/>
      <c r="X196" s="4"/>
      <c r="Y196" s="4"/>
      <c r="Z196" s="4"/>
    </row>
    <row r="197" customFormat="false" ht="15.75" hidden="false" customHeight="true" outlineLevel="0" collapsed="false">
      <c r="A197" s="4"/>
      <c r="B197" s="4"/>
      <c r="C197" s="4"/>
      <c r="D197" s="4"/>
      <c r="E197" s="4"/>
      <c r="F197" s="4"/>
      <c r="G197" s="194"/>
      <c r="H197" s="225"/>
      <c r="I197" s="225"/>
      <c r="J197" s="4"/>
      <c r="K197" s="4"/>
      <c r="L197" s="4"/>
      <c r="M197" s="225"/>
      <c r="N197" s="225"/>
      <c r="O197" s="225"/>
      <c r="P197" s="4"/>
      <c r="Q197" s="4"/>
      <c r="R197" s="4"/>
      <c r="S197" s="4"/>
      <c r="T197" s="4"/>
      <c r="U197" s="194"/>
      <c r="V197" s="4"/>
      <c r="W197" s="4"/>
      <c r="X197" s="4"/>
      <c r="Y197" s="4"/>
      <c r="Z197" s="4"/>
    </row>
    <row r="198" customFormat="false" ht="15.75" hidden="false" customHeight="true" outlineLevel="0" collapsed="false">
      <c r="A198" s="4"/>
      <c r="B198" s="4"/>
      <c r="C198" s="4"/>
      <c r="D198" s="4"/>
      <c r="E198" s="4"/>
      <c r="F198" s="4"/>
      <c r="G198" s="194"/>
      <c r="H198" s="225"/>
      <c r="I198" s="225"/>
      <c r="J198" s="4"/>
      <c r="K198" s="4"/>
      <c r="L198" s="4"/>
      <c r="M198" s="225"/>
      <c r="N198" s="225"/>
      <c r="O198" s="225"/>
      <c r="P198" s="4"/>
      <c r="Q198" s="4"/>
      <c r="R198" s="4"/>
      <c r="S198" s="4"/>
      <c r="T198" s="4"/>
      <c r="U198" s="194"/>
      <c r="V198" s="4"/>
      <c r="W198" s="4"/>
      <c r="X198" s="4"/>
      <c r="Y198" s="4"/>
      <c r="Z198" s="4"/>
    </row>
    <row r="199" customFormat="false" ht="15.75" hidden="false" customHeight="true" outlineLevel="0" collapsed="false">
      <c r="A199" s="4"/>
      <c r="B199" s="4"/>
      <c r="C199" s="4"/>
      <c r="D199" s="4"/>
      <c r="E199" s="4"/>
      <c r="F199" s="4"/>
      <c r="G199" s="194"/>
      <c r="H199" s="225"/>
      <c r="I199" s="225"/>
      <c r="J199" s="4"/>
      <c r="K199" s="4"/>
      <c r="L199" s="4"/>
      <c r="M199" s="225"/>
      <c r="N199" s="225"/>
      <c r="O199" s="225"/>
      <c r="P199" s="4"/>
      <c r="Q199" s="4"/>
      <c r="R199" s="4"/>
      <c r="S199" s="4"/>
      <c r="T199" s="4"/>
      <c r="U199" s="194"/>
      <c r="V199" s="4"/>
      <c r="W199" s="4"/>
      <c r="X199" s="4"/>
      <c r="Y199" s="4"/>
      <c r="Z199" s="4"/>
    </row>
    <row r="200" customFormat="false" ht="15.75" hidden="false" customHeight="true" outlineLevel="0" collapsed="false">
      <c r="A200" s="4"/>
      <c r="B200" s="4"/>
      <c r="C200" s="4"/>
      <c r="D200" s="4"/>
      <c r="E200" s="4"/>
      <c r="F200" s="4"/>
      <c r="G200" s="194"/>
      <c r="H200" s="225"/>
      <c r="I200" s="225"/>
      <c r="J200" s="4"/>
      <c r="K200" s="4"/>
      <c r="L200" s="4"/>
      <c r="M200" s="225"/>
      <c r="N200" s="225"/>
      <c r="O200" s="225"/>
      <c r="P200" s="4"/>
      <c r="Q200" s="4"/>
      <c r="R200" s="4"/>
      <c r="S200" s="4"/>
      <c r="T200" s="4"/>
      <c r="U200" s="194"/>
      <c r="V200" s="4"/>
      <c r="W200" s="4"/>
      <c r="X200" s="4"/>
      <c r="Y200" s="4"/>
      <c r="Z200" s="4"/>
    </row>
    <row r="201" customFormat="false" ht="15.75" hidden="false" customHeight="true" outlineLevel="0" collapsed="false">
      <c r="A201" s="4"/>
      <c r="B201" s="4"/>
      <c r="C201" s="4"/>
      <c r="D201" s="4"/>
      <c r="E201" s="4"/>
      <c r="F201" s="4"/>
      <c r="G201" s="194"/>
      <c r="H201" s="225"/>
      <c r="I201" s="225"/>
      <c r="J201" s="4"/>
      <c r="K201" s="4"/>
      <c r="L201" s="4"/>
      <c r="M201" s="225"/>
      <c r="N201" s="225"/>
      <c r="O201" s="225"/>
      <c r="P201" s="4"/>
      <c r="Q201" s="4"/>
      <c r="R201" s="4"/>
      <c r="S201" s="4"/>
      <c r="T201" s="4"/>
      <c r="U201" s="194"/>
      <c r="V201" s="4"/>
      <c r="W201" s="4"/>
      <c r="X201" s="4"/>
      <c r="Y201" s="4"/>
      <c r="Z201" s="4"/>
    </row>
    <row r="202" customFormat="false" ht="15.75" hidden="false" customHeight="true" outlineLevel="0" collapsed="false">
      <c r="A202" s="4"/>
      <c r="B202" s="4"/>
      <c r="C202" s="4"/>
      <c r="D202" s="4"/>
      <c r="E202" s="4"/>
      <c r="F202" s="4"/>
      <c r="G202" s="194"/>
      <c r="H202" s="225"/>
      <c r="I202" s="225"/>
      <c r="J202" s="4"/>
      <c r="K202" s="4"/>
      <c r="L202" s="4"/>
      <c r="M202" s="225"/>
      <c r="N202" s="225"/>
      <c r="O202" s="225"/>
      <c r="P202" s="4"/>
      <c r="Q202" s="4"/>
      <c r="R202" s="4"/>
      <c r="S202" s="4"/>
      <c r="T202" s="4"/>
      <c r="U202" s="194"/>
      <c r="V202" s="4"/>
      <c r="W202" s="4"/>
      <c r="X202" s="4"/>
      <c r="Y202" s="4"/>
      <c r="Z202" s="4"/>
    </row>
    <row r="203" customFormat="false" ht="15.75" hidden="false" customHeight="true" outlineLevel="0" collapsed="false">
      <c r="A203" s="4"/>
      <c r="B203" s="4"/>
      <c r="C203" s="4"/>
      <c r="D203" s="4"/>
      <c r="E203" s="4"/>
      <c r="F203" s="4"/>
      <c r="G203" s="194"/>
      <c r="H203" s="225"/>
      <c r="I203" s="225"/>
      <c r="J203" s="4"/>
      <c r="K203" s="4"/>
      <c r="L203" s="4"/>
      <c r="M203" s="225"/>
      <c r="N203" s="225"/>
      <c r="O203" s="225"/>
      <c r="P203" s="4"/>
      <c r="Q203" s="4"/>
      <c r="R203" s="4"/>
      <c r="S203" s="4"/>
      <c r="T203" s="4"/>
      <c r="U203" s="194"/>
      <c r="V203" s="4"/>
      <c r="W203" s="4"/>
      <c r="X203" s="4"/>
      <c r="Y203" s="4"/>
      <c r="Z203" s="4"/>
    </row>
    <row r="204" customFormat="false" ht="15.75" hidden="false" customHeight="true" outlineLevel="0" collapsed="false">
      <c r="A204" s="4"/>
      <c r="B204" s="4"/>
      <c r="C204" s="4"/>
      <c r="D204" s="4"/>
      <c r="E204" s="4"/>
      <c r="F204" s="4"/>
      <c r="G204" s="194"/>
      <c r="H204" s="225"/>
      <c r="I204" s="225"/>
      <c r="J204" s="4"/>
      <c r="K204" s="4"/>
      <c r="L204" s="4"/>
      <c r="M204" s="225"/>
      <c r="N204" s="225"/>
      <c r="O204" s="225"/>
      <c r="P204" s="4"/>
      <c r="Q204" s="4"/>
      <c r="R204" s="4"/>
      <c r="S204" s="4"/>
      <c r="T204" s="4"/>
      <c r="U204" s="194"/>
      <c r="V204" s="4"/>
      <c r="W204" s="4"/>
      <c r="X204" s="4"/>
      <c r="Y204" s="4"/>
      <c r="Z204" s="4"/>
    </row>
    <row r="205" customFormat="false" ht="15.75" hidden="false" customHeight="true" outlineLevel="0" collapsed="false">
      <c r="A205" s="4"/>
      <c r="B205" s="4"/>
      <c r="C205" s="4"/>
      <c r="D205" s="4"/>
      <c r="E205" s="4"/>
      <c r="F205" s="4"/>
      <c r="G205" s="194"/>
      <c r="H205" s="225"/>
      <c r="I205" s="225"/>
      <c r="J205" s="4"/>
      <c r="K205" s="4"/>
      <c r="L205" s="4"/>
      <c r="M205" s="225"/>
      <c r="N205" s="225"/>
      <c r="O205" s="225"/>
      <c r="P205" s="4"/>
      <c r="Q205" s="4"/>
      <c r="R205" s="4"/>
      <c r="S205" s="4"/>
      <c r="T205" s="4"/>
      <c r="U205" s="194"/>
      <c r="V205" s="4"/>
      <c r="W205" s="4"/>
      <c r="X205" s="4"/>
      <c r="Y205" s="4"/>
      <c r="Z205" s="4"/>
    </row>
    <row r="206" customFormat="false" ht="15.75" hidden="false" customHeight="true" outlineLevel="0" collapsed="false">
      <c r="A206" s="4"/>
      <c r="B206" s="4"/>
      <c r="C206" s="4"/>
      <c r="D206" s="4"/>
      <c r="E206" s="4"/>
      <c r="F206" s="4"/>
      <c r="G206" s="194"/>
      <c r="H206" s="225"/>
      <c r="I206" s="225"/>
      <c r="J206" s="4"/>
      <c r="K206" s="4"/>
      <c r="L206" s="4"/>
      <c r="M206" s="225"/>
      <c r="N206" s="225"/>
      <c r="O206" s="225"/>
      <c r="P206" s="4"/>
      <c r="Q206" s="4"/>
      <c r="R206" s="4"/>
      <c r="S206" s="4"/>
      <c r="T206" s="4"/>
      <c r="U206" s="194"/>
      <c r="V206" s="4"/>
      <c r="W206" s="4"/>
      <c r="X206" s="4"/>
      <c r="Y206" s="4"/>
      <c r="Z206" s="4"/>
    </row>
    <row r="207" customFormat="false" ht="15.75" hidden="false" customHeight="true" outlineLevel="0" collapsed="false">
      <c r="A207" s="4"/>
      <c r="B207" s="4"/>
      <c r="C207" s="4"/>
      <c r="D207" s="4"/>
      <c r="E207" s="4"/>
      <c r="F207" s="4"/>
      <c r="G207" s="194"/>
      <c r="H207" s="225"/>
      <c r="I207" s="225"/>
      <c r="J207" s="4"/>
      <c r="K207" s="4"/>
      <c r="L207" s="4"/>
      <c r="M207" s="225"/>
      <c r="N207" s="225"/>
      <c r="O207" s="225"/>
      <c r="P207" s="4"/>
      <c r="Q207" s="4"/>
      <c r="R207" s="4"/>
      <c r="S207" s="4"/>
      <c r="T207" s="4"/>
      <c r="U207" s="194"/>
      <c r="V207" s="4"/>
      <c r="W207" s="4"/>
      <c r="X207" s="4"/>
      <c r="Y207" s="4"/>
      <c r="Z207" s="4"/>
    </row>
    <row r="208" customFormat="false" ht="15.75" hidden="false" customHeight="true" outlineLevel="0" collapsed="false">
      <c r="A208" s="4"/>
      <c r="B208" s="4"/>
      <c r="C208" s="4"/>
      <c r="D208" s="4"/>
      <c r="E208" s="4"/>
      <c r="F208" s="4"/>
      <c r="G208" s="194"/>
      <c r="H208" s="225"/>
      <c r="I208" s="225"/>
      <c r="J208" s="4"/>
      <c r="K208" s="4"/>
      <c r="L208" s="4"/>
      <c r="M208" s="225"/>
      <c r="N208" s="225"/>
      <c r="O208" s="225"/>
      <c r="P208" s="4"/>
      <c r="Q208" s="4"/>
      <c r="R208" s="4"/>
      <c r="S208" s="4"/>
      <c r="T208" s="4"/>
      <c r="U208" s="194"/>
      <c r="V208" s="4"/>
      <c r="W208" s="4"/>
      <c r="X208" s="4"/>
      <c r="Y208" s="4"/>
      <c r="Z208" s="4"/>
    </row>
    <row r="209" customFormat="false" ht="15.75" hidden="false" customHeight="true" outlineLevel="0" collapsed="false">
      <c r="A209" s="4"/>
      <c r="B209" s="4"/>
      <c r="C209" s="4"/>
      <c r="D209" s="4"/>
      <c r="E209" s="4"/>
      <c r="F209" s="4"/>
      <c r="G209" s="194"/>
      <c r="H209" s="225"/>
      <c r="I209" s="225"/>
      <c r="J209" s="4"/>
      <c r="K209" s="4"/>
      <c r="L209" s="4"/>
      <c r="M209" s="225"/>
      <c r="N209" s="225"/>
      <c r="O209" s="225"/>
      <c r="P209" s="4"/>
      <c r="Q209" s="4"/>
      <c r="R209" s="4"/>
      <c r="S209" s="4"/>
      <c r="T209" s="4"/>
      <c r="U209" s="194"/>
      <c r="V209" s="4"/>
      <c r="W209" s="4"/>
      <c r="X209" s="4"/>
      <c r="Y209" s="4"/>
      <c r="Z209" s="4"/>
    </row>
    <row r="210" customFormat="false" ht="15.75" hidden="false" customHeight="true" outlineLevel="0" collapsed="false">
      <c r="A210" s="4"/>
      <c r="B210" s="4"/>
      <c r="C210" s="4"/>
      <c r="D210" s="4"/>
      <c r="E210" s="4"/>
      <c r="F210" s="4"/>
      <c r="G210" s="194"/>
      <c r="H210" s="225"/>
      <c r="I210" s="225"/>
      <c r="J210" s="4"/>
      <c r="K210" s="4"/>
      <c r="L210" s="4"/>
      <c r="M210" s="225"/>
      <c r="N210" s="225"/>
      <c r="O210" s="225"/>
      <c r="P210" s="4"/>
      <c r="Q210" s="4"/>
      <c r="R210" s="4"/>
      <c r="S210" s="4"/>
      <c r="T210" s="4"/>
      <c r="U210" s="194"/>
      <c r="V210" s="4"/>
      <c r="W210" s="4"/>
      <c r="X210" s="4"/>
      <c r="Y210" s="4"/>
      <c r="Z210" s="4"/>
    </row>
    <row r="211" customFormat="false" ht="15.75" hidden="false" customHeight="true" outlineLevel="0" collapsed="false">
      <c r="A211" s="4"/>
      <c r="B211" s="4"/>
      <c r="C211" s="4"/>
      <c r="D211" s="4"/>
      <c r="E211" s="4"/>
      <c r="F211" s="4"/>
      <c r="G211" s="194"/>
      <c r="H211" s="225"/>
      <c r="I211" s="225"/>
      <c r="J211" s="4"/>
      <c r="K211" s="4"/>
      <c r="L211" s="4"/>
      <c r="M211" s="225"/>
      <c r="N211" s="225"/>
      <c r="O211" s="225"/>
      <c r="P211" s="4"/>
      <c r="Q211" s="4"/>
      <c r="R211" s="4"/>
      <c r="S211" s="4"/>
      <c r="T211" s="4"/>
      <c r="U211" s="194"/>
      <c r="V211" s="4"/>
      <c r="W211" s="4"/>
      <c r="X211" s="4"/>
      <c r="Y211" s="4"/>
      <c r="Z211" s="4"/>
    </row>
    <row r="212" customFormat="false" ht="15.75" hidden="false" customHeight="true" outlineLevel="0" collapsed="false">
      <c r="A212" s="4"/>
      <c r="B212" s="4"/>
      <c r="C212" s="4"/>
      <c r="D212" s="4"/>
      <c r="E212" s="4"/>
      <c r="F212" s="4"/>
      <c r="G212" s="194"/>
      <c r="H212" s="225"/>
      <c r="I212" s="225"/>
      <c r="J212" s="4"/>
      <c r="K212" s="4"/>
      <c r="L212" s="4"/>
      <c r="M212" s="225"/>
      <c r="N212" s="225"/>
      <c r="O212" s="225"/>
      <c r="P212" s="4"/>
      <c r="Q212" s="4"/>
      <c r="R212" s="4"/>
      <c r="S212" s="4"/>
      <c r="T212" s="4"/>
      <c r="U212" s="194"/>
      <c r="V212" s="4"/>
      <c r="W212" s="4"/>
      <c r="X212" s="4"/>
      <c r="Y212" s="4"/>
      <c r="Z212" s="4"/>
    </row>
    <row r="213" customFormat="false" ht="15.75" hidden="false" customHeight="true" outlineLevel="0" collapsed="false">
      <c r="A213" s="4"/>
      <c r="B213" s="4"/>
      <c r="C213" s="4"/>
      <c r="D213" s="4"/>
      <c r="E213" s="4"/>
      <c r="F213" s="4"/>
      <c r="G213" s="194"/>
      <c r="H213" s="225"/>
      <c r="I213" s="225"/>
      <c r="J213" s="4"/>
      <c r="K213" s="4"/>
      <c r="L213" s="4"/>
      <c r="M213" s="225"/>
      <c r="N213" s="225"/>
      <c r="O213" s="225"/>
      <c r="P213" s="4"/>
      <c r="Q213" s="4"/>
      <c r="R213" s="4"/>
      <c r="S213" s="4"/>
      <c r="T213" s="4"/>
      <c r="U213" s="194"/>
      <c r="V213" s="4"/>
      <c r="W213" s="4"/>
      <c r="X213" s="4"/>
      <c r="Y213" s="4"/>
      <c r="Z213" s="4"/>
    </row>
    <row r="214" customFormat="false" ht="15.75" hidden="false" customHeight="true" outlineLevel="0" collapsed="false">
      <c r="A214" s="4"/>
      <c r="B214" s="4"/>
      <c r="C214" s="4"/>
      <c r="D214" s="4"/>
      <c r="E214" s="4"/>
      <c r="F214" s="4"/>
      <c r="G214" s="194"/>
      <c r="H214" s="225"/>
      <c r="I214" s="225"/>
      <c r="J214" s="4"/>
      <c r="K214" s="4"/>
      <c r="L214" s="4"/>
      <c r="M214" s="225"/>
      <c r="N214" s="225"/>
      <c r="O214" s="225"/>
      <c r="P214" s="4"/>
      <c r="Q214" s="4"/>
      <c r="R214" s="4"/>
      <c r="S214" s="4"/>
      <c r="T214" s="4"/>
      <c r="U214" s="194"/>
      <c r="V214" s="4"/>
      <c r="W214" s="4"/>
      <c r="X214" s="4"/>
      <c r="Y214" s="4"/>
      <c r="Z214" s="4"/>
    </row>
    <row r="215" customFormat="false" ht="15.75" hidden="false" customHeight="true" outlineLevel="0" collapsed="false">
      <c r="A215" s="4"/>
      <c r="B215" s="4"/>
      <c r="C215" s="4"/>
      <c r="D215" s="4"/>
      <c r="E215" s="4"/>
      <c r="F215" s="4"/>
      <c r="G215" s="194"/>
      <c r="H215" s="225"/>
      <c r="I215" s="225"/>
      <c r="J215" s="4"/>
      <c r="K215" s="4"/>
      <c r="L215" s="4"/>
      <c r="M215" s="225"/>
      <c r="N215" s="225"/>
      <c r="O215" s="225"/>
      <c r="P215" s="4"/>
      <c r="Q215" s="4"/>
      <c r="R215" s="4"/>
      <c r="S215" s="4"/>
      <c r="T215" s="4"/>
      <c r="U215" s="194"/>
      <c r="V215" s="4"/>
      <c r="W215" s="4"/>
      <c r="X215" s="4"/>
      <c r="Y215" s="4"/>
      <c r="Z215" s="4"/>
    </row>
    <row r="216" customFormat="false" ht="15.75" hidden="false" customHeight="true" outlineLevel="0" collapsed="false">
      <c r="A216" s="4"/>
      <c r="B216" s="4"/>
      <c r="C216" s="4"/>
      <c r="D216" s="4"/>
      <c r="E216" s="4"/>
      <c r="F216" s="4"/>
      <c r="G216" s="194"/>
      <c r="H216" s="225"/>
      <c r="I216" s="225"/>
      <c r="J216" s="4"/>
      <c r="K216" s="4"/>
      <c r="L216" s="4"/>
      <c r="M216" s="225"/>
      <c r="N216" s="225"/>
      <c r="O216" s="225"/>
      <c r="P216" s="4"/>
      <c r="Q216" s="4"/>
      <c r="R216" s="4"/>
      <c r="S216" s="4"/>
      <c r="T216" s="4"/>
      <c r="U216" s="194"/>
      <c r="V216" s="4"/>
      <c r="W216" s="4"/>
      <c r="X216" s="4"/>
      <c r="Y216" s="4"/>
      <c r="Z216" s="4"/>
    </row>
    <row r="217" customFormat="false" ht="15.75" hidden="false" customHeight="true" outlineLevel="0" collapsed="false">
      <c r="A217" s="4"/>
      <c r="B217" s="4"/>
      <c r="C217" s="4"/>
      <c r="D217" s="4"/>
      <c r="E217" s="4"/>
      <c r="F217" s="4"/>
      <c r="G217" s="194"/>
      <c r="H217" s="225"/>
      <c r="I217" s="225"/>
      <c r="J217" s="4"/>
      <c r="K217" s="4"/>
      <c r="L217" s="4"/>
      <c r="M217" s="225"/>
      <c r="N217" s="225"/>
      <c r="O217" s="225"/>
      <c r="P217" s="4"/>
      <c r="Q217" s="4"/>
      <c r="R217" s="4"/>
      <c r="S217" s="4"/>
      <c r="T217" s="4"/>
      <c r="U217" s="194"/>
      <c r="V217" s="4"/>
      <c r="W217" s="4"/>
      <c r="X217" s="4"/>
      <c r="Y217" s="4"/>
      <c r="Z217" s="4"/>
    </row>
    <row r="218" customFormat="false" ht="15.75" hidden="false" customHeight="true" outlineLevel="0" collapsed="false">
      <c r="A218" s="4"/>
      <c r="B218" s="4"/>
      <c r="C218" s="4"/>
      <c r="D218" s="4"/>
      <c r="E218" s="4"/>
      <c r="F218" s="4"/>
      <c r="G218" s="194"/>
      <c r="H218" s="225"/>
      <c r="I218" s="225"/>
      <c r="J218" s="4"/>
      <c r="K218" s="4"/>
      <c r="L218" s="4"/>
      <c r="M218" s="225"/>
      <c r="N218" s="225"/>
      <c r="O218" s="225"/>
      <c r="P218" s="4"/>
      <c r="Q218" s="4"/>
      <c r="R218" s="4"/>
      <c r="S218" s="4"/>
      <c r="T218" s="4"/>
      <c r="U218" s="194"/>
      <c r="V218" s="4"/>
      <c r="W218" s="4"/>
      <c r="X218" s="4"/>
      <c r="Y218" s="4"/>
      <c r="Z218" s="4"/>
    </row>
    <row r="219" customFormat="false" ht="15.75" hidden="false" customHeight="true" outlineLevel="0" collapsed="false">
      <c r="A219" s="4"/>
      <c r="B219" s="4"/>
      <c r="C219" s="4"/>
      <c r="D219" s="4"/>
      <c r="E219" s="4"/>
      <c r="F219" s="4"/>
      <c r="G219" s="194"/>
      <c r="H219" s="225"/>
      <c r="I219" s="225"/>
      <c r="J219" s="4"/>
      <c r="K219" s="4"/>
      <c r="L219" s="4"/>
      <c r="M219" s="225"/>
      <c r="N219" s="225"/>
      <c r="O219" s="225"/>
      <c r="P219" s="4"/>
      <c r="Q219" s="4"/>
      <c r="R219" s="4"/>
      <c r="S219" s="4"/>
      <c r="T219" s="4"/>
      <c r="U219" s="194"/>
      <c r="V219" s="4"/>
      <c r="W219" s="4"/>
      <c r="X219" s="4"/>
      <c r="Y219" s="4"/>
      <c r="Z219" s="4"/>
    </row>
    <row r="220" customFormat="false" ht="15.75" hidden="false" customHeight="true" outlineLevel="0" collapsed="false">
      <c r="A220" s="4"/>
      <c r="B220" s="4"/>
      <c r="C220" s="4"/>
      <c r="D220" s="4"/>
      <c r="E220" s="4"/>
      <c r="F220" s="4"/>
      <c r="G220" s="194"/>
      <c r="H220" s="225"/>
      <c r="I220" s="225"/>
      <c r="J220" s="4"/>
      <c r="K220" s="4"/>
      <c r="L220" s="4"/>
      <c r="M220" s="225"/>
      <c r="N220" s="225"/>
      <c r="O220" s="225"/>
      <c r="P220" s="4"/>
      <c r="Q220" s="4"/>
      <c r="R220" s="4"/>
      <c r="S220" s="4"/>
      <c r="T220" s="4"/>
      <c r="U220" s="194"/>
      <c r="V220" s="4"/>
      <c r="W220" s="4"/>
      <c r="X220" s="4"/>
      <c r="Y220" s="4"/>
      <c r="Z220" s="4"/>
    </row>
    <row r="221" customFormat="false" ht="15.75" hidden="false" customHeight="true" outlineLevel="0" collapsed="false">
      <c r="A221" s="4"/>
      <c r="B221" s="4"/>
      <c r="C221" s="4"/>
      <c r="D221" s="4"/>
      <c r="E221" s="4"/>
      <c r="F221" s="4"/>
      <c r="G221" s="194"/>
      <c r="H221" s="225"/>
      <c r="I221" s="225"/>
      <c r="J221" s="4"/>
      <c r="K221" s="4"/>
      <c r="L221" s="4"/>
      <c r="M221" s="225"/>
      <c r="N221" s="225"/>
      <c r="O221" s="225"/>
      <c r="P221" s="4"/>
      <c r="Q221" s="4"/>
      <c r="R221" s="4"/>
      <c r="S221" s="4"/>
      <c r="T221" s="4"/>
      <c r="U221" s="194"/>
      <c r="V221" s="4"/>
      <c r="W221" s="4"/>
      <c r="X221" s="4"/>
      <c r="Y221" s="4"/>
      <c r="Z221" s="4"/>
    </row>
    <row r="222" customFormat="false" ht="15.75" hidden="false" customHeight="true" outlineLevel="0" collapsed="false">
      <c r="A222" s="4"/>
      <c r="B222" s="4"/>
      <c r="C222" s="4"/>
      <c r="D222" s="4"/>
      <c r="E222" s="4"/>
      <c r="F222" s="4"/>
      <c r="G222" s="194"/>
      <c r="H222" s="225"/>
      <c r="I222" s="225"/>
      <c r="J222" s="4"/>
      <c r="K222" s="4"/>
      <c r="L222" s="4"/>
      <c r="M222" s="225"/>
      <c r="N222" s="225"/>
      <c r="O222" s="225"/>
      <c r="P222" s="4"/>
      <c r="Q222" s="4"/>
      <c r="R222" s="4"/>
      <c r="S222" s="4"/>
      <c r="T222" s="4"/>
      <c r="U222" s="194"/>
      <c r="V222" s="4"/>
      <c r="W222" s="4"/>
      <c r="X222" s="4"/>
      <c r="Y222" s="4"/>
      <c r="Z222" s="4"/>
    </row>
    <row r="223" customFormat="false" ht="15.75" hidden="false" customHeight="true" outlineLevel="0" collapsed="false">
      <c r="A223" s="4"/>
      <c r="B223" s="4"/>
      <c r="C223" s="4"/>
      <c r="D223" s="4"/>
      <c r="E223" s="4"/>
      <c r="F223" s="4"/>
      <c r="G223" s="194"/>
      <c r="H223" s="225"/>
      <c r="I223" s="225"/>
      <c r="J223" s="4"/>
      <c r="K223" s="4"/>
      <c r="L223" s="4"/>
      <c r="M223" s="225"/>
      <c r="N223" s="225"/>
      <c r="O223" s="225"/>
      <c r="P223" s="4"/>
      <c r="Q223" s="4"/>
      <c r="R223" s="4"/>
      <c r="S223" s="4"/>
      <c r="T223" s="4"/>
      <c r="U223" s="194"/>
      <c r="V223" s="4"/>
      <c r="W223" s="4"/>
      <c r="X223" s="4"/>
      <c r="Y223" s="4"/>
      <c r="Z223" s="4"/>
    </row>
    <row r="224" customFormat="false" ht="15.75" hidden="false" customHeight="true" outlineLevel="0" collapsed="false">
      <c r="A224" s="4"/>
      <c r="B224" s="4"/>
      <c r="C224" s="4"/>
      <c r="D224" s="4"/>
      <c r="E224" s="4"/>
      <c r="F224" s="4"/>
      <c r="G224" s="194"/>
      <c r="H224" s="225"/>
      <c r="I224" s="225"/>
      <c r="J224" s="4"/>
      <c r="K224" s="4"/>
      <c r="L224" s="4"/>
      <c r="M224" s="225"/>
      <c r="N224" s="225"/>
      <c r="O224" s="225"/>
      <c r="P224" s="4"/>
      <c r="Q224" s="4"/>
      <c r="R224" s="4"/>
      <c r="S224" s="4"/>
      <c r="T224" s="4"/>
      <c r="U224" s="194"/>
      <c r="V224" s="4"/>
      <c r="W224" s="4"/>
      <c r="X224" s="4"/>
      <c r="Y224" s="4"/>
      <c r="Z224" s="4"/>
    </row>
    <row r="225" customFormat="false" ht="15.75" hidden="false" customHeight="true" outlineLevel="0" collapsed="false">
      <c r="A225" s="4"/>
      <c r="B225" s="4"/>
      <c r="C225" s="4"/>
      <c r="D225" s="4"/>
      <c r="E225" s="4"/>
      <c r="F225" s="4"/>
      <c r="G225" s="194"/>
      <c r="H225" s="225"/>
      <c r="I225" s="225"/>
      <c r="J225" s="4"/>
      <c r="K225" s="4"/>
      <c r="L225" s="4"/>
      <c r="M225" s="225"/>
      <c r="N225" s="225"/>
      <c r="O225" s="225"/>
      <c r="P225" s="4"/>
      <c r="Q225" s="4"/>
      <c r="R225" s="4"/>
      <c r="S225" s="4"/>
      <c r="T225" s="4"/>
      <c r="U225" s="194"/>
      <c r="V225" s="4"/>
      <c r="W225" s="4"/>
      <c r="X225" s="4"/>
      <c r="Y225" s="4"/>
      <c r="Z225" s="4"/>
    </row>
    <row r="226" customFormat="false" ht="15.75" hidden="false" customHeight="true" outlineLevel="0" collapsed="false">
      <c r="A226" s="4"/>
      <c r="B226" s="4"/>
      <c r="C226" s="4"/>
      <c r="D226" s="4"/>
      <c r="E226" s="4"/>
      <c r="F226" s="4"/>
      <c r="G226" s="194"/>
      <c r="H226" s="225"/>
      <c r="I226" s="225"/>
      <c r="J226" s="4"/>
      <c r="K226" s="4"/>
      <c r="L226" s="4"/>
      <c r="M226" s="225"/>
      <c r="N226" s="225"/>
      <c r="O226" s="225"/>
      <c r="P226" s="4"/>
      <c r="Q226" s="4"/>
      <c r="R226" s="4"/>
      <c r="S226" s="4"/>
      <c r="T226" s="4"/>
      <c r="U226" s="194"/>
      <c r="V226" s="4"/>
      <c r="W226" s="4"/>
      <c r="X226" s="4"/>
      <c r="Y226" s="4"/>
      <c r="Z226" s="4"/>
    </row>
    <row r="227" customFormat="false" ht="15.75" hidden="false" customHeight="true" outlineLevel="0" collapsed="false">
      <c r="A227" s="4"/>
      <c r="B227" s="4"/>
      <c r="C227" s="4"/>
      <c r="D227" s="4"/>
      <c r="E227" s="4"/>
      <c r="F227" s="4"/>
      <c r="G227" s="194"/>
      <c r="H227" s="225"/>
      <c r="I227" s="225"/>
      <c r="J227" s="4"/>
      <c r="K227" s="4"/>
      <c r="L227" s="4"/>
      <c r="M227" s="225"/>
      <c r="N227" s="225"/>
      <c r="O227" s="225"/>
      <c r="P227" s="4"/>
      <c r="Q227" s="4"/>
      <c r="R227" s="4"/>
      <c r="S227" s="4"/>
      <c r="T227" s="4"/>
      <c r="U227" s="194"/>
      <c r="V227" s="4"/>
      <c r="W227" s="4"/>
      <c r="X227" s="4"/>
      <c r="Y227" s="4"/>
      <c r="Z227" s="4"/>
    </row>
    <row r="228" customFormat="false" ht="15.75" hidden="false" customHeight="true" outlineLevel="0" collapsed="false">
      <c r="A228" s="4"/>
      <c r="B228" s="4"/>
      <c r="C228" s="4"/>
      <c r="D228" s="4"/>
      <c r="E228" s="4"/>
      <c r="F228" s="4"/>
      <c r="G228" s="194"/>
      <c r="H228" s="225"/>
      <c r="I228" s="225"/>
      <c r="J228" s="4"/>
      <c r="K228" s="4"/>
      <c r="L228" s="4"/>
      <c r="M228" s="225"/>
      <c r="N228" s="225"/>
      <c r="O228" s="225"/>
      <c r="P228" s="4"/>
      <c r="Q228" s="4"/>
      <c r="R228" s="4"/>
      <c r="S228" s="4"/>
      <c r="T228" s="4"/>
      <c r="U228" s="194"/>
      <c r="V228" s="4"/>
      <c r="W228" s="4"/>
      <c r="X228" s="4"/>
      <c r="Y228" s="4"/>
      <c r="Z228" s="4"/>
    </row>
    <row r="229" customFormat="false" ht="15.75" hidden="false" customHeight="true" outlineLevel="0" collapsed="false">
      <c r="A229" s="4"/>
      <c r="B229" s="4"/>
      <c r="C229" s="4"/>
      <c r="D229" s="4"/>
      <c r="E229" s="4"/>
      <c r="F229" s="4"/>
      <c r="G229" s="194"/>
      <c r="H229" s="225"/>
      <c r="I229" s="225"/>
      <c r="J229" s="4"/>
      <c r="K229" s="4"/>
      <c r="L229" s="4"/>
      <c r="M229" s="225"/>
      <c r="N229" s="225"/>
      <c r="O229" s="225"/>
      <c r="P229" s="4"/>
      <c r="Q229" s="4"/>
      <c r="R229" s="4"/>
      <c r="S229" s="4"/>
      <c r="T229" s="4"/>
      <c r="U229" s="194"/>
      <c r="V229" s="4"/>
      <c r="W229" s="4"/>
      <c r="X229" s="4"/>
      <c r="Y229" s="4"/>
      <c r="Z229" s="4"/>
    </row>
    <row r="230" customFormat="false" ht="15.75" hidden="false" customHeight="true" outlineLevel="0" collapsed="false">
      <c r="A230" s="4"/>
      <c r="B230" s="4"/>
      <c r="C230" s="4"/>
      <c r="D230" s="4"/>
      <c r="E230" s="4"/>
      <c r="F230" s="4"/>
      <c r="G230" s="194"/>
      <c r="H230" s="225"/>
      <c r="I230" s="225"/>
      <c r="J230" s="4"/>
      <c r="K230" s="4"/>
      <c r="L230" s="4"/>
      <c r="M230" s="225"/>
      <c r="N230" s="225"/>
      <c r="O230" s="225"/>
      <c r="P230" s="4"/>
      <c r="Q230" s="4"/>
      <c r="R230" s="4"/>
      <c r="S230" s="4"/>
      <c r="T230" s="4"/>
      <c r="U230" s="194"/>
      <c r="V230" s="4"/>
      <c r="W230" s="4"/>
      <c r="X230" s="4"/>
      <c r="Y230" s="4"/>
      <c r="Z230" s="4"/>
    </row>
    <row r="231" customFormat="false" ht="15.75" hidden="false" customHeight="true" outlineLevel="0" collapsed="false">
      <c r="A231" s="4"/>
      <c r="B231" s="4"/>
      <c r="C231" s="4"/>
      <c r="D231" s="4"/>
      <c r="E231" s="4"/>
      <c r="F231" s="4"/>
      <c r="G231" s="194"/>
      <c r="H231" s="225"/>
      <c r="I231" s="225"/>
      <c r="J231" s="4"/>
      <c r="K231" s="4"/>
      <c r="L231" s="4"/>
      <c r="M231" s="225"/>
      <c r="N231" s="225"/>
      <c r="O231" s="225"/>
      <c r="P231" s="4"/>
      <c r="Q231" s="4"/>
      <c r="R231" s="4"/>
      <c r="S231" s="4"/>
      <c r="T231" s="4"/>
      <c r="U231" s="194"/>
      <c r="V231" s="4"/>
      <c r="W231" s="4"/>
      <c r="X231" s="4"/>
      <c r="Y231" s="4"/>
      <c r="Z231" s="4"/>
    </row>
    <row r="232" customFormat="false" ht="15.75" hidden="false" customHeight="true" outlineLevel="0" collapsed="false">
      <c r="A232" s="4"/>
      <c r="B232" s="4"/>
      <c r="C232" s="4"/>
      <c r="D232" s="4"/>
      <c r="E232" s="4"/>
      <c r="F232" s="4"/>
      <c r="G232" s="194"/>
      <c r="H232" s="225"/>
      <c r="I232" s="225"/>
      <c r="J232" s="4"/>
      <c r="K232" s="4"/>
      <c r="L232" s="4"/>
      <c r="M232" s="225"/>
      <c r="N232" s="225"/>
      <c r="O232" s="225"/>
      <c r="P232" s="4"/>
      <c r="Q232" s="4"/>
      <c r="R232" s="4"/>
      <c r="S232" s="4"/>
      <c r="T232" s="4"/>
      <c r="U232" s="194"/>
      <c r="V232" s="4"/>
      <c r="W232" s="4"/>
      <c r="X232" s="4"/>
      <c r="Y232" s="4"/>
      <c r="Z232" s="4"/>
    </row>
    <row r="233" customFormat="false" ht="15.75" hidden="false" customHeight="true" outlineLevel="0" collapsed="false">
      <c r="A233" s="4"/>
      <c r="B233" s="4"/>
      <c r="C233" s="4"/>
      <c r="D233" s="4"/>
      <c r="E233" s="4"/>
      <c r="F233" s="4"/>
      <c r="G233" s="194"/>
      <c r="H233" s="225"/>
      <c r="I233" s="225"/>
      <c r="J233" s="4"/>
      <c r="K233" s="4"/>
      <c r="L233" s="4"/>
      <c r="M233" s="225"/>
      <c r="N233" s="225"/>
      <c r="O233" s="225"/>
      <c r="P233" s="4"/>
      <c r="Q233" s="4"/>
      <c r="R233" s="4"/>
      <c r="S233" s="4"/>
      <c r="T233" s="4"/>
      <c r="U233" s="194"/>
      <c r="V233" s="4"/>
      <c r="W233" s="4"/>
      <c r="X233" s="4"/>
      <c r="Y233" s="4"/>
      <c r="Z233" s="4"/>
    </row>
    <row r="234" customFormat="false" ht="15.75" hidden="false" customHeight="true" outlineLevel="0" collapsed="false">
      <c r="A234" s="4"/>
      <c r="B234" s="4"/>
      <c r="C234" s="4"/>
      <c r="D234" s="4"/>
      <c r="E234" s="4"/>
      <c r="F234" s="4"/>
      <c r="G234" s="194"/>
      <c r="H234" s="225"/>
      <c r="I234" s="225"/>
      <c r="J234" s="4"/>
      <c r="K234" s="4"/>
      <c r="L234" s="4"/>
      <c r="M234" s="225"/>
      <c r="N234" s="225"/>
      <c r="O234" s="225"/>
      <c r="P234" s="4"/>
      <c r="Q234" s="4"/>
      <c r="R234" s="4"/>
      <c r="S234" s="4"/>
      <c r="T234" s="4"/>
      <c r="U234" s="194"/>
      <c r="V234" s="4"/>
      <c r="W234" s="4"/>
      <c r="X234" s="4"/>
      <c r="Y234" s="4"/>
      <c r="Z234" s="4"/>
    </row>
    <row r="235" customFormat="false" ht="15.75" hidden="false" customHeight="true" outlineLevel="0" collapsed="false">
      <c r="A235" s="4"/>
      <c r="B235" s="4"/>
      <c r="C235" s="4"/>
      <c r="D235" s="4"/>
      <c r="E235" s="4"/>
      <c r="F235" s="4"/>
      <c r="G235" s="194"/>
      <c r="H235" s="225"/>
      <c r="I235" s="225"/>
      <c r="J235" s="4"/>
      <c r="K235" s="4"/>
      <c r="L235" s="4"/>
      <c r="M235" s="225"/>
      <c r="N235" s="225"/>
      <c r="O235" s="225"/>
      <c r="P235" s="4"/>
      <c r="Q235" s="4"/>
      <c r="R235" s="4"/>
      <c r="S235" s="4"/>
      <c r="T235" s="4"/>
      <c r="U235" s="194"/>
      <c r="V235" s="4"/>
      <c r="W235" s="4"/>
      <c r="X235" s="4"/>
      <c r="Y235" s="4"/>
      <c r="Z235" s="4"/>
    </row>
    <row r="236" customFormat="false" ht="15.75" hidden="false" customHeight="true" outlineLevel="0" collapsed="false">
      <c r="A236" s="4"/>
      <c r="B236" s="4"/>
      <c r="C236" s="4"/>
      <c r="D236" s="4"/>
      <c r="E236" s="4"/>
      <c r="F236" s="4"/>
      <c r="G236" s="194"/>
      <c r="H236" s="225"/>
      <c r="I236" s="225"/>
      <c r="J236" s="4"/>
      <c r="K236" s="4"/>
      <c r="L236" s="4"/>
      <c r="M236" s="225"/>
      <c r="N236" s="225"/>
      <c r="O236" s="225"/>
      <c r="P236" s="4"/>
      <c r="Q236" s="4"/>
      <c r="R236" s="4"/>
      <c r="S236" s="4"/>
      <c r="T236" s="4"/>
      <c r="U236" s="194"/>
      <c r="V236" s="4"/>
      <c r="W236" s="4"/>
      <c r="X236" s="4"/>
      <c r="Y236" s="4"/>
      <c r="Z236" s="4"/>
    </row>
    <row r="237" customFormat="false" ht="15.75" hidden="false" customHeight="true" outlineLevel="0" collapsed="false">
      <c r="A237" s="4"/>
      <c r="B237" s="4"/>
      <c r="C237" s="4"/>
      <c r="D237" s="4"/>
      <c r="E237" s="4"/>
      <c r="F237" s="4"/>
      <c r="G237" s="194"/>
      <c r="H237" s="225"/>
      <c r="I237" s="225"/>
      <c r="J237" s="4"/>
      <c r="K237" s="4"/>
      <c r="L237" s="4"/>
      <c r="M237" s="225"/>
      <c r="N237" s="225"/>
      <c r="O237" s="225"/>
      <c r="P237" s="4"/>
      <c r="Q237" s="4"/>
      <c r="R237" s="4"/>
      <c r="S237" s="4"/>
      <c r="T237" s="4"/>
      <c r="U237" s="194"/>
      <c r="V237" s="4"/>
      <c r="W237" s="4"/>
      <c r="X237" s="4"/>
      <c r="Y237" s="4"/>
      <c r="Z237" s="4"/>
    </row>
    <row r="238" customFormat="false" ht="15.75" hidden="false" customHeight="true" outlineLevel="0" collapsed="false">
      <c r="A238" s="4"/>
      <c r="B238" s="4"/>
      <c r="C238" s="4"/>
      <c r="D238" s="4"/>
      <c r="E238" s="4"/>
      <c r="F238" s="4"/>
      <c r="G238" s="194"/>
      <c r="H238" s="225"/>
      <c r="I238" s="225"/>
      <c r="J238" s="4"/>
      <c r="K238" s="4"/>
      <c r="L238" s="4"/>
      <c r="M238" s="225"/>
      <c r="N238" s="225"/>
      <c r="O238" s="225"/>
      <c r="P238" s="4"/>
      <c r="Q238" s="4"/>
      <c r="R238" s="4"/>
      <c r="S238" s="4"/>
      <c r="T238" s="4"/>
      <c r="U238" s="194"/>
      <c r="V238" s="4"/>
      <c r="W238" s="4"/>
      <c r="X238" s="4"/>
      <c r="Y238" s="4"/>
      <c r="Z238" s="4"/>
    </row>
    <row r="239" customFormat="false" ht="15.75" hidden="false" customHeight="true" outlineLevel="0" collapsed="false">
      <c r="A239" s="4"/>
      <c r="B239" s="4"/>
      <c r="C239" s="4"/>
      <c r="D239" s="4"/>
      <c r="E239" s="4"/>
      <c r="F239" s="4"/>
      <c r="G239" s="194"/>
      <c r="H239" s="225"/>
      <c r="I239" s="225"/>
      <c r="J239" s="4"/>
      <c r="K239" s="4"/>
      <c r="L239" s="4"/>
      <c r="M239" s="225"/>
      <c r="N239" s="225"/>
      <c r="O239" s="225"/>
      <c r="P239" s="4"/>
      <c r="Q239" s="4"/>
      <c r="R239" s="4"/>
      <c r="S239" s="4"/>
      <c r="T239" s="4"/>
      <c r="U239" s="194"/>
      <c r="V239" s="4"/>
      <c r="W239" s="4"/>
      <c r="X239" s="4"/>
      <c r="Y239" s="4"/>
      <c r="Z239" s="4"/>
    </row>
    <row r="240" customFormat="false" ht="15.75" hidden="false" customHeight="true" outlineLevel="0" collapsed="false">
      <c r="A240" s="4"/>
      <c r="B240" s="4"/>
      <c r="C240" s="4"/>
      <c r="D240" s="4"/>
      <c r="E240" s="4"/>
      <c r="F240" s="4"/>
      <c r="G240" s="194"/>
      <c r="H240" s="225"/>
      <c r="I240" s="225"/>
      <c r="J240" s="4"/>
      <c r="K240" s="4"/>
      <c r="L240" s="4"/>
      <c r="M240" s="225"/>
      <c r="N240" s="225"/>
      <c r="O240" s="225"/>
      <c r="P240" s="4"/>
      <c r="Q240" s="4"/>
      <c r="R240" s="4"/>
      <c r="S240" s="4"/>
      <c r="T240" s="4"/>
      <c r="U240" s="194"/>
      <c r="V240" s="4"/>
      <c r="W240" s="4"/>
      <c r="X240" s="4"/>
      <c r="Y240" s="4"/>
      <c r="Z240" s="4"/>
    </row>
    <row r="241" customFormat="false" ht="15.75" hidden="false" customHeight="true" outlineLevel="0" collapsed="false">
      <c r="A241" s="4"/>
      <c r="B241" s="4"/>
      <c r="C241" s="4"/>
      <c r="D241" s="4"/>
      <c r="E241" s="4"/>
      <c r="F241" s="4"/>
      <c r="G241" s="194"/>
      <c r="H241" s="225"/>
      <c r="I241" s="225"/>
      <c r="J241" s="4"/>
      <c r="K241" s="4"/>
      <c r="L241" s="4"/>
      <c r="M241" s="225"/>
      <c r="N241" s="225"/>
      <c r="O241" s="225"/>
      <c r="P241" s="4"/>
      <c r="Q241" s="4"/>
      <c r="R241" s="4"/>
      <c r="S241" s="4"/>
      <c r="T241" s="4"/>
      <c r="U241" s="194"/>
      <c r="V241" s="4"/>
      <c r="W241" s="4"/>
      <c r="X241" s="4"/>
      <c r="Y241" s="4"/>
      <c r="Z241" s="4"/>
    </row>
    <row r="242" customFormat="false" ht="15.75" hidden="false" customHeight="true" outlineLevel="0" collapsed="false">
      <c r="A242" s="4"/>
      <c r="B242" s="4"/>
      <c r="C242" s="4"/>
      <c r="D242" s="4"/>
      <c r="E242" s="4"/>
      <c r="F242" s="4"/>
      <c r="G242" s="194"/>
      <c r="H242" s="225"/>
      <c r="I242" s="225"/>
      <c r="J242" s="4"/>
      <c r="K242" s="4"/>
      <c r="L242" s="4"/>
      <c r="M242" s="225"/>
      <c r="N242" s="225"/>
      <c r="O242" s="225"/>
      <c r="P242" s="4"/>
      <c r="Q242" s="4"/>
      <c r="R242" s="4"/>
      <c r="S242" s="4"/>
      <c r="T242" s="4"/>
      <c r="U242" s="194"/>
      <c r="V242" s="4"/>
      <c r="W242" s="4"/>
      <c r="X242" s="4"/>
      <c r="Y242" s="4"/>
      <c r="Z242" s="4"/>
    </row>
    <row r="243" customFormat="false" ht="15.75" hidden="false" customHeight="true" outlineLevel="0" collapsed="false">
      <c r="A243" s="4"/>
      <c r="B243" s="4"/>
      <c r="C243" s="4"/>
      <c r="D243" s="4"/>
      <c r="E243" s="4"/>
      <c r="F243" s="4"/>
      <c r="G243" s="194"/>
      <c r="H243" s="225"/>
      <c r="I243" s="225"/>
      <c r="J243" s="4"/>
      <c r="K243" s="4"/>
      <c r="L243" s="4"/>
      <c r="M243" s="225"/>
      <c r="N243" s="225"/>
      <c r="O243" s="225"/>
      <c r="P243" s="4"/>
      <c r="Q243" s="4"/>
      <c r="R243" s="4"/>
      <c r="S243" s="4"/>
      <c r="T243" s="4"/>
      <c r="U243" s="194"/>
      <c r="V243" s="4"/>
      <c r="W243" s="4"/>
      <c r="X243" s="4"/>
      <c r="Y243" s="4"/>
      <c r="Z243" s="4"/>
    </row>
    <row r="244" customFormat="false" ht="15.75" hidden="false" customHeight="true" outlineLevel="0" collapsed="false">
      <c r="A244" s="4"/>
      <c r="B244" s="4"/>
      <c r="C244" s="4"/>
      <c r="D244" s="4"/>
      <c r="E244" s="4"/>
      <c r="F244" s="4"/>
      <c r="G244" s="194"/>
      <c r="H244" s="225"/>
      <c r="I244" s="225"/>
      <c r="J244" s="4"/>
      <c r="K244" s="4"/>
      <c r="L244" s="4"/>
      <c r="M244" s="225"/>
      <c r="N244" s="225"/>
      <c r="O244" s="225"/>
      <c r="P244" s="4"/>
      <c r="Q244" s="4"/>
      <c r="R244" s="4"/>
      <c r="S244" s="4"/>
      <c r="T244" s="4"/>
      <c r="U244" s="194"/>
      <c r="V244" s="4"/>
      <c r="W244" s="4"/>
      <c r="X244" s="4"/>
      <c r="Y244" s="4"/>
      <c r="Z244" s="4"/>
    </row>
    <row r="245" customFormat="false" ht="15.75" hidden="false" customHeight="true" outlineLevel="0" collapsed="false">
      <c r="A245" s="4"/>
      <c r="B245" s="4"/>
      <c r="C245" s="4"/>
      <c r="D245" s="4"/>
      <c r="E245" s="4"/>
      <c r="F245" s="4"/>
      <c r="G245" s="194"/>
      <c r="H245" s="225"/>
      <c r="I245" s="225"/>
      <c r="J245" s="4"/>
      <c r="K245" s="4"/>
      <c r="L245" s="4"/>
      <c r="M245" s="225"/>
      <c r="N245" s="225"/>
      <c r="O245" s="225"/>
      <c r="P245" s="4"/>
      <c r="Q245" s="4"/>
      <c r="R245" s="4"/>
      <c r="S245" s="4"/>
      <c r="T245" s="4"/>
      <c r="U245" s="194"/>
      <c r="V245" s="4"/>
      <c r="W245" s="4"/>
      <c r="X245" s="4"/>
      <c r="Y245" s="4"/>
      <c r="Z245" s="4"/>
    </row>
    <row r="246" customFormat="false" ht="15.75" hidden="false" customHeight="true" outlineLevel="0" collapsed="false">
      <c r="A246" s="4"/>
      <c r="B246" s="4"/>
      <c r="C246" s="4"/>
      <c r="D246" s="4"/>
      <c r="E246" s="4"/>
      <c r="F246" s="4"/>
      <c r="G246" s="194"/>
      <c r="H246" s="225"/>
      <c r="I246" s="225"/>
      <c r="J246" s="4"/>
      <c r="K246" s="4"/>
      <c r="L246" s="4"/>
      <c r="M246" s="225"/>
      <c r="N246" s="225"/>
      <c r="O246" s="225"/>
      <c r="P246" s="4"/>
      <c r="Q246" s="4"/>
      <c r="R246" s="4"/>
      <c r="S246" s="4"/>
      <c r="T246" s="4"/>
      <c r="U246" s="194"/>
      <c r="V246" s="4"/>
      <c r="W246" s="4"/>
      <c r="X246" s="4"/>
      <c r="Y246" s="4"/>
      <c r="Z246" s="4"/>
    </row>
    <row r="247" customFormat="false" ht="15.75" hidden="false" customHeight="true" outlineLevel="0" collapsed="false">
      <c r="A247" s="4"/>
      <c r="B247" s="4"/>
      <c r="C247" s="4"/>
      <c r="D247" s="4"/>
      <c r="E247" s="4"/>
      <c r="F247" s="4"/>
      <c r="G247" s="194"/>
      <c r="H247" s="225"/>
      <c r="I247" s="225"/>
      <c r="J247" s="4"/>
      <c r="K247" s="4"/>
      <c r="L247" s="4"/>
      <c r="M247" s="225"/>
      <c r="N247" s="225"/>
      <c r="O247" s="225"/>
      <c r="P247" s="4"/>
      <c r="Q247" s="4"/>
      <c r="R247" s="4"/>
      <c r="S247" s="4"/>
      <c r="T247" s="4"/>
      <c r="U247" s="194"/>
      <c r="V247" s="4"/>
      <c r="W247" s="4"/>
      <c r="X247" s="4"/>
      <c r="Y247" s="4"/>
      <c r="Z247" s="4"/>
    </row>
    <row r="248" customFormat="false" ht="15.75" hidden="false" customHeight="true" outlineLevel="0" collapsed="false">
      <c r="A248" s="4"/>
      <c r="B248" s="4"/>
      <c r="C248" s="4"/>
      <c r="D248" s="4"/>
      <c r="E248" s="4"/>
      <c r="F248" s="4"/>
      <c r="G248" s="194"/>
      <c r="H248" s="225"/>
      <c r="I248" s="225"/>
      <c r="J248" s="4"/>
      <c r="K248" s="4"/>
      <c r="L248" s="4"/>
      <c r="M248" s="225"/>
      <c r="N248" s="225"/>
      <c r="O248" s="225"/>
      <c r="P248" s="4"/>
      <c r="Q248" s="4"/>
      <c r="R248" s="4"/>
      <c r="S248" s="4"/>
      <c r="T248" s="4"/>
      <c r="U248" s="194"/>
      <c r="V248" s="4"/>
      <c r="W248" s="4"/>
      <c r="X248" s="4"/>
      <c r="Y248" s="4"/>
      <c r="Z248" s="4"/>
    </row>
    <row r="249" customFormat="false" ht="15.75" hidden="false" customHeight="true" outlineLevel="0" collapsed="false">
      <c r="A249" s="4"/>
      <c r="B249" s="4"/>
      <c r="C249" s="4"/>
      <c r="D249" s="4"/>
      <c r="E249" s="4"/>
      <c r="F249" s="4"/>
      <c r="G249" s="194"/>
      <c r="H249" s="225"/>
      <c r="I249" s="225"/>
      <c r="J249" s="4"/>
      <c r="K249" s="4"/>
      <c r="L249" s="4"/>
      <c r="M249" s="225"/>
      <c r="N249" s="225"/>
      <c r="O249" s="225"/>
      <c r="P249" s="4"/>
      <c r="Q249" s="4"/>
      <c r="R249" s="4"/>
      <c r="S249" s="4"/>
      <c r="T249" s="4"/>
      <c r="U249" s="194"/>
      <c r="V249" s="4"/>
      <c r="W249" s="4"/>
      <c r="X249" s="4"/>
      <c r="Y249" s="4"/>
      <c r="Z249" s="4"/>
    </row>
    <row r="250" customFormat="false" ht="15.75" hidden="false" customHeight="true" outlineLevel="0" collapsed="false">
      <c r="A250" s="4"/>
      <c r="B250" s="4"/>
      <c r="C250" s="4"/>
      <c r="D250" s="4"/>
      <c r="E250" s="4"/>
      <c r="F250" s="4"/>
      <c r="G250" s="194"/>
      <c r="H250" s="225"/>
      <c r="I250" s="225"/>
      <c r="J250" s="4"/>
      <c r="K250" s="4"/>
      <c r="L250" s="4"/>
      <c r="M250" s="225"/>
      <c r="N250" s="225"/>
      <c r="O250" s="225"/>
      <c r="P250" s="4"/>
      <c r="Q250" s="4"/>
      <c r="R250" s="4"/>
      <c r="S250" s="4"/>
      <c r="T250" s="4"/>
      <c r="U250" s="194"/>
      <c r="V250" s="4"/>
      <c r="W250" s="4"/>
      <c r="X250" s="4"/>
      <c r="Y250" s="4"/>
      <c r="Z250" s="4"/>
    </row>
    <row r="251" customFormat="false" ht="15.75" hidden="false" customHeight="true" outlineLevel="0" collapsed="false">
      <c r="A251" s="4"/>
      <c r="B251" s="4"/>
      <c r="C251" s="4"/>
      <c r="D251" s="4"/>
      <c r="E251" s="4"/>
      <c r="F251" s="4"/>
      <c r="G251" s="194"/>
      <c r="H251" s="225"/>
      <c r="I251" s="225"/>
      <c r="J251" s="4"/>
      <c r="K251" s="4"/>
      <c r="L251" s="4"/>
      <c r="M251" s="225"/>
      <c r="N251" s="225"/>
      <c r="O251" s="225"/>
      <c r="P251" s="4"/>
      <c r="Q251" s="4"/>
      <c r="R251" s="4"/>
      <c r="S251" s="4"/>
      <c r="T251" s="4"/>
      <c r="U251" s="194"/>
      <c r="V251" s="4"/>
      <c r="W251" s="4"/>
      <c r="X251" s="4"/>
      <c r="Y251" s="4"/>
      <c r="Z251" s="4"/>
    </row>
    <row r="252" customFormat="false" ht="15.75" hidden="false" customHeight="true" outlineLevel="0" collapsed="false">
      <c r="A252" s="4"/>
      <c r="B252" s="4"/>
      <c r="C252" s="4"/>
      <c r="D252" s="4"/>
      <c r="E252" s="4"/>
      <c r="F252" s="4"/>
      <c r="G252" s="194"/>
      <c r="H252" s="225"/>
      <c r="I252" s="225"/>
      <c r="J252" s="4"/>
      <c r="K252" s="4"/>
      <c r="L252" s="4"/>
      <c r="M252" s="225"/>
      <c r="N252" s="225"/>
      <c r="O252" s="225"/>
      <c r="P252" s="4"/>
      <c r="Q252" s="4"/>
      <c r="R252" s="4"/>
      <c r="S252" s="4"/>
      <c r="T252" s="4"/>
      <c r="U252" s="194"/>
      <c r="V252" s="4"/>
      <c r="W252" s="4"/>
      <c r="X252" s="4"/>
      <c r="Y252" s="4"/>
      <c r="Z252" s="4"/>
    </row>
    <row r="253" customFormat="false" ht="15.75" hidden="false" customHeight="true" outlineLevel="0" collapsed="false">
      <c r="A253" s="4"/>
      <c r="B253" s="4"/>
      <c r="C253" s="4"/>
      <c r="D253" s="4"/>
      <c r="E253" s="4"/>
      <c r="F253" s="4"/>
      <c r="G253" s="194"/>
      <c r="H253" s="225"/>
      <c r="I253" s="225"/>
      <c r="J253" s="4"/>
      <c r="K253" s="4"/>
      <c r="L253" s="4"/>
      <c r="M253" s="225"/>
      <c r="N253" s="225"/>
      <c r="O253" s="225"/>
      <c r="P253" s="4"/>
      <c r="Q253" s="4"/>
      <c r="R253" s="4"/>
      <c r="S253" s="4"/>
      <c r="T253" s="4"/>
      <c r="U253" s="194"/>
      <c r="V253" s="4"/>
      <c r="W253" s="4"/>
      <c r="X253" s="4"/>
      <c r="Y253" s="4"/>
      <c r="Z253" s="4"/>
    </row>
    <row r="254" customFormat="false" ht="15.75" hidden="false" customHeight="true" outlineLevel="0" collapsed="false">
      <c r="A254" s="4"/>
      <c r="B254" s="4"/>
      <c r="C254" s="4"/>
      <c r="D254" s="4"/>
      <c r="E254" s="4"/>
      <c r="F254" s="4"/>
      <c r="G254" s="194"/>
      <c r="H254" s="225"/>
      <c r="I254" s="225"/>
      <c r="J254" s="4"/>
      <c r="K254" s="4"/>
      <c r="L254" s="4"/>
      <c r="M254" s="225"/>
      <c r="N254" s="225"/>
      <c r="O254" s="225"/>
      <c r="P254" s="4"/>
      <c r="Q254" s="4"/>
      <c r="R254" s="4"/>
      <c r="S254" s="4"/>
      <c r="T254" s="4"/>
      <c r="U254" s="194"/>
      <c r="V254" s="4"/>
      <c r="W254" s="4"/>
      <c r="X254" s="4"/>
      <c r="Y254" s="4"/>
      <c r="Z254" s="4"/>
    </row>
    <row r="255" customFormat="false" ht="15.75" hidden="false" customHeight="true" outlineLevel="0" collapsed="false">
      <c r="A255" s="4"/>
      <c r="B255" s="4"/>
      <c r="C255" s="4"/>
      <c r="D255" s="4"/>
      <c r="E255" s="4"/>
      <c r="F255" s="4"/>
      <c r="G255" s="194"/>
      <c r="H255" s="225"/>
      <c r="I255" s="225"/>
      <c r="J255" s="4"/>
      <c r="K255" s="4"/>
      <c r="L255" s="4"/>
      <c r="M255" s="225"/>
      <c r="N255" s="225"/>
      <c r="O255" s="225"/>
      <c r="P255" s="4"/>
      <c r="Q255" s="4"/>
      <c r="R255" s="4"/>
      <c r="S255" s="4"/>
      <c r="T255" s="4"/>
      <c r="U255" s="194"/>
      <c r="V255" s="4"/>
      <c r="W255" s="4"/>
      <c r="X255" s="4"/>
      <c r="Y255" s="4"/>
      <c r="Z255" s="4"/>
    </row>
    <row r="256" customFormat="false" ht="15.75" hidden="false" customHeight="true" outlineLevel="0" collapsed="false">
      <c r="A256" s="4"/>
      <c r="B256" s="4"/>
      <c r="C256" s="4"/>
      <c r="D256" s="4"/>
      <c r="E256" s="4"/>
      <c r="F256" s="4"/>
      <c r="G256" s="194"/>
      <c r="H256" s="225"/>
      <c r="I256" s="225"/>
      <c r="J256" s="4"/>
      <c r="K256" s="4"/>
      <c r="L256" s="4"/>
      <c r="M256" s="225"/>
      <c r="N256" s="225"/>
      <c r="O256" s="225"/>
      <c r="P256" s="4"/>
      <c r="Q256" s="4"/>
      <c r="R256" s="4"/>
      <c r="S256" s="4"/>
      <c r="T256" s="4"/>
      <c r="U256" s="194"/>
      <c r="V256" s="4"/>
      <c r="W256" s="4"/>
      <c r="X256" s="4"/>
      <c r="Y256" s="4"/>
      <c r="Z256" s="4"/>
    </row>
    <row r="257" customFormat="false" ht="15.75" hidden="false" customHeight="true" outlineLevel="0" collapsed="false">
      <c r="A257" s="4"/>
      <c r="B257" s="4"/>
      <c r="C257" s="4"/>
      <c r="D257" s="4"/>
      <c r="E257" s="4"/>
      <c r="F257" s="4"/>
      <c r="G257" s="194"/>
      <c r="H257" s="225"/>
      <c r="I257" s="225"/>
      <c r="J257" s="4"/>
      <c r="K257" s="4"/>
      <c r="L257" s="4"/>
      <c r="M257" s="225"/>
      <c r="N257" s="225"/>
      <c r="O257" s="225"/>
      <c r="P257" s="4"/>
      <c r="Q257" s="4"/>
      <c r="R257" s="4"/>
      <c r="S257" s="4"/>
      <c r="T257" s="4"/>
      <c r="U257" s="194"/>
      <c r="V257" s="4"/>
      <c r="W257" s="4"/>
      <c r="X257" s="4"/>
      <c r="Y257" s="4"/>
      <c r="Z257" s="4"/>
    </row>
    <row r="258" customFormat="false" ht="15.75" hidden="false" customHeight="true" outlineLevel="0" collapsed="false">
      <c r="A258" s="4"/>
      <c r="B258" s="4"/>
      <c r="C258" s="4"/>
      <c r="D258" s="4"/>
      <c r="E258" s="4"/>
      <c r="F258" s="4"/>
      <c r="G258" s="194"/>
      <c r="H258" s="225"/>
      <c r="I258" s="225"/>
      <c r="J258" s="4"/>
      <c r="K258" s="4"/>
      <c r="L258" s="4"/>
      <c r="M258" s="225"/>
      <c r="N258" s="225"/>
      <c r="O258" s="225"/>
      <c r="P258" s="4"/>
      <c r="Q258" s="4"/>
      <c r="R258" s="4"/>
      <c r="S258" s="4"/>
      <c r="T258" s="4"/>
      <c r="U258" s="194"/>
      <c r="V258" s="4"/>
      <c r="W258" s="4"/>
      <c r="X258" s="4"/>
      <c r="Y258" s="4"/>
      <c r="Z258" s="4"/>
    </row>
    <row r="259" customFormat="false" ht="15.75" hidden="false" customHeight="true" outlineLevel="0" collapsed="false">
      <c r="A259" s="4"/>
      <c r="B259" s="4"/>
      <c r="C259" s="4"/>
      <c r="D259" s="4"/>
      <c r="E259" s="4"/>
      <c r="F259" s="4"/>
      <c r="G259" s="194"/>
      <c r="H259" s="225"/>
      <c r="I259" s="225"/>
      <c r="J259" s="4"/>
      <c r="K259" s="4"/>
      <c r="L259" s="4"/>
      <c r="M259" s="225"/>
      <c r="N259" s="225"/>
      <c r="O259" s="225"/>
      <c r="P259" s="4"/>
      <c r="Q259" s="4"/>
      <c r="R259" s="4"/>
      <c r="S259" s="4"/>
      <c r="T259" s="4"/>
      <c r="U259" s="194"/>
      <c r="V259" s="4"/>
      <c r="W259" s="4"/>
      <c r="X259" s="4"/>
      <c r="Y259" s="4"/>
      <c r="Z259" s="4"/>
    </row>
    <row r="260" customFormat="false" ht="15.75" hidden="false" customHeight="true" outlineLevel="0" collapsed="false">
      <c r="A260" s="4"/>
      <c r="B260" s="4"/>
      <c r="C260" s="4"/>
      <c r="D260" s="4"/>
      <c r="E260" s="4"/>
      <c r="F260" s="4"/>
      <c r="G260" s="194"/>
      <c r="H260" s="225"/>
      <c r="I260" s="225"/>
      <c r="J260" s="4"/>
      <c r="K260" s="4"/>
      <c r="L260" s="4"/>
      <c r="M260" s="225"/>
      <c r="N260" s="225"/>
      <c r="O260" s="225"/>
      <c r="P260" s="4"/>
      <c r="Q260" s="4"/>
      <c r="R260" s="4"/>
      <c r="S260" s="4"/>
      <c r="T260" s="4"/>
      <c r="U260" s="194"/>
      <c r="V260" s="4"/>
      <c r="W260" s="4"/>
      <c r="X260" s="4"/>
      <c r="Y260" s="4"/>
      <c r="Z260" s="4"/>
    </row>
    <row r="261" customFormat="false" ht="15.75" hidden="false" customHeight="true" outlineLevel="0" collapsed="false">
      <c r="A261" s="4"/>
      <c r="B261" s="4"/>
      <c r="C261" s="4"/>
      <c r="D261" s="4"/>
      <c r="E261" s="4"/>
      <c r="F261" s="4"/>
      <c r="G261" s="194"/>
      <c r="H261" s="225"/>
      <c r="I261" s="225"/>
      <c r="J261" s="4"/>
      <c r="K261" s="4"/>
      <c r="L261" s="4"/>
      <c r="M261" s="225"/>
      <c r="N261" s="225"/>
      <c r="O261" s="225"/>
      <c r="P261" s="4"/>
      <c r="Q261" s="4"/>
      <c r="R261" s="4"/>
      <c r="S261" s="4"/>
      <c r="T261" s="4"/>
      <c r="U261" s="194"/>
      <c r="V261" s="4"/>
      <c r="W261" s="4"/>
      <c r="X261" s="4"/>
      <c r="Y261" s="4"/>
      <c r="Z261" s="4"/>
    </row>
    <row r="262" customFormat="false" ht="15.75" hidden="false" customHeight="true" outlineLevel="0" collapsed="false">
      <c r="A262" s="4"/>
      <c r="B262" s="4"/>
      <c r="C262" s="4"/>
      <c r="D262" s="4"/>
      <c r="E262" s="4"/>
      <c r="F262" s="4"/>
      <c r="G262" s="194"/>
      <c r="H262" s="225"/>
      <c r="I262" s="225"/>
      <c r="J262" s="4"/>
      <c r="K262" s="4"/>
      <c r="L262" s="4"/>
      <c r="M262" s="225"/>
      <c r="N262" s="225"/>
      <c r="O262" s="225"/>
      <c r="P262" s="4"/>
      <c r="Q262" s="4"/>
      <c r="R262" s="4"/>
      <c r="S262" s="4"/>
      <c r="T262" s="4"/>
      <c r="U262" s="194"/>
      <c r="V262" s="4"/>
      <c r="W262" s="4"/>
      <c r="X262" s="4"/>
      <c r="Y262" s="4"/>
      <c r="Z262" s="4"/>
    </row>
    <row r="263" customFormat="false" ht="15.75" hidden="false" customHeight="true" outlineLevel="0" collapsed="false">
      <c r="A263" s="4"/>
      <c r="B263" s="4"/>
      <c r="C263" s="4"/>
      <c r="D263" s="4"/>
      <c r="E263" s="4"/>
      <c r="F263" s="4"/>
      <c r="G263" s="194"/>
      <c r="H263" s="225"/>
      <c r="I263" s="225"/>
      <c r="J263" s="4"/>
      <c r="K263" s="4"/>
      <c r="L263" s="4"/>
      <c r="M263" s="225"/>
      <c r="N263" s="225"/>
      <c r="O263" s="225"/>
      <c r="P263" s="4"/>
      <c r="Q263" s="4"/>
      <c r="R263" s="4"/>
      <c r="S263" s="4"/>
      <c r="T263" s="4"/>
      <c r="U263" s="194"/>
      <c r="V263" s="4"/>
      <c r="W263" s="4"/>
      <c r="X263" s="4"/>
      <c r="Y263" s="4"/>
      <c r="Z263" s="4"/>
    </row>
    <row r="264" customFormat="false" ht="15.75" hidden="false" customHeight="true" outlineLevel="0" collapsed="false">
      <c r="A264" s="4"/>
      <c r="B264" s="4"/>
      <c r="C264" s="4"/>
      <c r="D264" s="4"/>
      <c r="E264" s="4"/>
      <c r="F264" s="4"/>
      <c r="G264" s="194"/>
      <c r="H264" s="225"/>
      <c r="I264" s="225"/>
      <c r="J264" s="4"/>
      <c r="K264" s="4"/>
      <c r="L264" s="4"/>
      <c r="M264" s="225"/>
      <c r="N264" s="225"/>
      <c r="O264" s="225"/>
      <c r="P264" s="4"/>
      <c r="Q264" s="4"/>
      <c r="R264" s="4"/>
      <c r="S264" s="4"/>
      <c r="T264" s="4"/>
      <c r="U264" s="194"/>
      <c r="V264" s="4"/>
      <c r="W264" s="4"/>
      <c r="X264" s="4"/>
      <c r="Y264" s="4"/>
      <c r="Z264" s="4"/>
    </row>
    <row r="265" customFormat="false" ht="15.75" hidden="false" customHeight="true" outlineLevel="0" collapsed="false">
      <c r="A265" s="4"/>
      <c r="B265" s="4"/>
      <c r="C265" s="4"/>
      <c r="D265" s="4"/>
      <c r="E265" s="4"/>
      <c r="F265" s="4"/>
      <c r="G265" s="194"/>
      <c r="H265" s="225"/>
      <c r="I265" s="225"/>
      <c r="J265" s="4"/>
      <c r="K265" s="4"/>
      <c r="L265" s="4"/>
      <c r="M265" s="225"/>
      <c r="N265" s="225"/>
      <c r="O265" s="225"/>
      <c r="P265" s="4"/>
      <c r="Q265" s="4"/>
      <c r="R265" s="4"/>
      <c r="S265" s="4"/>
      <c r="T265" s="4"/>
      <c r="U265" s="194"/>
      <c r="V265" s="4"/>
      <c r="W265" s="4"/>
      <c r="X265" s="4"/>
      <c r="Y265" s="4"/>
      <c r="Z265" s="4"/>
    </row>
    <row r="266" customFormat="false" ht="15.75" hidden="false" customHeight="true" outlineLevel="0" collapsed="false">
      <c r="A266" s="4"/>
      <c r="B266" s="4"/>
      <c r="C266" s="4"/>
      <c r="D266" s="4"/>
      <c r="E266" s="4"/>
      <c r="F266" s="4"/>
      <c r="G266" s="194"/>
      <c r="H266" s="225"/>
      <c r="I266" s="225"/>
      <c r="J266" s="4"/>
      <c r="K266" s="4"/>
      <c r="L266" s="4"/>
      <c r="M266" s="225"/>
      <c r="N266" s="225"/>
      <c r="O266" s="225"/>
      <c r="P266" s="4"/>
      <c r="Q266" s="4"/>
      <c r="R266" s="4"/>
      <c r="S266" s="4"/>
      <c r="T266" s="4"/>
      <c r="U266" s="194"/>
      <c r="V266" s="4"/>
      <c r="W266" s="4"/>
      <c r="X266" s="4"/>
      <c r="Y266" s="4"/>
      <c r="Z266" s="4"/>
    </row>
    <row r="267" customFormat="false" ht="15.75" hidden="false" customHeight="true" outlineLevel="0" collapsed="false">
      <c r="A267" s="4"/>
      <c r="B267" s="4"/>
      <c r="C267" s="4"/>
      <c r="D267" s="4"/>
      <c r="E267" s="4"/>
      <c r="F267" s="4"/>
      <c r="G267" s="194"/>
      <c r="H267" s="225"/>
      <c r="I267" s="225"/>
      <c r="J267" s="4"/>
      <c r="K267" s="4"/>
      <c r="L267" s="4"/>
      <c r="M267" s="225"/>
      <c r="N267" s="225"/>
      <c r="O267" s="225"/>
      <c r="P267" s="4"/>
      <c r="Q267" s="4"/>
      <c r="R267" s="4"/>
      <c r="S267" s="4"/>
      <c r="T267" s="4"/>
      <c r="U267" s="194"/>
      <c r="V267" s="4"/>
      <c r="W267" s="4"/>
      <c r="X267" s="4"/>
      <c r="Y267" s="4"/>
      <c r="Z267" s="4"/>
    </row>
    <row r="268" customFormat="false" ht="15.75" hidden="false" customHeight="true" outlineLevel="0" collapsed="false">
      <c r="A268" s="4"/>
      <c r="B268" s="4"/>
      <c r="C268" s="4"/>
      <c r="D268" s="4"/>
      <c r="E268" s="4"/>
      <c r="F268" s="4"/>
      <c r="G268" s="194"/>
      <c r="H268" s="225"/>
      <c r="I268" s="225"/>
      <c r="J268" s="4"/>
      <c r="K268" s="4"/>
      <c r="L268" s="4"/>
      <c r="M268" s="225"/>
      <c r="N268" s="225"/>
      <c r="O268" s="225"/>
      <c r="P268" s="4"/>
      <c r="Q268" s="4"/>
      <c r="R268" s="4"/>
      <c r="S268" s="4"/>
      <c r="T268" s="4"/>
      <c r="U268" s="194"/>
      <c r="V268" s="4"/>
      <c r="W268" s="4"/>
      <c r="X268" s="4"/>
      <c r="Y268" s="4"/>
      <c r="Z268" s="4"/>
    </row>
    <row r="269" customFormat="false" ht="15.75" hidden="false" customHeight="true" outlineLevel="0" collapsed="false">
      <c r="A269" s="4"/>
      <c r="B269" s="4"/>
      <c r="C269" s="4"/>
      <c r="D269" s="4"/>
      <c r="E269" s="4"/>
      <c r="F269" s="4"/>
      <c r="G269" s="194"/>
      <c r="H269" s="225"/>
      <c r="I269" s="225"/>
      <c r="J269" s="4"/>
      <c r="K269" s="4"/>
      <c r="L269" s="4"/>
      <c r="M269" s="225"/>
      <c r="N269" s="225"/>
      <c r="O269" s="225"/>
      <c r="P269" s="4"/>
      <c r="Q269" s="4"/>
      <c r="R269" s="4"/>
      <c r="S269" s="4"/>
      <c r="T269" s="4"/>
      <c r="U269" s="194"/>
      <c r="V269" s="4"/>
      <c r="W269" s="4"/>
      <c r="X269" s="4"/>
      <c r="Y269" s="4"/>
      <c r="Z269" s="4"/>
    </row>
    <row r="270" customFormat="false" ht="15.75" hidden="false" customHeight="true" outlineLevel="0" collapsed="false">
      <c r="A270" s="4"/>
      <c r="B270" s="4"/>
      <c r="C270" s="4"/>
      <c r="D270" s="4"/>
      <c r="E270" s="4"/>
      <c r="F270" s="4"/>
      <c r="G270" s="194"/>
      <c r="H270" s="225"/>
      <c r="I270" s="225"/>
      <c r="J270" s="4"/>
      <c r="K270" s="4"/>
      <c r="L270" s="4"/>
      <c r="M270" s="225"/>
      <c r="N270" s="225"/>
      <c r="O270" s="225"/>
      <c r="P270" s="4"/>
      <c r="Q270" s="4"/>
      <c r="R270" s="4"/>
      <c r="S270" s="4"/>
      <c r="T270" s="4"/>
      <c r="U270" s="194"/>
      <c r="V270" s="4"/>
      <c r="W270" s="4"/>
      <c r="X270" s="4"/>
      <c r="Y270" s="4"/>
      <c r="Z270" s="4"/>
    </row>
    <row r="271" customFormat="false" ht="15.75" hidden="false" customHeight="true" outlineLevel="0" collapsed="false">
      <c r="A271" s="4"/>
      <c r="B271" s="4"/>
      <c r="C271" s="4"/>
      <c r="D271" s="4"/>
      <c r="E271" s="4"/>
      <c r="F271" s="4"/>
      <c r="G271" s="194"/>
      <c r="H271" s="225"/>
      <c r="I271" s="225"/>
      <c r="J271" s="4"/>
      <c r="K271" s="4"/>
      <c r="L271" s="4"/>
      <c r="M271" s="225"/>
      <c r="N271" s="225"/>
      <c r="O271" s="225"/>
      <c r="P271" s="4"/>
      <c r="Q271" s="4"/>
      <c r="R271" s="4"/>
      <c r="S271" s="4"/>
      <c r="T271" s="4"/>
      <c r="U271" s="194"/>
      <c r="V271" s="4"/>
      <c r="W271" s="4"/>
      <c r="X271" s="4"/>
      <c r="Y271" s="4"/>
      <c r="Z271" s="4"/>
    </row>
    <row r="272" customFormat="false" ht="15.75" hidden="false" customHeight="true" outlineLevel="0" collapsed="false">
      <c r="A272" s="4"/>
      <c r="B272" s="4"/>
      <c r="C272" s="4"/>
      <c r="D272" s="4"/>
      <c r="E272" s="4"/>
      <c r="F272" s="4"/>
      <c r="G272" s="194"/>
      <c r="H272" s="225"/>
      <c r="I272" s="225"/>
      <c r="J272" s="4"/>
      <c r="K272" s="4"/>
      <c r="L272" s="4"/>
      <c r="M272" s="225"/>
      <c r="N272" s="225"/>
      <c r="O272" s="225"/>
      <c r="P272" s="4"/>
      <c r="Q272" s="4"/>
      <c r="R272" s="4"/>
      <c r="S272" s="4"/>
      <c r="T272" s="4"/>
      <c r="U272" s="194"/>
      <c r="V272" s="4"/>
      <c r="W272" s="4"/>
      <c r="X272" s="4"/>
      <c r="Y272" s="4"/>
      <c r="Z272" s="4"/>
    </row>
    <row r="273" customFormat="false" ht="15.75" hidden="false" customHeight="true" outlineLevel="0" collapsed="false">
      <c r="A273" s="4"/>
      <c r="B273" s="4"/>
      <c r="C273" s="4"/>
      <c r="D273" s="4"/>
      <c r="E273" s="4"/>
      <c r="F273" s="4"/>
      <c r="G273" s="194"/>
      <c r="H273" s="225"/>
      <c r="I273" s="225"/>
      <c r="J273" s="4"/>
      <c r="K273" s="4"/>
      <c r="L273" s="4"/>
      <c r="M273" s="225"/>
      <c r="N273" s="225"/>
      <c r="O273" s="225"/>
      <c r="P273" s="4"/>
      <c r="Q273" s="4"/>
      <c r="R273" s="4"/>
      <c r="S273" s="4"/>
      <c r="T273" s="4"/>
      <c r="U273" s="194"/>
      <c r="V273" s="4"/>
      <c r="W273" s="4"/>
      <c r="X273" s="4"/>
      <c r="Y273" s="4"/>
      <c r="Z273" s="4"/>
    </row>
    <row r="274" customFormat="false" ht="15.75" hidden="false" customHeight="true" outlineLevel="0" collapsed="false">
      <c r="A274" s="4"/>
      <c r="B274" s="4"/>
      <c r="C274" s="4"/>
      <c r="D274" s="4"/>
      <c r="E274" s="4"/>
      <c r="F274" s="4"/>
      <c r="G274" s="194"/>
      <c r="H274" s="225"/>
      <c r="I274" s="225"/>
      <c r="J274" s="4"/>
      <c r="K274" s="4"/>
      <c r="L274" s="4"/>
      <c r="M274" s="225"/>
      <c r="N274" s="225"/>
      <c r="O274" s="225"/>
      <c r="P274" s="4"/>
      <c r="Q274" s="4"/>
      <c r="R274" s="4"/>
      <c r="S274" s="4"/>
      <c r="T274" s="4"/>
      <c r="U274" s="194"/>
      <c r="V274" s="4"/>
      <c r="W274" s="4"/>
      <c r="X274" s="4"/>
      <c r="Y274" s="4"/>
      <c r="Z274" s="4"/>
    </row>
    <row r="275" customFormat="false" ht="15.75" hidden="false" customHeight="true" outlineLevel="0" collapsed="false">
      <c r="A275" s="4"/>
      <c r="B275" s="4"/>
      <c r="C275" s="4"/>
      <c r="D275" s="4"/>
      <c r="E275" s="4"/>
      <c r="F275" s="4"/>
      <c r="G275" s="194"/>
      <c r="H275" s="225"/>
      <c r="I275" s="225"/>
      <c r="J275" s="4"/>
      <c r="K275" s="4"/>
      <c r="L275" s="4"/>
      <c r="M275" s="225"/>
      <c r="N275" s="225"/>
      <c r="O275" s="225"/>
      <c r="P275" s="4"/>
      <c r="Q275" s="4"/>
      <c r="R275" s="4"/>
      <c r="S275" s="4"/>
      <c r="T275" s="4"/>
      <c r="U275" s="194"/>
      <c r="V275" s="4"/>
      <c r="W275" s="4"/>
      <c r="X275" s="4"/>
      <c r="Y275" s="4"/>
      <c r="Z275" s="4"/>
    </row>
    <row r="276" customFormat="false" ht="15.75" hidden="false" customHeight="true" outlineLevel="0" collapsed="false">
      <c r="A276" s="4"/>
      <c r="B276" s="4"/>
      <c r="C276" s="4"/>
      <c r="D276" s="4"/>
      <c r="E276" s="4"/>
      <c r="F276" s="4"/>
      <c r="G276" s="194"/>
      <c r="H276" s="225"/>
      <c r="I276" s="225"/>
      <c r="J276" s="4"/>
      <c r="K276" s="4"/>
      <c r="L276" s="4"/>
      <c r="M276" s="225"/>
      <c r="N276" s="225"/>
      <c r="O276" s="225"/>
      <c r="P276" s="4"/>
      <c r="Q276" s="4"/>
      <c r="R276" s="4"/>
      <c r="S276" s="4"/>
      <c r="T276" s="4"/>
      <c r="U276" s="194"/>
      <c r="V276" s="4"/>
      <c r="W276" s="4"/>
      <c r="X276" s="4"/>
      <c r="Y276" s="4"/>
      <c r="Z276" s="4"/>
    </row>
    <row r="277" customFormat="false" ht="15.75" hidden="false" customHeight="true" outlineLevel="0" collapsed="false">
      <c r="A277" s="4"/>
      <c r="B277" s="4"/>
      <c r="C277" s="4"/>
      <c r="D277" s="4"/>
      <c r="E277" s="4"/>
      <c r="F277" s="4"/>
      <c r="G277" s="194"/>
      <c r="H277" s="225"/>
      <c r="I277" s="225"/>
      <c r="J277" s="4"/>
      <c r="K277" s="4"/>
      <c r="L277" s="4"/>
      <c r="M277" s="225"/>
      <c r="N277" s="225"/>
      <c r="O277" s="225"/>
      <c r="P277" s="4"/>
      <c r="Q277" s="4"/>
      <c r="R277" s="4"/>
      <c r="S277" s="4"/>
      <c r="T277" s="4"/>
      <c r="U277" s="194"/>
      <c r="V277" s="4"/>
      <c r="W277" s="4"/>
      <c r="X277" s="4"/>
      <c r="Y277" s="4"/>
      <c r="Z277" s="4"/>
    </row>
    <row r="278" customFormat="false" ht="15.75" hidden="false" customHeight="true" outlineLevel="0" collapsed="false">
      <c r="A278" s="4"/>
      <c r="B278" s="4"/>
      <c r="C278" s="4"/>
      <c r="D278" s="4"/>
      <c r="E278" s="4"/>
      <c r="F278" s="4"/>
      <c r="G278" s="194"/>
      <c r="H278" s="225"/>
      <c r="I278" s="225"/>
      <c r="J278" s="4"/>
      <c r="K278" s="4"/>
      <c r="L278" s="4"/>
      <c r="M278" s="225"/>
      <c r="N278" s="225"/>
      <c r="O278" s="225"/>
      <c r="P278" s="4"/>
      <c r="Q278" s="4"/>
      <c r="R278" s="4"/>
      <c r="S278" s="4"/>
      <c r="T278" s="4"/>
      <c r="U278" s="194"/>
      <c r="V278" s="4"/>
      <c r="W278" s="4"/>
      <c r="X278" s="4"/>
      <c r="Y278" s="4"/>
      <c r="Z278" s="4"/>
    </row>
    <row r="279" customFormat="false" ht="15.75" hidden="false" customHeight="true" outlineLevel="0" collapsed="false">
      <c r="A279" s="4"/>
      <c r="B279" s="4"/>
      <c r="C279" s="4"/>
      <c r="D279" s="4"/>
      <c r="E279" s="4"/>
      <c r="F279" s="4"/>
      <c r="G279" s="194"/>
      <c r="H279" s="225"/>
      <c r="I279" s="225"/>
      <c r="J279" s="4"/>
      <c r="K279" s="4"/>
      <c r="L279" s="4"/>
      <c r="M279" s="225"/>
      <c r="N279" s="225"/>
      <c r="O279" s="225"/>
      <c r="P279" s="4"/>
      <c r="Q279" s="4"/>
      <c r="R279" s="4"/>
      <c r="S279" s="4"/>
      <c r="T279" s="4"/>
      <c r="U279" s="194"/>
      <c r="V279" s="4"/>
      <c r="W279" s="4"/>
      <c r="X279" s="4"/>
      <c r="Y279" s="4"/>
      <c r="Z279" s="4"/>
    </row>
    <row r="280" customFormat="false" ht="15.75" hidden="false" customHeight="true" outlineLevel="0" collapsed="false">
      <c r="A280" s="4"/>
      <c r="B280" s="4"/>
      <c r="C280" s="4"/>
      <c r="D280" s="4"/>
      <c r="E280" s="4"/>
      <c r="F280" s="4"/>
      <c r="G280" s="194"/>
      <c r="H280" s="225"/>
      <c r="I280" s="225"/>
      <c r="J280" s="4"/>
      <c r="K280" s="4"/>
      <c r="L280" s="4"/>
      <c r="M280" s="225"/>
      <c r="N280" s="225"/>
      <c r="O280" s="225"/>
      <c r="P280" s="4"/>
      <c r="Q280" s="4"/>
      <c r="R280" s="4"/>
      <c r="S280" s="4"/>
      <c r="T280" s="4"/>
      <c r="U280" s="194"/>
      <c r="V280" s="4"/>
      <c r="W280" s="4"/>
      <c r="X280" s="4"/>
      <c r="Y280" s="4"/>
      <c r="Z280" s="4"/>
    </row>
    <row r="281" customFormat="false" ht="15.75" hidden="false" customHeight="true" outlineLevel="0" collapsed="false">
      <c r="A281" s="4"/>
      <c r="B281" s="4"/>
      <c r="C281" s="4"/>
      <c r="D281" s="4"/>
      <c r="E281" s="4"/>
      <c r="F281" s="4"/>
      <c r="G281" s="194"/>
      <c r="H281" s="225"/>
      <c r="I281" s="225"/>
      <c r="J281" s="4"/>
      <c r="K281" s="4"/>
      <c r="L281" s="4"/>
      <c r="M281" s="225"/>
      <c r="N281" s="225"/>
      <c r="O281" s="225"/>
      <c r="P281" s="4"/>
      <c r="Q281" s="4"/>
      <c r="R281" s="4"/>
      <c r="S281" s="4"/>
      <c r="T281" s="4"/>
      <c r="U281" s="194"/>
      <c r="V281" s="4"/>
      <c r="W281" s="4"/>
      <c r="X281" s="4"/>
      <c r="Y281" s="4"/>
      <c r="Z281" s="4"/>
    </row>
    <row r="282" customFormat="false" ht="15.75" hidden="false" customHeight="true" outlineLevel="0" collapsed="false">
      <c r="A282" s="4"/>
      <c r="B282" s="4"/>
      <c r="C282" s="4"/>
      <c r="D282" s="4"/>
      <c r="E282" s="4"/>
      <c r="F282" s="4"/>
      <c r="G282" s="194"/>
      <c r="H282" s="225"/>
      <c r="I282" s="225"/>
      <c r="J282" s="4"/>
      <c r="K282" s="4"/>
      <c r="L282" s="4"/>
      <c r="M282" s="225"/>
      <c r="N282" s="225"/>
      <c r="O282" s="225"/>
      <c r="P282" s="4"/>
      <c r="Q282" s="4"/>
      <c r="R282" s="4"/>
      <c r="S282" s="4"/>
      <c r="T282" s="4"/>
      <c r="U282" s="194"/>
      <c r="V282" s="4"/>
      <c r="W282" s="4"/>
      <c r="X282" s="4"/>
      <c r="Y282" s="4"/>
      <c r="Z282" s="4"/>
    </row>
    <row r="283" customFormat="false" ht="15.75" hidden="false" customHeight="true" outlineLevel="0" collapsed="false">
      <c r="A283" s="4"/>
      <c r="B283" s="4"/>
      <c r="C283" s="4"/>
      <c r="D283" s="4"/>
      <c r="E283" s="4"/>
      <c r="F283" s="4"/>
      <c r="G283" s="194"/>
      <c r="H283" s="225"/>
      <c r="I283" s="225"/>
      <c r="J283" s="4"/>
      <c r="K283" s="4"/>
      <c r="L283" s="4"/>
      <c r="M283" s="225"/>
      <c r="N283" s="225"/>
      <c r="O283" s="225"/>
      <c r="P283" s="4"/>
      <c r="Q283" s="4"/>
      <c r="R283" s="4"/>
      <c r="S283" s="4"/>
      <c r="T283" s="4"/>
      <c r="U283" s="194"/>
      <c r="V283" s="4"/>
      <c r="W283" s="4"/>
      <c r="X283" s="4"/>
      <c r="Y283" s="4"/>
      <c r="Z283" s="4"/>
    </row>
    <row r="284" customFormat="false" ht="15.75" hidden="false" customHeight="true" outlineLevel="0" collapsed="false">
      <c r="A284" s="4"/>
      <c r="B284" s="4"/>
      <c r="C284" s="4"/>
      <c r="D284" s="4"/>
      <c r="E284" s="4"/>
      <c r="F284" s="4"/>
      <c r="G284" s="194"/>
      <c r="H284" s="225"/>
      <c r="I284" s="225"/>
      <c r="J284" s="4"/>
      <c r="K284" s="4"/>
      <c r="L284" s="4"/>
      <c r="M284" s="225"/>
      <c r="N284" s="225"/>
      <c r="O284" s="225"/>
      <c r="P284" s="4"/>
      <c r="Q284" s="4"/>
      <c r="R284" s="4"/>
      <c r="S284" s="4"/>
      <c r="T284" s="4"/>
      <c r="U284" s="194"/>
      <c r="V284" s="4"/>
      <c r="W284" s="4"/>
      <c r="X284" s="4"/>
      <c r="Y284" s="4"/>
      <c r="Z284" s="4"/>
    </row>
    <row r="285" customFormat="false" ht="15.75" hidden="false" customHeight="true" outlineLevel="0" collapsed="false">
      <c r="A285" s="4"/>
      <c r="B285" s="4"/>
      <c r="C285" s="4"/>
      <c r="D285" s="4"/>
      <c r="E285" s="4"/>
      <c r="F285" s="4"/>
      <c r="G285" s="194"/>
      <c r="H285" s="225"/>
      <c r="I285" s="225"/>
      <c r="J285" s="4"/>
      <c r="K285" s="4"/>
      <c r="L285" s="4"/>
      <c r="M285" s="225"/>
      <c r="N285" s="225"/>
      <c r="O285" s="225"/>
      <c r="P285" s="4"/>
      <c r="Q285" s="4"/>
      <c r="R285" s="4"/>
      <c r="S285" s="4"/>
      <c r="T285" s="4"/>
      <c r="U285" s="194"/>
      <c r="V285" s="4"/>
      <c r="W285" s="4"/>
      <c r="X285" s="4"/>
      <c r="Y285" s="4"/>
      <c r="Z285" s="4"/>
    </row>
    <row r="286" customFormat="false" ht="15.75" hidden="false" customHeight="true" outlineLevel="0" collapsed="false">
      <c r="A286" s="4"/>
      <c r="B286" s="4"/>
      <c r="C286" s="4"/>
      <c r="D286" s="4"/>
      <c r="E286" s="4"/>
      <c r="F286" s="4"/>
      <c r="G286" s="194"/>
      <c r="H286" s="225"/>
      <c r="I286" s="225"/>
      <c r="J286" s="4"/>
      <c r="K286" s="4"/>
      <c r="L286" s="4"/>
      <c r="M286" s="225"/>
      <c r="N286" s="225"/>
      <c r="O286" s="225"/>
      <c r="P286" s="4"/>
      <c r="Q286" s="4"/>
      <c r="R286" s="4"/>
      <c r="S286" s="4"/>
      <c r="T286" s="4"/>
      <c r="U286" s="194"/>
      <c r="V286" s="4"/>
      <c r="W286" s="4"/>
      <c r="X286" s="4"/>
      <c r="Y286" s="4"/>
      <c r="Z286" s="4"/>
    </row>
    <row r="287" customFormat="false" ht="15.75" hidden="false" customHeight="true" outlineLevel="0" collapsed="false">
      <c r="A287" s="4"/>
      <c r="B287" s="4"/>
      <c r="C287" s="4"/>
      <c r="D287" s="4"/>
      <c r="E287" s="4"/>
      <c r="F287" s="4"/>
      <c r="G287" s="194"/>
      <c r="H287" s="225"/>
      <c r="I287" s="225"/>
      <c r="J287" s="4"/>
      <c r="K287" s="4"/>
      <c r="L287" s="4"/>
      <c r="M287" s="225"/>
      <c r="N287" s="225"/>
      <c r="O287" s="225"/>
      <c r="P287" s="4"/>
      <c r="Q287" s="4"/>
      <c r="R287" s="4"/>
      <c r="S287" s="4"/>
      <c r="T287" s="4"/>
      <c r="U287" s="194"/>
      <c r="V287" s="4"/>
      <c r="W287" s="4"/>
      <c r="X287" s="4"/>
      <c r="Y287" s="4"/>
      <c r="Z287" s="4"/>
    </row>
    <row r="288" customFormat="false" ht="15.75" hidden="false" customHeight="true" outlineLevel="0" collapsed="false">
      <c r="A288" s="4"/>
      <c r="B288" s="4"/>
      <c r="C288" s="4"/>
      <c r="D288" s="4"/>
      <c r="E288" s="4"/>
      <c r="F288" s="4"/>
      <c r="G288" s="194"/>
      <c r="H288" s="225"/>
      <c r="I288" s="225"/>
      <c r="J288" s="4"/>
      <c r="K288" s="4"/>
      <c r="L288" s="4"/>
      <c r="M288" s="225"/>
      <c r="N288" s="225"/>
      <c r="O288" s="225"/>
      <c r="P288" s="4"/>
      <c r="Q288" s="4"/>
      <c r="R288" s="4"/>
      <c r="S288" s="4"/>
      <c r="T288" s="4"/>
      <c r="U288" s="194"/>
      <c r="V288" s="4"/>
      <c r="W288" s="4"/>
      <c r="X288" s="4"/>
      <c r="Y288" s="4"/>
      <c r="Z288" s="4"/>
    </row>
    <row r="289" customFormat="false" ht="15.75" hidden="false" customHeight="true" outlineLevel="0" collapsed="false">
      <c r="A289" s="4"/>
      <c r="B289" s="4"/>
      <c r="C289" s="4"/>
      <c r="D289" s="4"/>
      <c r="E289" s="4"/>
      <c r="F289" s="4"/>
      <c r="G289" s="194"/>
      <c r="H289" s="225"/>
      <c r="I289" s="225"/>
      <c r="J289" s="4"/>
      <c r="K289" s="4"/>
      <c r="L289" s="4"/>
      <c r="M289" s="225"/>
      <c r="N289" s="225"/>
      <c r="O289" s="225"/>
      <c r="P289" s="4"/>
      <c r="Q289" s="4"/>
      <c r="R289" s="4"/>
      <c r="S289" s="4"/>
      <c r="T289" s="4"/>
      <c r="U289" s="194"/>
      <c r="V289" s="4"/>
      <c r="W289" s="4"/>
      <c r="X289" s="4"/>
      <c r="Y289" s="4"/>
      <c r="Z289" s="4"/>
    </row>
    <row r="290" customFormat="false" ht="15.75" hidden="false" customHeight="true" outlineLevel="0" collapsed="false">
      <c r="A290" s="4"/>
      <c r="B290" s="4"/>
      <c r="C290" s="4"/>
      <c r="D290" s="4"/>
      <c r="E290" s="4"/>
      <c r="F290" s="4"/>
      <c r="G290" s="194"/>
      <c r="H290" s="225"/>
      <c r="I290" s="225"/>
      <c r="J290" s="4"/>
      <c r="K290" s="4"/>
      <c r="L290" s="4"/>
      <c r="M290" s="225"/>
      <c r="N290" s="225"/>
      <c r="O290" s="225"/>
      <c r="P290" s="4"/>
      <c r="Q290" s="4"/>
      <c r="R290" s="4"/>
      <c r="S290" s="4"/>
      <c r="T290" s="4"/>
      <c r="U290" s="194"/>
      <c r="V290" s="4"/>
      <c r="W290" s="4"/>
      <c r="X290" s="4"/>
      <c r="Y290" s="4"/>
      <c r="Z290" s="4"/>
    </row>
    <row r="291" customFormat="false" ht="15.75" hidden="false" customHeight="true" outlineLevel="0" collapsed="false">
      <c r="A291" s="4"/>
      <c r="B291" s="4"/>
      <c r="C291" s="4"/>
      <c r="D291" s="4"/>
      <c r="E291" s="4"/>
      <c r="F291" s="4"/>
      <c r="G291" s="194"/>
      <c r="H291" s="225"/>
      <c r="I291" s="225"/>
      <c r="J291" s="4"/>
      <c r="K291" s="4"/>
      <c r="L291" s="4"/>
      <c r="M291" s="225"/>
      <c r="N291" s="225"/>
      <c r="O291" s="225"/>
      <c r="P291" s="4"/>
      <c r="Q291" s="4"/>
      <c r="R291" s="4"/>
      <c r="S291" s="4"/>
      <c r="T291" s="4"/>
      <c r="U291" s="194"/>
      <c r="V291" s="4"/>
      <c r="W291" s="4"/>
      <c r="X291" s="4"/>
      <c r="Y291" s="4"/>
      <c r="Z291" s="4"/>
    </row>
    <row r="292" customFormat="false" ht="15.75" hidden="false" customHeight="true" outlineLevel="0" collapsed="false">
      <c r="A292" s="4"/>
      <c r="B292" s="4"/>
      <c r="C292" s="4"/>
      <c r="D292" s="4"/>
      <c r="E292" s="4"/>
      <c r="F292" s="4"/>
      <c r="G292" s="194"/>
      <c r="H292" s="225"/>
      <c r="I292" s="225"/>
      <c r="J292" s="4"/>
      <c r="K292" s="4"/>
      <c r="L292" s="4"/>
      <c r="M292" s="225"/>
      <c r="N292" s="225"/>
      <c r="O292" s="225"/>
      <c r="P292" s="4"/>
      <c r="Q292" s="4"/>
      <c r="R292" s="4"/>
      <c r="S292" s="4"/>
      <c r="T292" s="4"/>
      <c r="U292" s="194"/>
      <c r="V292" s="4"/>
      <c r="W292" s="4"/>
      <c r="X292" s="4"/>
      <c r="Y292" s="4"/>
      <c r="Z292" s="4"/>
    </row>
    <row r="293" customFormat="false" ht="15.75" hidden="false" customHeight="true" outlineLevel="0" collapsed="false">
      <c r="A293" s="4"/>
      <c r="B293" s="4"/>
      <c r="C293" s="4"/>
      <c r="D293" s="4"/>
      <c r="E293" s="4"/>
      <c r="F293" s="4"/>
      <c r="G293" s="194"/>
      <c r="H293" s="225"/>
      <c r="I293" s="225"/>
      <c r="J293" s="4"/>
      <c r="K293" s="4"/>
      <c r="L293" s="4"/>
      <c r="M293" s="225"/>
      <c r="N293" s="225"/>
      <c r="O293" s="225"/>
      <c r="P293" s="4"/>
      <c r="Q293" s="4"/>
      <c r="R293" s="4"/>
      <c r="S293" s="4"/>
      <c r="T293" s="4"/>
      <c r="U293" s="194"/>
      <c r="V293" s="4"/>
      <c r="W293" s="4"/>
      <c r="X293" s="4"/>
      <c r="Y293" s="4"/>
      <c r="Z293" s="4"/>
    </row>
    <row r="294" customFormat="false" ht="15.75" hidden="false" customHeight="true" outlineLevel="0" collapsed="false">
      <c r="A294" s="4"/>
      <c r="B294" s="4"/>
      <c r="C294" s="4"/>
      <c r="D294" s="4"/>
      <c r="E294" s="4"/>
      <c r="F294" s="4"/>
      <c r="G294" s="194"/>
      <c r="H294" s="225"/>
      <c r="I294" s="225"/>
      <c r="J294" s="4"/>
      <c r="K294" s="4"/>
      <c r="L294" s="4"/>
      <c r="M294" s="225"/>
      <c r="N294" s="225"/>
      <c r="O294" s="225"/>
      <c r="P294" s="4"/>
      <c r="Q294" s="4"/>
      <c r="R294" s="4"/>
      <c r="S294" s="4"/>
      <c r="T294" s="4"/>
      <c r="U294" s="194"/>
      <c r="V294" s="4"/>
      <c r="W294" s="4"/>
      <c r="X294" s="4"/>
      <c r="Y294" s="4"/>
      <c r="Z294" s="4"/>
    </row>
    <row r="295" customFormat="false" ht="15.75" hidden="false" customHeight="true" outlineLevel="0" collapsed="false">
      <c r="A295" s="4"/>
      <c r="B295" s="4"/>
      <c r="C295" s="4"/>
      <c r="D295" s="4"/>
      <c r="E295" s="4"/>
      <c r="F295" s="4"/>
      <c r="G295" s="194"/>
      <c r="H295" s="225"/>
      <c r="I295" s="225"/>
      <c r="J295" s="4"/>
      <c r="K295" s="4"/>
      <c r="L295" s="4"/>
      <c r="M295" s="225"/>
      <c r="N295" s="225"/>
      <c r="O295" s="225"/>
      <c r="P295" s="4"/>
      <c r="Q295" s="4"/>
      <c r="R295" s="4"/>
      <c r="S295" s="4"/>
      <c r="T295" s="4"/>
      <c r="U295" s="194"/>
      <c r="V295" s="4"/>
      <c r="W295" s="4"/>
      <c r="X295" s="4"/>
      <c r="Y295" s="4"/>
      <c r="Z295" s="4"/>
    </row>
    <row r="296" customFormat="false" ht="15.75" hidden="false" customHeight="true" outlineLevel="0" collapsed="false">
      <c r="A296" s="4"/>
      <c r="B296" s="4"/>
      <c r="C296" s="4"/>
      <c r="D296" s="4"/>
      <c r="E296" s="4"/>
      <c r="F296" s="4"/>
      <c r="G296" s="194"/>
      <c r="H296" s="225"/>
      <c r="I296" s="225"/>
      <c r="J296" s="4"/>
      <c r="K296" s="4"/>
      <c r="L296" s="4"/>
      <c r="M296" s="225"/>
      <c r="N296" s="225"/>
      <c r="O296" s="225"/>
      <c r="P296" s="4"/>
      <c r="Q296" s="4"/>
      <c r="R296" s="4"/>
      <c r="S296" s="4"/>
      <c r="T296" s="4"/>
      <c r="U296" s="194"/>
      <c r="V296" s="4"/>
      <c r="W296" s="4"/>
      <c r="X296" s="4"/>
      <c r="Y296" s="4"/>
      <c r="Z296" s="4"/>
    </row>
    <row r="297" customFormat="false" ht="15.75" hidden="false" customHeight="true" outlineLevel="0" collapsed="false">
      <c r="A297" s="4"/>
      <c r="B297" s="4"/>
      <c r="C297" s="4"/>
      <c r="D297" s="4"/>
      <c r="E297" s="4"/>
      <c r="F297" s="4"/>
      <c r="G297" s="194"/>
      <c r="H297" s="225"/>
      <c r="I297" s="225"/>
      <c r="J297" s="4"/>
      <c r="K297" s="4"/>
      <c r="L297" s="4"/>
      <c r="M297" s="225"/>
      <c r="N297" s="225"/>
      <c r="O297" s="225"/>
      <c r="P297" s="4"/>
      <c r="Q297" s="4"/>
      <c r="R297" s="4"/>
      <c r="S297" s="4"/>
      <c r="T297" s="4"/>
      <c r="U297" s="194"/>
      <c r="V297" s="4"/>
      <c r="W297" s="4"/>
      <c r="X297" s="4"/>
      <c r="Y297" s="4"/>
      <c r="Z297" s="4"/>
    </row>
    <row r="298" customFormat="false" ht="15.75" hidden="false" customHeight="true" outlineLevel="0" collapsed="false">
      <c r="A298" s="4"/>
      <c r="B298" s="4"/>
      <c r="C298" s="4"/>
      <c r="D298" s="4"/>
      <c r="E298" s="4"/>
      <c r="F298" s="4"/>
      <c r="G298" s="194"/>
      <c r="H298" s="225"/>
      <c r="I298" s="225"/>
      <c r="J298" s="4"/>
      <c r="K298" s="4"/>
      <c r="L298" s="4"/>
      <c r="M298" s="225"/>
      <c r="N298" s="225"/>
      <c r="O298" s="225"/>
      <c r="P298" s="4"/>
      <c r="Q298" s="4"/>
      <c r="R298" s="4"/>
      <c r="S298" s="4"/>
      <c r="T298" s="4"/>
      <c r="U298" s="194"/>
      <c r="V298" s="4"/>
      <c r="W298" s="4"/>
      <c r="X298" s="4"/>
      <c r="Y298" s="4"/>
      <c r="Z298" s="4"/>
    </row>
    <row r="299" customFormat="false" ht="15.75" hidden="false" customHeight="true" outlineLevel="0" collapsed="false">
      <c r="A299" s="4"/>
      <c r="B299" s="4"/>
      <c r="C299" s="4"/>
      <c r="D299" s="4"/>
      <c r="E299" s="4"/>
      <c r="F299" s="4"/>
      <c r="G299" s="194"/>
      <c r="H299" s="225"/>
      <c r="I299" s="225"/>
      <c r="J299" s="4"/>
      <c r="K299" s="4"/>
      <c r="L299" s="4"/>
      <c r="M299" s="225"/>
      <c r="N299" s="225"/>
      <c r="O299" s="225"/>
      <c r="P299" s="4"/>
      <c r="Q299" s="4"/>
      <c r="R299" s="4"/>
      <c r="S299" s="4"/>
      <c r="T299" s="4"/>
      <c r="U299" s="194"/>
      <c r="V299" s="4"/>
      <c r="W299" s="4"/>
      <c r="X299" s="4"/>
      <c r="Y299" s="4"/>
      <c r="Z299" s="4"/>
    </row>
    <row r="300" customFormat="false" ht="15.75" hidden="false" customHeight="true" outlineLevel="0" collapsed="false">
      <c r="A300" s="4"/>
      <c r="B300" s="4"/>
      <c r="C300" s="4"/>
      <c r="D300" s="4"/>
      <c r="E300" s="4"/>
      <c r="F300" s="4"/>
      <c r="G300" s="194"/>
      <c r="H300" s="225"/>
      <c r="I300" s="225"/>
      <c r="J300" s="4"/>
      <c r="K300" s="4"/>
      <c r="L300" s="4"/>
      <c r="M300" s="225"/>
      <c r="N300" s="225"/>
      <c r="O300" s="225"/>
      <c r="P300" s="4"/>
      <c r="Q300" s="4"/>
      <c r="R300" s="4"/>
      <c r="S300" s="4"/>
      <c r="T300" s="4"/>
      <c r="U300" s="194"/>
      <c r="V300" s="4"/>
      <c r="W300" s="4"/>
      <c r="X300" s="4"/>
      <c r="Y300" s="4"/>
      <c r="Z300" s="4"/>
    </row>
    <row r="301" customFormat="false" ht="15.75" hidden="false" customHeight="true" outlineLevel="0" collapsed="false">
      <c r="A301" s="4"/>
      <c r="B301" s="4"/>
      <c r="C301" s="4"/>
      <c r="D301" s="4"/>
      <c r="E301" s="4"/>
      <c r="F301" s="4"/>
      <c r="G301" s="194"/>
      <c r="H301" s="225"/>
      <c r="I301" s="225"/>
      <c r="J301" s="4"/>
      <c r="K301" s="4"/>
      <c r="L301" s="4"/>
      <c r="M301" s="225"/>
      <c r="N301" s="225"/>
      <c r="O301" s="225"/>
      <c r="P301" s="4"/>
      <c r="Q301" s="4"/>
      <c r="R301" s="4"/>
      <c r="S301" s="4"/>
      <c r="T301" s="4"/>
      <c r="U301" s="194"/>
      <c r="V301" s="4"/>
      <c r="W301" s="4"/>
      <c r="X301" s="4"/>
      <c r="Y301" s="4"/>
      <c r="Z301" s="4"/>
    </row>
    <row r="302" customFormat="false" ht="15.75" hidden="false" customHeight="true" outlineLevel="0" collapsed="false">
      <c r="A302" s="4"/>
      <c r="B302" s="4"/>
      <c r="C302" s="4"/>
      <c r="D302" s="4"/>
      <c r="E302" s="4"/>
      <c r="F302" s="4"/>
      <c r="G302" s="194"/>
      <c r="H302" s="225"/>
      <c r="I302" s="225"/>
      <c r="J302" s="4"/>
      <c r="K302" s="4"/>
      <c r="L302" s="4"/>
      <c r="M302" s="225"/>
      <c r="N302" s="225"/>
      <c r="O302" s="225"/>
      <c r="P302" s="4"/>
      <c r="Q302" s="4"/>
      <c r="R302" s="4"/>
      <c r="S302" s="4"/>
      <c r="T302" s="4"/>
      <c r="U302" s="194"/>
      <c r="V302" s="4"/>
      <c r="W302" s="4"/>
      <c r="X302" s="4"/>
      <c r="Y302" s="4"/>
      <c r="Z302" s="4"/>
    </row>
    <row r="303" customFormat="false" ht="15.75" hidden="false" customHeight="true" outlineLevel="0" collapsed="false">
      <c r="A303" s="4"/>
      <c r="B303" s="4"/>
      <c r="C303" s="4"/>
      <c r="D303" s="4"/>
      <c r="E303" s="4"/>
      <c r="F303" s="4"/>
      <c r="G303" s="194"/>
      <c r="H303" s="225"/>
      <c r="I303" s="225"/>
      <c r="J303" s="4"/>
      <c r="K303" s="4"/>
      <c r="L303" s="4"/>
      <c r="M303" s="225"/>
      <c r="N303" s="225"/>
      <c r="O303" s="225"/>
      <c r="P303" s="4"/>
      <c r="Q303" s="4"/>
      <c r="R303" s="4"/>
      <c r="S303" s="4"/>
      <c r="T303" s="4"/>
      <c r="U303" s="194"/>
      <c r="V303" s="4"/>
      <c r="W303" s="4"/>
      <c r="X303" s="4"/>
      <c r="Y303" s="4"/>
      <c r="Z303" s="4"/>
    </row>
    <row r="304" customFormat="false" ht="15.75" hidden="false" customHeight="true" outlineLevel="0" collapsed="false">
      <c r="A304" s="4"/>
      <c r="B304" s="4"/>
      <c r="C304" s="4"/>
      <c r="D304" s="4"/>
      <c r="E304" s="4"/>
      <c r="F304" s="4"/>
      <c r="G304" s="194"/>
      <c r="H304" s="225"/>
      <c r="I304" s="225"/>
      <c r="J304" s="4"/>
      <c r="K304" s="4"/>
      <c r="L304" s="4"/>
      <c r="M304" s="225"/>
      <c r="N304" s="225"/>
      <c r="O304" s="225"/>
      <c r="P304" s="4"/>
      <c r="Q304" s="4"/>
      <c r="R304" s="4"/>
      <c r="S304" s="4"/>
      <c r="T304" s="4"/>
      <c r="U304" s="194"/>
      <c r="V304" s="4"/>
      <c r="W304" s="4"/>
      <c r="X304" s="4"/>
      <c r="Y304" s="4"/>
      <c r="Z304" s="4"/>
    </row>
    <row r="305" customFormat="false" ht="15.75" hidden="false" customHeight="true" outlineLevel="0" collapsed="false">
      <c r="A305" s="4"/>
      <c r="B305" s="4"/>
      <c r="C305" s="4"/>
      <c r="D305" s="4"/>
      <c r="E305" s="4"/>
      <c r="F305" s="4"/>
      <c r="G305" s="194"/>
      <c r="H305" s="225"/>
      <c r="I305" s="225"/>
      <c r="J305" s="4"/>
      <c r="K305" s="4"/>
      <c r="L305" s="4"/>
      <c r="M305" s="225"/>
      <c r="N305" s="225"/>
      <c r="O305" s="225"/>
      <c r="P305" s="4"/>
      <c r="Q305" s="4"/>
      <c r="R305" s="4"/>
      <c r="S305" s="4"/>
      <c r="T305" s="4"/>
      <c r="U305" s="194"/>
      <c r="V305" s="4"/>
      <c r="W305" s="4"/>
      <c r="X305" s="4"/>
      <c r="Y305" s="4"/>
      <c r="Z305" s="4"/>
    </row>
    <row r="306" customFormat="false" ht="15.75" hidden="false" customHeight="true" outlineLevel="0" collapsed="false">
      <c r="A306" s="4"/>
      <c r="B306" s="4"/>
      <c r="C306" s="4"/>
      <c r="D306" s="4"/>
      <c r="E306" s="4"/>
      <c r="F306" s="4"/>
      <c r="G306" s="194"/>
      <c r="H306" s="225"/>
      <c r="I306" s="225"/>
      <c r="J306" s="4"/>
      <c r="K306" s="4"/>
      <c r="L306" s="4"/>
      <c r="M306" s="225"/>
      <c r="N306" s="225"/>
      <c r="O306" s="225"/>
      <c r="P306" s="4"/>
      <c r="Q306" s="4"/>
      <c r="R306" s="4"/>
      <c r="S306" s="4"/>
      <c r="T306" s="4"/>
      <c r="U306" s="194"/>
      <c r="V306" s="4"/>
      <c r="W306" s="4"/>
      <c r="X306" s="4"/>
      <c r="Y306" s="4"/>
      <c r="Z306" s="4"/>
    </row>
    <row r="307" customFormat="false" ht="15.75" hidden="false" customHeight="true" outlineLevel="0" collapsed="false">
      <c r="A307" s="4"/>
      <c r="B307" s="4"/>
      <c r="C307" s="4"/>
      <c r="D307" s="4"/>
      <c r="E307" s="4"/>
      <c r="F307" s="4"/>
      <c r="G307" s="194"/>
      <c r="H307" s="225"/>
      <c r="I307" s="225"/>
      <c r="J307" s="4"/>
      <c r="K307" s="4"/>
      <c r="L307" s="4"/>
      <c r="M307" s="225"/>
      <c r="N307" s="225"/>
      <c r="O307" s="225"/>
      <c r="P307" s="4"/>
      <c r="Q307" s="4"/>
      <c r="R307" s="4"/>
      <c r="S307" s="4"/>
      <c r="T307" s="4"/>
      <c r="U307" s="194"/>
      <c r="V307" s="4"/>
      <c r="W307" s="4"/>
      <c r="X307" s="4"/>
      <c r="Y307" s="4"/>
      <c r="Z307" s="4"/>
    </row>
    <row r="308" customFormat="false" ht="15.75" hidden="false" customHeight="true" outlineLevel="0" collapsed="false">
      <c r="A308" s="4"/>
      <c r="B308" s="4"/>
      <c r="C308" s="4"/>
      <c r="D308" s="4"/>
      <c r="E308" s="4"/>
      <c r="F308" s="4"/>
      <c r="G308" s="194"/>
      <c r="H308" s="225"/>
      <c r="I308" s="225"/>
      <c r="J308" s="4"/>
      <c r="K308" s="4"/>
      <c r="L308" s="4"/>
      <c r="M308" s="225"/>
      <c r="N308" s="225"/>
      <c r="O308" s="225"/>
      <c r="P308" s="4"/>
      <c r="Q308" s="4"/>
      <c r="R308" s="4"/>
      <c r="S308" s="4"/>
      <c r="T308" s="4"/>
      <c r="U308" s="194"/>
      <c r="V308" s="4"/>
      <c r="W308" s="4"/>
      <c r="X308" s="4"/>
      <c r="Y308" s="4"/>
      <c r="Z308" s="4"/>
    </row>
    <row r="309" customFormat="false" ht="15.75" hidden="false" customHeight="true" outlineLevel="0" collapsed="false">
      <c r="A309" s="4"/>
      <c r="B309" s="4"/>
      <c r="C309" s="4"/>
      <c r="D309" s="4"/>
      <c r="E309" s="4"/>
      <c r="F309" s="4"/>
      <c r="G309" s="194"/>
      <c r="H309" s="225"/>
      <c r="I309" s="225"/>
      <c r="J309" s="4"/>
      <c r="K309" s="4"/>
      <c r="L309" s="4"/>
      <c r="M309" s="225"/>
      <c r="N309" s="225"/>
      <c r="O309" s="225"/>
      <c r="P309" s="4"/>
      <c r="Q309" s="4"/>
      <c r="R309" s="4"/>
      <c r="S309" s="4"/>
      <c r="T309" s="4"/>
      <c r="U309" s="194"/>
      <c r="V309" s="4"/>
      <c r="W309" s="4"/>
      <c r="X309" s="4"/>
      <c r="Y309" s="4"/>
      <c r="Z309" s="4"/>
    </row>
    <row r="310" customFormat="false" ht="15.75" hidden="false" customHeight="true" outlineLevel="0" collapsed="false">
      <c r="A310" s="4"/>
      <c r="B310" s="4"/>
      <c r="C310" s="4"/>
      <c r="D310" s="4"/>
      <c r="E310" s="4"/>
      <c r="F310" s="4"/>
      <c r="G310" s="194"/>
      <c r="H310" s="225"/>
      <c r="I310" s="225"/>
      <c r="J310" s="4"/>
      <c r="K310" s="4"/>
      <c r="L310" s="4"/>
      <c r="M310" s="225"/>
      <c r="N310" s="225"/>
      <c r="O310" s="225"/>
      <c r="P310" s="4"/>
      <c r="Q310" s="4"/>
      <c r="R310" s="4"/>
      <c r="S310" s="4"/>
      <c r="T310" s="4"/>
      <c r="U310" s="194"/>
      <c r="V310" s="4"/>
      <c r="W310" s="4"/>
      <c r="X310" s="4"/>
      <c r="Y310" s="4"/>
      <c r="Z310" s="4"/>
    </row>
    <row r="311" customFormat="false" ht="15.75" hidden="false" customHeight="true" outlineLevel="0" collapsed="false">
      <c r="A311" s="4"/>
      <c r="B311" s="4"/>
      <c r="C311" s="4"/>
      <c r="D311" s="4"/>
      <c r="E311" s="4"/>
      <c r="F311" s="4"/>
      <c r="G311" s="194"/>
      <c r="H311" s="225"/>
      <c r="I311" s="225"/>
      <c r="J311" s="4"/>
      <c r="K311" s="4"/>
      <c r="L311" s="4"/>
      <c r="M311" s="225"/>
      <c r="N311" s="225"/>
      <c r="O311" s="225"/>
      <c r="P311" s="4"/>
      <c r="Q311" s="4"/>
      <c r="R311" s="4"/>
      <c r="S311" s="4"/>
      <c r="T311" s="4"/>
      <c r="U311" s="194"/>
      <c r="V311" s="4"/>
      <c r="W311" s="4"/>
      <c r="X311" s="4"/>
      <c r="Y311" s="4"/>
      <c r="Z311" s="4"/>
    </row>
    <row r="312" customFormat="false" ht="15.75" hidden="false" customHeight="true" outlineLevel="0" collapsed="false">
      <c r="A312" s="4"/>
      <c r="B312" s="4"/>
      <c r="C312" s="4"/>
      <c r="D312" s="4"/>
      <c r="E312" s="4"/>
      <c r="F312" s="4"/>
      <c r="G312" s="194"/>
      <c r="H312" s="225"/>
      <c r="I312" s="225"/>
      <c r="J312" s="4"/>
      <c r="K312" s="4"/>
      <c r="L312" s="4"/>
      <c r="M312" s="225"/>
      <c r="N312" s="225"/>
      <c r="O312" s="225"/>
      <c r="P312" s="4"/>
      <c r="Q312" s="4"/>
      <c r="R312" s="4"/>
      <c r="S312" s="4"/>
      <c r="T312" s="4"/>
      <c r="U312" s="194"/>
      <c r="V312" s="4"/>
      <c r="W312" s="4"/>
      <c r="X312" s="4"/>
      <c r="Y312" s="4"/>
      <c r="Z312" s="4"/>
    </row>
    <row r="313" customFormat="false" ht="15.75" hidden="false" customHeight="true" outlineLevel="0" collapsed="false">
      <c r="A313" s="4"/>
      <c r="B313" s="4"/>
      <c r="C313" s="4"/>
      <c r="D313" s="4"/>
      <c r="E313" s="4"/>
      <c r="F313" s="4"/>
      <c r="G313" s="194"/>
      <c r="H313" s="225"/>
      <c r="I313" s="225"/>
      <c r="J313" s="4"/>
      <c r="K313" s="4"/>
      <c r="L313" s="4"/>
      <c r="M313" s="225"/>
      <c r="N313" s="225"/>
      <c r="O313" s="225"/>
      <c r="P313" s="4"/>
      <c r="Q313" s="4"/>
      <c r="R313" s="4"/>
      <c r="S313" s="4"/>
      <c r="T313" s="4"/>
      <c r="U313" s="194"/>
      <c r="V313" s="4"/>
      <c r="W313" s="4"/>
      <c r="X313" s="4"/>
      <c r="Y313" s="4"/>
      <c r="Z313" s="4"/>
    </row>
    <row r="314" customFormat="false" ht="15.75" hidden="false" customHeight="true" outlineLevel="0" collapsed="false">
      <c r="A314" s="4"/>
      <c r="B314" s="4"/>
      <c r="C314" s="4"/>
      <c r="D314" s="4"/>
      <c r="E314" s="4"/>
      <c r="F314" s="4"/>
      <c r="G314" s="194"/>
      <c r="H314" s="225"/>
      <c r="I314" s="225"/>
      <c r="J314" s="4"/>
      <c r="K314" s="4"/>
      <c r="L314" s="4"/>
      <c r="M314" s="225"/>
      <c r="N314" s="225"/>
      <c r="O314" s="225"/>
      <c r="P314" s="4"/>
      <c r="Q314" s="4"/>
      <c r="R314" s="4"/>
      <c r="S314" s="4"/>
      <c r="T314" s="4"/>
      <c r="U314" s="194"/>
      <c r="V314" s="4"/>
      <c r="W314" s="4"/>
      <c r="X314" s="4"/>
      <c r="Y314" s="4"/>
      <c r="Z314" s="4"/>
    </row>
    <row r="315" customFormat="false" ht="15.75" hidden="false" customHeight="true" outlineLevel="0" collapsed="false">
      <c r="A315" s="4"/>
      <c r="B315" s="4"/>
      <c r="C315" s="4"/>
      <c r="D315" s="4"/>
      <c r="E315" s="4"/>
      <c r="F315" s="4"/>
      <c r="G315" s="194"/>
      <c r="H315" s="225"/>
      <c r="I315" s="225"/>
      <c r="J315" s="4"/>
      <c r="K315" s="4"/>
      <c r="L315" s="4"/>
      <c r="M315" s="225"/>
      <c r="N315" s="225"/>
      <c r="O315" s="225"/>
      <c r="P315" s="4"/>
      <c r="Q315" s="4"/>
      <c r="R315" s="4"/>
      <c r="S315" s="4"/>
      <c r="T315" s="4"/>
      <c r="U315" s="194"/>
      <c r="V315" s="4"/>
      <c r="W315" s="4"/>
      <c r="X315" s="4"/>
      <c r="Y315" s="4"/>
      <c r="Z315" s="4"/>
    </row>
    <row r="316" customFormat="false" ht="15.75" hidden="false" customHeight="true" outlineLevel="0" collapsed="false">
      <c r="A316" s="4"/>
      <c r="B316" s="4"/>
      <c r="C316" s="4"/>
      <c r="D316" s="4"/>
      <c r="E316" s="4"/>
      <c r="F316" s="4"/>
      <c r="G316" s="194"/>
      <c r="H316" s="225"/>
      <c r="I316" s="225"/>
      <c r="J316" s="4"/>
      <c r="K316" s="4"/>
      <c r="L316" s="4"/>
      <c r="M316" s="225"/>
      <c r="N316" s="225"/>
      <c r="O316" s="225"/>
      <c r="P316" s="4"/>
      <c r="Q316" s="4"/>
      <c r="R316" s="4"/>
      <c r="S316" s="4"/>
      <c r="T316" s="4"/>
      <c r="U316" s="194"/>
      <c r="V316" s="4"/>
      <c r="W316" s="4"/>
      <c r="X316" s="4"/>
      <c r="Y316" s="4"/>
      <c r="Z316" s="4"/>
    </row>
    <row r="317" customFormat="false" ht="15.75" hidden="false" customHeight="true" outlineLevel="0" collapsed="false">
      <c r="A317" s="4"/>
      <c r="B317" s="4"/>
      <c r="C317" s="4"/>
      <c r="D317" s="4"/>
      <c r="E317" s="4"/>
      <c r="F317" s="4"/>
      <c r="G317" s="194"/>
      <c r="H317" s="225"/>
      <c r="I317" s="225"/>
      <c r="J317" s="4"/>
      <c r="K317" s="4"/>
      <c r="L317" s="4"/>
      <c r="M317" s="225"/>
      <c r="N317" s="225"/>
      <c r="O317" s="225"/>
      <c r="P317" s="4"/>
      <c r="Q317" s="4"/>
      <c r="R317" s="4"/>
      <c r="S317" s="4"/>
      <c r="T317" s="4"/>
      <c r="U317" s="194"/>
      <c r="V317" s="4"/>
      <c r="W317" s="4"/>
      <c r="X317" s="4"/>
      <c r="Y317" s="4"/>
      <c r="Z317" s="4"/>
    </row>
    <row r="318" customFormat="false" ht="15.75" hidden="false" customHeight="true" outlineLevel="0" collapsed="false">
      <c r="A318" s="4"/>
      <c r="B318" s="4"/>
      <c r="C318" s="4"/>
      <c r="D318" s="4"/>
      <c r="E318" s="4"/>
      <c r="F318" s="4"/>
      <c r="G318" s="194"/>
      <c r="H318" s="225"/>
      <c r="I318" s="225"/>
      <c r="J318" s="4"/>
      <c r="K318" s="4"/>
      <c r="L318" s="4"/>
      <c r="M318" s="225"/>
      <c r="N318" s="225"/>
      <c r="O318" s="225"/>
      <c r="P318" s="4"/>
      <c r="Q318" s="4"/>
      <c r="R318" s="4"/>
      <c r="S318" s="4"/>
      <c r="T318" s="4"/>
      <c r="U318" s="194"/>
      <c r="V318" s="4"/>
      <c r="W318" s="4"/>
      <c r="X318" s="4"/>
      <c r="Y318" s="4"/>
      <c r="Z318" s="4"/>
    </row>
    <row r="319" customFormat="false" ht="15.75" hidden="false" customHeight="true" outlineLevel="0" collapsed="false">
      <c r="A319" s="4"/>
      <c r="B319" s="4"/>
      <c r="C319" s="4"/>
      <c r="D319" s="4"/>
      <c r="E319" s="4"/>
      <c r="F319" s="4"/>
      <c r="G319" s="194"/>
      <c r="H319" s="225"/>
      <c r="I319" s="225"/>
      <c r="J319" s="4"/>
      <c r="K319" s="4"/>
      <c r="L319" s="4"/>
      <c r="M319" s="225"/>
      <c r="N319" s="225"/>
      <c r="O319" s="225"/>
      <c r="P319" s="4"/>
      <c r="Q319" s="4"/>
      <c r="R319" s="4"/>
      <c r="S319" s="4"/>
      <c r="T319" s="4"/>
      <c r="U319" s="194"/>
      <c r="V319" s="4"/>
      <c r="W319" s="4"/>
      <c r="X319" s="4"/>
      <c r="Y319" s="4"/>
      <c r="Z319" s="4"/>
    </row>
    <row r="320" customFormat="false" ht="15.75" hidden="false" customHeight="true" outlineLevel="0" collapsed="false">
      <c r="A320" s="4"/>
      <c r="B320" s="4"/>
      <c r="C320" s="4"/>
      <c r="D320" s="4"/>
      <c r="E320" s="4"/>
      <c r="F320" s="4"/>
      <c r="G320" s="194"/>
      <c r="H320" s="225"/>
      <c r="I320" s="225"/>
      <c r="J320" s="4"/>
      <c r="K320" s="4"/>
      <c r="L320" s="4"/>
      <c r="M320" s="225"/>
      <c r="N320" s="225"/>
      <c r="O320" s="225"/>
      <c r="P320" s="4"/>
      <c r="Q320" s="4"/>
      <c r="R320" s="4"/>
      <c r="S320" s="4"/>
      <c r="T320" s="4"/>
      <c r="U320" s="194"/>
      <c r="V320" s="4"/>
      <c r="W320" s="4"/>
      <c r="X320" s="4"/>
      <c r="Y320" s="4"/>
      <c r="Z320" s="4"/>
    </row>
    <row r="321" customFormat="false" ht="15.75" hidden="false" customHeight="true" outlineLevel="0" collapsed="false">
      <c r="A321" s="4"/>
      <c r="B321" s="4"/>
      <c r="C321" s="4"/>
      <c r="D321" s="4"/>
      <c r="E321" s="4"/>
      <c r="F321" s="4"/>
      <c r="G321" s="194"/>
      <c r="H321" s="225"/>
      <c r="I321" s="225"/>
      <c r="J321" s="4"/>
      <c r="K321" s="4"/>
      <c r="L321" s="4"/>
      <c r="M321" s="225"/>
      <c r="N321" s="225"/>
      <c r="O321" s="225"/>
      <c r="P321" s="4"/>
      <c r="Q321" s="4"/>
      <c r="R321" s="4"/>
      <c r="S321" s="4"/>
      <c r="T321" s="4"/>
      <c r="U321" s="194"/>
      <c r="V321" s="4"/>
      <c r="W321" s="4"/>
      <c r="X321" s="4"/>
      <c r="Y321" s="4"/>
      <c r="Z321" s="4"/>
    </row>
    <row r="322" customFormat="false" ht="15.75" hidden="false" customHeight="true" outlineLevel="0" collapsed="false">
      <c r="A322" s="4"/>
      <c r="B322" s="4"/>
      <c r="C322" s="4"/>
      <c r="D322" s="4"/>
      <c r="E322" s="4"/>
      <c r="F322" s="4"/>
      <c r="G322" s="194"/>
      <c r="H322" s="225"/>
      <c r="I322" s="225"/>
      <c r="J322" s="4"/>
      <c r="K322" s="4"/>
      <c r="L322" s="4"/>
      <c r="M322" s="225"/>
      <c r="N322" s="225"/>
      <c r="O322" s="225"/>
      <c r="P322" s="4"/>
      <c r="Q322" s="4"/>
      <c r="R322" s="4"/>
      <c r="S322" s="4"/>
      <c r="T322" s="4"/>
      <c r="U322" s="194"/>
      <c r="V322" s="4"/>
      <c r="W322" s="4"/>
      <c r="X322" s="4"/>
      <c r="Y322" s="4"/>
      <c r="Z322" s="4"/>
    </row>
    <row r="323" customFormat="false" ht="15.75" hidden="false" customHeight="true" outlineLevel="0" collapsed="false">
      <c r="A323" s="4"/>
      <c r="B323" s="4"/>
      <c r="C323" s="4"/>
      <c r="D323" s="4"/>
      <c r="E323" s="4"/>
      <c r="F323" s="4"/>
      <c r="G323" s="194"/>
      <c r="H323" s="225"/>
      <c r="I323" s="225"/>
      <c r="J323" s="4"/>
      <c r="K323" s="4"/>
      <c r="L323" s="4"/>
      <c r="M323" s="225"/>
      <c r="N323" s="225"/>
      <c r="O323" s="225"/>
      <c r="P323" s="4"/>
      <c r="Q323" s="4"/>
      <c r="R323" s="4"/>
      <c r="S323" s="4"/>
      <c r="T323" s="4"/>
      <c r="U323" s="194"/>
      <c r="V323" s="4"/>
      <c r="W323" s="4"/>
      <c r="X323" s="4"/>
      <c r="Y323" s="4"/>
      <c r="Z323" s="4"/>
    </row>
    <row r="324" customFormat="false" ht="15.75" hidden="false" customHeight="true" outlineLevel="0" collapsed="false">
      <c r="A324" s="4"/>
      <c r="B324" s="4"/>
      <c r="C324" s="4"/>
      <c r="D324" s="4"/>
      <c r="E324" s="4"/>
      <c r="F324" s="4"/>
      <c r="G324" s="194"/>
      <c r="H324" s="225"/>
      <c r="I324" s="225"/>
      <c r="J324" s="4"/>
      <c r="K324" s="4"/>
      <c r="L324" s="4"/>
      <c r="M324" s="225"/>
      <c r="N324" s="225"/>
      <c r="O324" s="225"/>
      <c r="P324" s="4"/>
      <c r="Q324" s="4"/>
      <c r="R324" s="4"/>
      <c r="S324" s="4"/>
      <c r="T324" s="4"/>
      <c r="U324" s="194"/>
      <c r="V324" s="4"/>
      <c r="W324" s="4"/>
      <c r="X324" s="4"/>
      <c r="Y324" s="4"/>
      <c r="Z324" s="4"/>
    </row>
    <row r="325" customFormat="false" ht="15.75" hidden="false" customHeight="true" outlineLevel="0" collapsed="false">
      <c r="A325" s="4"/>
      <c r="B325" s="4"/>
      <c r="C325" s="4"/>
      <c r="D325" s="4"/>
      <c r="E325" s="4"/>
      <c r="F325" s="4"/>
      <c r="G325" s="194"/>
      <c r="H325" s="225"/>
      <c r="I325" s="225"/>
      <c r="J325" s="4"/>
      <c r="K325" s="4"/>
      <c r="L325" s="4"/>
      <c r="M325" s="225"/>
      <c r="N325" s="225"/>
      <c r="O325" s="225"/>
      <c r="P325" s="4"/>
      <c r="Q325" s="4"/>
      <c r="R325" s="4"/>
      <c r="S325" s="4"/>
      <c r="T325" s="4"/>
      <c r="U325" s="194"/>
      <c r="V325" s="4"/>
      <c r="W325" s="4"/>
      <c r="X325" s="4"/>
      <c r="Y325" s="4"/>
      <c r="Z325" s="4"/>
    </row>
    <row r="326" customFormat="false" ht="15.75" hidden="false" customHeight="true" outlineLevel="0" collapsed="false">
      <c r="A326" s="4"/>
      <c r="B326" s="4"/>
      <c r="C326" s="4"/>
      <c r="D326" s="4"/>
      <c r="E326" s="4"/>
      <c r="F326" s="4"/>
      <c r="G326" s="194"/>
      <c r="H326" s="225"/>
      <c r="I326" s="225"/>
      <c r="J326" s="4"/>
      <c r="K326" s="4"/>
      <c r="L326" s="4"/>
      <c r="M326" s="225"/>
      <c r="N326" s="225"/>
      <c r="O326" s="225"/>
      <c r="P326" s="4"/>
      <c r="Q326" s="4"/>
      <c r="R326" s="4"/>
      <c r="S326" s="4"/>
      <c r="T326" s="4"/>
      <c r="U326" s="194"/>
      <c r="V326" s="4"/>
      <c r="W326" s="4"/>
      <c r="X326" s="4"/>
      <c r="Y326" s="4"/>
      <c r="Z326" s="4"/>
    </row>
    <row r="327" customFormat="false" ht="15.75" hidden="false" customHeight="true" outlineLevel="0" collapsed="false">
      <c r="A327" s="4"/>
      <c r="B327" s="4"/>
      <c r="C327" s="4"/>
      <c r="D327" s="4"/>
      <c r="E327" s="4"/>
      <c r="F327" s="4"/>
      <c r="G327" s="194"/>
      <c r="H327" s="225"/>
      <c r="I327" s="225"/>
      <c r="J327" s="4"/>
      <c r="K327" s="4"/>
      <c r="L327" s="4"/>
      <c r="M327" s="225"/>
      <c r="N327" s="225"/>
      <c r="O327" s="225"/>
      <c r="P327" s="4"/>
      <c r="Q327" s="4"/>
      <c r="R327" s="4"/>
      <c r="S327" s="4"/>
      <c r="T327" s="4"/>
      <c r="U327" s="194"/>
      <c r="V327" s="4"/>
      <c r="W327" s="4"/>
      <c r="X327" s="4"/>
      <c r="Y327" s="4"/>
      <c r="Z327" s="4"/>
    </row>
    <row r="328" customFormat="false" ht="15.75" hidden="false" customHeight="true" outlineLevel="0" collapsed="false">
      <c r="A328" s="4"/>
      <c r="B328" s="4"/>
      <c r="C328" s="4"/>
      <c r="D328" s="4"/>
      <c r="E328" s="4"/>
      <c r="F328" s="4"/>
      <c r="G328" s="194"/>
      <c r="H328" s="225"/>
      <c r="I328" s="225"/>
      <c r="J328" s="4"/>
      <c r="K328" s="4"/>
      <c r="L328" s="4"/>
      <c r="M328" s="225"/>
      <c r="N328" s="225"/>
      <c r="O328" s="225"/>
      <c r="P328" s="4"/>
      <c r="Q328" s="4"/>
      <c r="R328" s="4"/>
      <c r="S328" s="4"/>
      <c r="T328" s="4"/>
      <c r="U328" s="194"/>
      <c r="V328" s="4"/>
      <c r="W328" s="4"/>
      <c r="X328" s="4"/>
      <c r="Y328" s="4"/>
      <c r="Z328" s="4"/>
    </row>
    <row r="329" customFormat="false" ht="15.75" hidden="false" customHeight="true" outlineLevel="0" collapsed="false">
      <c r="A329" s="4"/>
      <c r="B329" s="4"/>
      <c r="C329" s="4"/>
      <c r="D329" s="4"/>
      <c r="E329" s="4"/>
      <c r="F329" s="4"/>
      <c r="G329" s="194"/>
      <c r="H329" s="225"/>
      <c r="I329" s="225"/>
      <c r="J329" s="4"/>
      <c r="K329" s="4"/>
      <c r="L329" s="4"/>
      <c r="M329" s="225"/>
      <c r="N329" s="225"/>
      <c r="O329" s="225"/>
      <c r="P329" s="4"/>
      <c r="Q329" s="4"/>
      <c r="R329" s="4"/>
      <c r="S329" s="4"/>
      <c r="T329" s="4"/>
      <c r="U329" s="194"/>
      <c r="V329" s="4"/>
      <c r="W329" s="4"/>
      <c r="X329" s="4"/>
      <c r="Y329" s="4"/>
      <c r="Z329" s="4"/>
    </row>
    <row r="330" customFormat="false" ht="15.75" hidden="false" customHeight="true" outlineLevel="0" collapsed="false">
      <c r="A330" s="4"/>
      <c r="B330" s="4"/>
      <c r="C330" s="4"/>
      <c r="D330" s="4"/>
      <c r="E330" s="4"/>
      <c r="F330" s="4"/>
      <c r="G330" s="194"/>
      <c r="H330" s="225"/>
      <c r="I330" s="225"/>
      <c r="J330" s="4"/>
      <c r="K330" s="4"/>
      <c r="L330" s="4"/>
      <c r="M330" s="225"/>
      <c r="N330" s="225"/>
      <c r="O330" s="225"/>
      <c r="P330" s="4"/>
      <c r="Q330" s="4"/>
      <c r="R330" s="4"/>
      <c r="S330" s="4"/>
      <c r="T330" s="4"/>
      <c r="U330" s="194"/>
      <c r="V330" s="4"/>
      <c r="W330" s="4"/>
      <c r="X330" s="4"/>
      <c r="Y330" s="4"/>
      <c r="Z330" s="4"/>
    </row>
    <row r="331" customFormat="false" ht="15.75" hidden="false" customHeight="true" outlineLevel="0" collapsed="false">
      <c r="A331" s="4"/>
      <c r="B331" s="4"/>
      <c r="C331" s="4"/>
      <c r="D331" s="4"/>
      <c r="E331" s="4"/>
      <c r="F331" s="4"/>
      <c r="G331" s="194"/>
      <c r="H331" s="225"/>
      <c r="I331" s="225"/>
      <c r="J331" s="4"/>
      <c r="K331" s="4"/>
      <c r="L331" s="4"/>
      <c r="M331" s="225"/>
      <c r="N331" s="225"/>
      <c r="O331" s="225"/>
      <c r="P331" s="4"/>
      <c r="Q331" s="4"/>
      <c r="R331" s="4"/>
      <c r="S331" s="4"/>
      <c r="T331" s="4"/>
      <c r="U331" s="194"/>
      <c r="V331" s="4"/>
      <c r="W331" s="4"/>
      <c r="X331" s="4"/>
      <c r="Y331" s="4"/>
      <c r="Z331" s="4"/>
    </row>
    <row r="332" customFormat="false" ht="15.75" hidden="false" customHeight="true" outlineLevel="0" collapsed="false">
      <c r="A332" s="4"/>
      <c r="B332" s="4"/>
      <c r="C332" s="4"/>
      <c r="D332" s="4"/>
      <c r="E332" s="4"/>
      <c r="F332" s="4"/>
      <c r="G332" s="194"/>
      <c r="H332" s="225"/>
      <c r="I332" s="225"/>
      <c r="J332" s="4"/>
      <c r="K332" s="4"/>
      <c r="L332" s="4"/>
      <c r="M332" s="225"/>
      <c r="N332" s="225"/>
      <c r="O332" s="225"/>
      <c r="P332" s="4"/>
      <c r="Q332" s="4"/>
      <c r="R332" s="4"/>
      <c r="S332" s="4"/>
      <c r="T332" s="4"/>
      <c r="U332" s="194"/>
      <c r="V332" s="4"/>
      <c r="W332" s="4"/>
      <c r="X332" s="4"/>
      <c r="Y332" s="4"/>
      <c r="Z332" s="4"/>
    </row>
    <row r="333" customFormat="false" ht="15.75" hidden="false" customHeight="true" outlineLevel="0" collapsed="false">
      <c r="A333" s="4"/>
      <c r="B333" s="4"/>
      <c r="C333" s="4"/>
      <c r="D333" s="4"/>
      <c r="E333" s="4"/>
      <c r="F333" s="4"/>
      <c r="G333" s="194"/>
      <c r="H333" s="225"/>
      <c r="I333" s="225"/>
      <c r="J333" s="4"/>
      <c r="K333" s="4"/>
      <c r="L333" s="4"/>
      <c r="M333" s="225"/>
      <c r="N333" s="225"/>
      <c r="O333" s="225"/>
      <c r="P333" s="4"/>
      <c r="Q333" s="4"/>
      <c r="R333" s="4"/>
      <c r="S333" s="4"/>
      <c r="T333" s="4"/>
      <c r="U333" s="194"/>
      <c r="V333" s="4"/>
      <c r="W333" s="4"/>
      <c r="X333" s="4"/>
      <c r="Y333" s="4"/>
      <c r="Z333" s="4"/>
    </row>
    <row r="334" customFormat="false" ht="15.75" hidden="false" customHeight="true" outlineLevel="0" collapsed="false">
      <c r="A334" s="4"/>
      <c r="B334" s="4"/>
      <c r="C334" s="4"/>
      <c r="D334" s="4"/>
      <c r="E334" s="4"/>
      <c r="F334" s="4"/>
      <c r="G334" s="194"/>
      <c r="H334" s="225"/>
      <c r="I334" s="225"/>
      <c r="J334" s="4"/>
      <c r="K334" s="4"/>
      <c r="L334" s="4"/>
      <c r="M334" s="225"/>
      <c r="N334" s="225"/>
      <c r="O334" s="225"/>
      <c r="P334" s="4"/>
      <c r="Q334" s="4"/>
      <c r="R334" s="4"/>
      <c r="S334" s="4"/>
      <c r="T334" s="4"/>
      <c r="U334" s="194"/>
      <c r="V334" s="4"/>
      <c r="W334" s="4"/>
      <c r="X334" s="4"/>
      <c r="Y334" s="4"/>
      <c r="Z334" s="4"/>
    </row>
    <row r="335" customFormat="false" ht="15.75" hidden="false" customHeight="true" outlineLevel="0" collapsed="false">
      <c r="A335" s="4"/>
      <c r="B335" s="4"/>
      <c r="C335" s="4"/>
      <c r="D335" s="4"/>
      <c r="E335" s="4"/>
      <c r="F335" s="4"/>
      <c r="G335" s="194"/>
      <c r="H335" s="225"/>
      <c r="I335" s="225"/>
      <c r="J335" s="4"/>
      <c r="K335" s="4"/>
      <c r="L335" s="4"/>
      <c r="M335" s="225"/>
      <c r="N335" s="225"/>
      <c r="O335" s="225"/>
      <c r="P335" s="4"/>
      <c r="Q335" s="4"/>
      <c r="R335" s="4"/>
      <c r="S335" s="4"/>
      <c r="T335" s="4"/>
      <c r="U335" s="194"/>
      <c r="V335" s="4"/>
      <c r="W335" s="4"/>
      <c r="X335" s="4"/>
      <c r="Y335" s="4"/>
      <c r="Z335" s="4"/>
    </row>
    <row r="336" customFormat="false" ht="15.75" hidden="false" customHeight="true" outlineLevel="0" collapsed="false">
      <c r="A336" s="4"/>
      <c r="B336" s="4"/>
      <c r="C336" s="4"/>
      <c r="D336" s="4"/>
      <c r="E336" s="4"/>
      <c r="F336" s="4"/>
      <c r="G336" s="194"/>
      <c r="H336" s="225"/>
      <c r="I336" s="225"/>
      <c r="J336" s="4"/>
      <c r="K336" s="4"/>
      <c r="L336" s="4"/>
      <c r="M336" s="225"/>
      <c r="N336" s="225"/>
      <c r="O336" s="225"/>
      <c r="P336" s="4"/>
      <c r="Q336" s="4"/>
      <c r="R336" s="4"/>
      <c r="S336" s="4"/>
      <c r="T336" s="4"/>
      <c r="U336" s="194"/>
      <c r="V336" s="4"/>
      <c r="W336" s="4"/>
      <c r="X336" s="4"/>
      <c r="Y336" s="4"/>
      <c r="Z336" s="4"/>
    </row>
    <row r="337" customFormat="false" ht="15.75" hidden="false" customHeight="true" outlineLevel="0" collapsed="false">
      <c r="A337" s="4"/>
      <c r="B337" s="4"/>
      <c r="C337" s="4"/>
      <c r="D337" s="4"/>
      <c r="E337" s="4"/>
      <c r="F337" s="4"/>
      <c r="G337" s="194"/>
      <c r="H337" s="225"/>
      <c r="I337" s="225"/>
      <c r="J337" s="4"/>
      <c r="K337" s="4"/>
      <c r="L337" s="4"/>
      <c r="M337" s="225"/>
      <c r="N337" s="225"/>
      <c r="O337" s="225"/>
      <c r="P337" s="4"/>
      <c r="Q337" s="4"/>
      <c r="R337" s="4"/>
      <c r="S337" s="4"/>
      <c r="T337" s="4"/>
      <c r="U337" s="194"/>
      <c r="V337" s="4"/>
      <c r="W337" s="4"/>
      <c r="X337" s="4"/>
      <c r="Y337" s="4"/>
      <c r="Z337" s="4"/>
    </row>
    <row r="338" customFormat="false" ht="15.75" hidden="false" customHeight="true" outlineLevel="0" collapsed="false">
      <c r="A338" s="4"/>
      <c r="B338" s="4"/>
      <c r="C338" s="4"/>
      <c r="D338" s="4"/>
      <c r="E338" s="4"/>
      <c r="F338" s="4"/>
      <c r="G338" s="194"/>
      <c r="H338" s="225"/>
      <c r="I338" s="225"/>
      <c r="J338" s="4"/>
      <c r="K338" s="4"/>
      <c r="L338" s="4"/>
      <c r="M338" s="225"/>
      <c r="N338" s="225"/>
      <c r="O338" s="225"/>
      <c r="P338" s="4"/>
      <c r="Q338" s="4"/>
      <c r="R338" s="4"/>
      <c r="S338" s="4"/>
      <c r="T338" s="4"/>
      <c r="U338" s="194"/>
      <c r="V338" s="4"/>
      <c r="W338" s="4"/>
      <c r="X338" s="4"/>
      <c r="Y338" s="4"/>
      <c r="Z338" s="4"/>
    </row>
    <row r="339" customFormat="false" ht="15.75" hidden="false" customHeight="true" outlineLevel="0" collapsed="false">
      <c r="A339" s="4"/>
      <c r="B339" s="4"/>
      <c r="C339" s="4"/>
      <c r="D339" s="4"/>
      <c r="E339" s="4"/>
      <c r="F339" s="4"/>
      <c r="G339" s="194"/>
      <c r="H339" s="225"/>
      <c r="I339" s="225"/>
      <c r="J339" s="4"/>
      <c r="K339" s="4"/>
      <c r="L339" s="4"/>
      <c r="M339" s="225"/>
      <c r="N339" s="225"/>
      <c r="O339" s="225"/>
      <c r="P339" s="4"/>
      <c r="Q339" s="4"/>
      <c r="R339" s="4"/>
      <c r="S339" s="4"/>
      <c r="T339" s="4"/>
      <c r="U339" s="194"/>
      <c r="V339" s="4"/>
      <c r="W339" s="4"/>
      <c r="X339" s="4"/>
      <c r="Y339" s="4"/>
      <c r="Z339" s="4"/>
    </row>
    <row r="340" customFormat="false" ht="15.75" hidden="false" customHeight="true" outlineLevel="0" collapsed="false">
      <c r="A340" s="4"/>
      <c r="B340" s="4"/>
      <c r="C340" s="4"/>
      <c r="D340" s="4"/>
      <c r="E340" s="4"/>
      <c r="F340" s="4"/>
      <c r="G340" s="194"/>
      <c r="H340" s="225"/>
      <c r="I340" s="225"/>
      <c r="J340" s="4"/>
      <c r="K340" s="4"/>
      <c r="L340" s="4"/>
      <c r="M340" s="225"/>
      <c r="N340" s="225"/>
      <c r="O340" s="225"/>
      <c r="P340" s="4"/>
      <c r="Q340" s="4"/>
      <c r="R340" s="4"/>
      <c r="S340" s="4"/>
      <c r="T340" s="4"/>
      <c r="U340" s="194"/>
      <c r="V340" s="4"/>
      <c r="W340" s="4"/>
      <c r="X340" s="4"/>
      <c r="Y340" s="4"/>
      <c r="Z340" s="4"/>
    </row>
    <row r="341" customFormat="false" ht="15.75" hidden="false" customHeight="true" outlineLevel="0" collapsed="false">
      <c r="A341" s="4"/>
      <c r="B341" s="4"/>
      <c r="C341" s="4"/>
      <c r="D341" s="4"/>
      <c r="E341" s="4"/>
      <c r="F341" s="4"/>
      <c r="G341" s="194"/>
      <c r="H341" s="225"/>
      <c r="I341" s="225"/>
      <c r="J341" s="4"/>
      <c r="K341" s="4"/>
      <c r="L341" s="4"/>
      <c r="M341" s="225"/>
      <c r="N341" s="225"/>
      <c r="O341" s="225"/>
      <c r="P341" s="4"/>
      <c r="Q341" s="4"/>
      <c r="R341" s="4"/>
      <c r="S341" s="4"/>
      <c r="T341" s="4"/>
      <c r="U341" s="194"/>
      <c r="V341" s="4"/>
      <c r="W341" s="4"/>
      <c r="X341" s="4"/>
      <c r="Y341" s="4"/>
      <c r="Z341" s="4"/>
    </row>
    <row r="342" customFormat="false" ht="15.75" hidden="false" customHeight="true" outlineLevel="0" collapsed="false">
      <c r="A342" s="4"/>
      <c r="B342" s="4"/>
      <c r="C342" s="4"/>
      <c r="D342" s="4"/>
      <c r="E342" s="4"/>
      <c r="F342" s="4"/>
      <c r="G342" s="194"/>
      <c r="H342" s="225"/>
      <c r="I342" s="225"/>
      <c r="J342" s="4"/>
      <c r="K342" s="4"/>
      <c r="L342" s="4"/>
      <c r="M342" s="225"/>
      <c r="N342" s="225"/>
      <c r="O342" s="225"/>
      <c r="P342" s="4"/>
      <c r="Q342" s="4"/>
      <c r="R342" s="4"/>
      <c r="S342" s="4"/>
      <c r="T342" s="4"/>
      <c r="U342" s="194"/>
      <c r="V342" s="4"/>
      <c r="W342" s="4"/>
      <c r="X342" s="4"/>
      <c r="Y342" s="4"/>
      <c r="Z342" s="4"/>
    </row>
    <row r="343" customFormat="false" ht="15.75" hidden="false" customHeight="true" outlineLevel="0" collapsed="false">
      <c r="A343" s="4"/>
      <c r="B343" s="4"/>
      <c r="C343" s="4"/>
      <c r="D343" s="4"/>
      <c r="E343" s="4"/>
      <c r="F343" s="4"/>
      <c r="G343" s="194"/>
      <c r="H343" s="225"/>
      <c r="I343" s="225"/>
      <c r="J343" s="4"/>
      <c r="K343" s="4"/>
      <c r="L343" s="4"/>
      <c r="M343" s="225"/>
      <c r="N343" s="225"/>
      <c r="O343" s="225"/>
      <c r="P343" s="4"/>
      <c r="Q343" s="4"/>
      <c r="R343" s="4"/>
      <c r="S343" s="4"/>
      <c r="T343" s="4"/>
      <c r="U343" s="194"/>
      <c r="V343" s="4"/>
      <c r="W343" s="4"/>
      <c r="X343" s="4"/>
      <c r="Y343" s="4"/>
      <c r="Z343" s="4"/>
    </row>
    <row r="344" customFormat="false" ht="15.75" hidden="false" customHeight="true" outlineLevel="0" collapsed="false">
      <c r="A344" s="4"/>
      <c r="B344" s="4"/>
      <c r="C344" s="4"/>
      <c r="D344" s="4"/>
      <c r="E344" s="4"/>
      <c r="F344" s="4"/>
      <c r="G344" s="194"/>
      <c r="H344" s="225"/>
      <c r="I344" s="225"/>
      <c r="J344" s="4"/>
      <c r="K344" s="4"/>
      <c r="L344" s="4"/>
      <c r="M344" s="225"/>
      <c r="N344" s="225"/>
      <c r="O344" s="225"/>
      <c r="P344" s="4"/>
      <c r="Q344" s="4"/>
      <c r="R344" s="4"/>
      <c r="S344" s="4"/>
      <c r="T344" s="4"/>
      <c r="U344" s="194"/>
      <c r="V344" s="4"/>
      <c r="W344" s="4"/>
      <c r="X344" s="4"/>
      <c r="Y344" s="4"/>
      <c r="Z344" s="4"/>
    </row>
    <row r="345" customFormat="false" ht="15.75" hidden="false" customHeight="true" outlineLevel="0" collapsed="false">
      <c r="A345" s="4"/>
      <c r="B345" s="4"/>
      <c r="C345" s="4"/>
      <c r="D345" s="4"/>
      <c r="E345" s="4"/>
      <c r="F345" s="4"/>
      <c r="G345" s="194"/>
      <c r="H345" s="225"/>
      <c r="I345" s="225"/>
      <c r="J345" s="4"/>
      <c r="K345" s="4"/>
      <c r="L345" s="4"/>
      <c r="M345" s="225"/>
      <c r="N345" s="225"/>
      <c r="O345" s="225"/>
      <c r="P345" s="4"/>
      <c r="Q345" s="4"/>
      <c r="R345" s="4"/>
      <c r="S345" s="4"/>
      <c r="T345" s="4"/>
      <c r="U345" s="194"/>
      <c r="V345" s="4"/>
      <c r="W345" s="4"/>
      <c r="X345" s="4"/>
      <c r="Y345" s="4"/>
      <c r="Z345" s="4"/>
    </row>
    <row r="346" customFormat="false" ht="15.75" hidden="false" customHeight="true" outlineLevel="0" collapsed="false">
      <c r="A346" s="4"/>
      <c r="B346" s="4"/>
      <c r="C346" s="4"/>
      <c r="D346" s="4"/>
      <c r="E346" s="4"/>
      <c r="F346" s="4"/>
      <c r="G346" s="194"/>
      <c r="H346" s="225"/>
      <c r="I346" s="225"/>
      <c r="J346" s="4"/>
      <c r="K346" s="4"/>
      <c r="L346" s="4"/>
      <c r="M346" s="225"/>
      <c r="N346" s="225"/>
      <c r="O346" s="225"/>
      <c r="P346" s="4"/>
      <c r="Q346" s="4"/>
      <c r="R346" s="4"/>
      <c r="S346" s="4"/>
      <c r="T346" s="4"/>
      <c r="U346" s="194"/>
      <c r="V346" s="4"/>
      <c r="W346" s="4"/>
      <c r="X346" s="4"/>
      <c r="Y346" s="4"/>
      <c r="Z346" s="4"/>
    </row>
    <row r="347" customFormat="false" ht="15.75" hidden="false" customHeight="true" outlineLevel="0" collapsed="false">
      <c r="A347" s="4"/>
      <c r="B347" s="4"/>
      <c r="C347" s="4"/>
      <c r="D347" s="4"/>
      <c r="E347" s="4"/>
      <c r="F347" s="4"/>
      <c r="G347" s="194"/>
      <c r="H347" s="225"/>
      <c r="I347" s="225"/>
      <c r="J347" s="4"/>
      <c r="K347" s="4"/>
      <c r="L347" s="4"/>
      <c r="M347" s="225"/>
      <c r="N347" s="225"/>
      <c r="O347" s="225"/>
      <c r="P347" s="4"/>
      <c r="Q347" s="4"/>
      <c r="R347" s="4"/>
      <c r="S347" s="4"/>
      <c r="T347" s="4"/>
      <c r="U347" s="194"/>
      <c r="V347" s="4"/>
      <c r="W347" s="4"/>
      <c r="X347" s="4"/>
      <c r="Y347" s="4"/>
      <c r="Z347" s="4"/>
    </row>
    <row r="348" customFormat="false" ht="15.75" hidden="false" customHeight="true" outlineLevel="0" collapsed="false">
      <c r="A348" s="4"/>
      <c r="B348" s="4"/>
      <c r="C348" s="4"/>
      <c r="D348" s="4"/>
      <c r="E348" s="4"/>
      <c r="F348" s="4"/>
      <c r="G348" s="194"/>
      <c r="H348" s="225"/>
      <c r="I348" s="225"/>
      <c r="J348" s="4"/>
      <c r="K348" s="4"/>
      <c r="L348" s="4"/>
      <c r="M348" s="225"/>
      <c r="N348" s="225"/>
      <c r="O348" s="225"/>
      <c r="P348" s="4"/>
      <c r="Q348" s="4"/>
      <c r="R348" s="4"/>
      <c r="S348" s="4"/>
      <c r="T348" s="4"/>
      <c r="U348" s="194"/>
      <c r="V348" s="4"/>
      <c r="W348" s="4"/>
      <c r="X348" s="4"/>
      <c r="Y348" s="4"/>
      <c r="Z348" s="4"/>
    </row>
    <row r="349" customFormat="false" ht="15.75" hidden="false" customHeight="true" outlineLevel="0" collapsed="false">
      <c r="A349" s="4"/>
      <c r="B349" s="4"/>
      <c r="C349" s="4"/>
      <c r="D349" s="4"/>
      <c r="E349" s="4"/>
      <c r="F349" s="4"/>
      <c r="G349" s="194"/>
      <c r="H349" s="225"/>
      <c r="I349" s="225"/>
      <c r="J349" s="4"/>
      <c r="K349" s="4"/>
      <c r="L349" s="4"/>
      <c r="M349" s="225"/>
      <c r="N349" s="225"/>
      <c r="O349" s="225"/>
      <c r="P349" s="4"/>
      <c r="Q349" s="4"/>
      <c r="R349" s="4"/>
      <c r="S349" s="4"/>
      <c r="T349" s="4"/>
      <c r="U349" s="194"/>
      <c r="V349" s="4"/>
      <c r="W349" s="4"/>
      <c r="X349" s="4"/>
      <c r="Y349" s="4"/>
      <c r="Z349" s="4"/>
    </row>
    <row r="350" customFormat="false" ht="15.75" hidden="false" customHeight="true" outlineLevel="0" collapsed="false">
      <c r="A350" s="4"/>
      <c r="B350" s="4"/>
      <c r="C350" s="4"/>
      <c r="D350" s="4"/>
      <c r="E350" s="4"/>
      <c r="F350" s="4"/>
      <c r="G350" s="194"/>
      <c r="H350" s="225"/>
      <c r="I350" s="225"/>
      <c r="J350" s="4"/>
      <c r="K350" s="4"/>
      <c r="L350" s="4"/>
      <c r="M350" s="225"/>
      <c r="N350" s="225"/>
      <c r="O350" s="225"/>
      <c r="P350" s="4"/>
      <c r="Q350" s="4"/>
      <c r="R350" s="4"/>
      <c r="S350" s="4"/>
      <c r="T350" s="4"/>
      <c r="U350" s="194"/>
      <c r="V350" s="4"/>
      <c r="W350" s="4"/>
      <c r="X350" s="4"/>
      <c r="Y350" s="4"/>
      <c r="Z350" s="4"/>
    </row>
    <row r="351" customFormat="false" ht="15.75" hidden="false" customHeight="true" outlineLevel="0" collapsed="false">
      <c r="A351" s="4"/>
      <c r="B351" s="4"/>
      <c r="C351" s="4"/>
      <c r="D351" s="4"/>
      <c r="E351" s="4"/>
      <c r="F351" s="4"/>
      <c r="G351" s="194"/>
      <c r="H351" s="225"/>
      <c r="I351" s="225"/>
      <c r="J351" s="4"/>
      <c r="K351" s="4"/>
      <c r="L351" s="4"/>
      <c r="M351" s="225"/>
      <c r="N351" s="225"/>
      <c r="O351" s="225"/>
      <c r="P351" s="4"/>
      <c r="Q351" s="4"/>
      <c r="R351" s="4"/>
      <c r="S351" s="4"/>
      <c r="T351" s="4"/>
      <c r="U351" s="194"/>
      <c r="V351" s="4"/>
      <c r="W351" s="4"/>
      <c r="X351" s="4"/>
      <c r="Y351" s="4"/>
      <c r="Z351" s="4"/>
    </row>
    <row r="352" customFormat="false" ht="15.75" hidden="false" customHeight="true" outlineLevel="0" collapsed="false">
      <c r="A352" s="4"/>
      <c r="B352" s="4"/>
      <c r="C352" s="4"/>
      <c r="D352" s="4"/>
      <c r="E352" s="4"/>
      <c r="F352" s="4"/>
      <c r="G352" s="194"/>
      <c r="H352" s="225"/>
      <c r="I352" s="225"/>
      <c r="J352" s="4"/>
      <c r="K352" s="4"/>
      <c r="L352" s="4"/>
      <c r="M352" s="225"/>
      <c r="N352" s="225"/>
      <c r="O352" s="225"/>
      <c r="P352" s="4"/>
      <c r="Q352" s="4"/>
      <c r="R352" s="4"/>
      <c r="S352" s="4"/>
      <c r="T352" s="4"/>
      <c r="U352" s="194"/>
      <c r="V352" s="4"/>
      <c r="W352" s="4"/>
      <c r="X352" s="4"/>
      <c r="Y352" s="4"/>
      <c r="Z352" s="4"/>
    </row>
    <row r="353" customFormat="false" ht="15.75" hidden="false" customHeight="true" outlineLevel="0" collapsed="false">
      <c r="A353" s="4"/>
      <c r="B353" s="4"/>
      <c r="C353" s="4"/>
      <c r="D353" s="4"/>
      <c r="E353" s="4"/>
      <c r="F353" s="4"/>
      <c r="G353" s="194"/>
      <c r="H353" s="225"/>
      <c r="I353" s="225"/>
      <c r="J353" s="4"/>
      <c r="K353" s="4"/>
      <c r="L353" s="4"/>
      <c r="M353" s="225"/>
      <c r="N353" s="225"/>
      <c r="O353" s="225"/>
      <c r="P353" s="4"/>
      <c r="Q353" s="4"/>
      <c r="R353" s="4"/>
      <c r="S353" s="4"/>
      <c r="T353" s="4"/>
      <c r="U353" s="194"/>
      <c r="V353" s="4"/>
      <c r="W353" s="4"/>
      <c r="X353" s="4"/>
      <c r="Y353" s="4"/>
      <c r="Z353" s="4"/>
    </row>
    <row r="354" customFormat="false" ht="15.75" hidden="false" customHeight="true" outlineLevel="0" collapsed="false">
      <c r="A354" s="4"/>
      <c r="B354" s="4"/>
      <c r="C354" s="4"/>
      <c r="D354" s="4"/>
      <c r="E354" s="4"/>
      <c r="F354" s="4"/>
      <c r="G354" s="194"/>
      <c r="H354" s="225"/>
      <c r="I354" s="225"/>
      <c r="J354" s="4"/>
      <c r="K354" s="4"/>
      <c r="L354" s="4"/>
      <c r="M354" s="225"/>
      <c r="N354" s="225"/>
      <c r="O354" s="225"/>
      <c r="P354" s="4"/>
      <c r="Q354" s="4"/>
      <c r="R354" s="4"/>
      <c r="S354" s="4"/>
      <c r="T354" s="4"/>
      <c r="U354" s="194"/>
      <c r="V354" s="4"/>
      <c r="W354" s="4"/>
      <c r="X354" s="4"/>
      <c r="Y354" s="4"/>
      <c r="Z354" s="4"/>
    </row>
    <row r="355" customFormat="false" ht="15.75" hidden="false" customHeight="true" outlineLevel="0" collapsed="false">
      <c r="A355" s="4"/>
      <c r="B355" s="4"/>
      <c r="C355" s="4"/>
      <c r="D355" s="4"/>
      <c r="E355" s="4"/>
      <c r="F355" s="4"/>
      <c r="G355" s="194"/>
      <c r="H355" s="225"/>
      <c r="I355" s="225"/>
      <c r="J355" s="4"/>
      <c r="K355" s="4"/>
      <c r="L355" s="4"/>
      <c r="M355" s="225"/>
      <c r="N355" s="225"/>
      <c r="O355" s="225"/>
      <c r="P355" s="4"/>
      <c r="Q355" s="4"/>
      <c r="R355" s="4"/>
      <c r="S355" s="4"/>
      <c r="T355" s="4"/>
      <c r="U355" s="194"/>
      <c r="V355" s="4"/>
      <c r="W355" s="4"/>
      <c r="X355" s="4"/>
      <c r="Y355" s="4"/>
      <c r="Z355" s="4"/>
    </row>
    <row r="356" customFormat="false" ht="15.75" hidden="false" customHeight="true" outlineLevel="0" collapsed="false">
      <c r="A356" s="4"/>
      <c r="B356" s="4"/>
      <c r="C356" s="4"/>
      <c r="D356" s="4"/>
      <c r="E356" s="4"/>
      <c r="F356" s="4"/>
      <c r="G356" s="194"/>
      <c r="H356" s="225"/>
      <c r="I356" s="225"/>
      <c r="J356" s="4"/>
      <c r="K356" s="4"/>
      <c r="L356" s="4"/>
      <c r="M356" s="225"/>
      <c r="N356" s="225"/>
      <c r="O356" s="225"/>
      <c r="P356" s="4"/>
      <c r="Q356" s="4"/>
      <c r="R356" s="4"/>
      <c r="S356" s="4"/>
      <c r="T356" s="4"/>
      <c r="U356" s="194"/>
      <c r="V356" s="4"/>
      <c r="W356" s="4"/>
      <c r="X356" s="4"/>
      <c r="Y356" s="4"/>
      <c r="Z356" s="4"/>
    </row>
    <row r="357" customFormat="false" ht="15.75" hidden="false" customHeight="true" outlineLevel="0" collapsed="false">
      <c r="A357" s="4"/>
      <c r="B357" s="4"/>
      <c r="C357" s="4"/>
      <c r="D357" s="4"/>
      <c r="E357" s="4"/>
      <c r="F357" s="4"/>
      <c r="G357" s="194"/>
      <c r="H357" s="225"/>
      <c r="I357" s="225"/>
      <c r="J357" s="4"/>
      <c r="K357" s="4"/>
      <c r="L357" s="4"/>
      <c r="M357" s="225"/>
      <c r="N357" s="225"/>
      <c r="O357" s="225"/>
      <c r="P357" s="4"/>
      <c r="Q357" s="4"/>
      <c r="R357" s="4"/>
      <c r="S357" s="4"/>
      <c r="T357" s="4"/>
      <c r="U357" s="194"/>
      <c r="V357" s="4"/>
      <c r="W357" s="4"/>
      <c r="X357" s="4"/>
      <c r="Y357" s="4"/>
      <c r="Z357" s="4"/>
    </row>
    <row r="358" customFormat="false" ht="15.75" hidden="false" customHeight="true" outlineLevel="0" collapsed="false">
      <c r="A358" s="4"/>
      <c r="B358" s="4"/>
      <c r="C358" s="4"/>
      <c r="D358" s="4"/>
      <c r="E358" s="4"/>
      <c r="F358" s="4"/>
      <c r="G358" s="194"/>
      <c r="H358" s="225"/>
      <c r="I358" s="225"/>
      <c r="J358" s="4"/>
      <c r="K358" s="4"/>
      <c r="L358" s="4"/>
      <c r="M358" s="225"/>
      <c r="N358" s="225"/>
      <c r="O358" s="225"/>
      <c r="P358" s="4"/>
      <c r="Q358" s="4"/>
      <c r="R358" s="4"/>
      <c r="S358" s="4"/>
      <c r="T358" s="4"/>
      <c r="U358" s="194"/>
      <c r="V358" s="4"/>
      <c r="W358" s="4"/>
      <c r="X358" s="4"/>
      <c r="Y358" s="4"/>
      <c r="Z358" s="4"/>
    </row>
    <row r="359" customFormat="false" ht="15.75" hidden="false" customHeight="true" outlineLevel="0" collapsed="false">
      <c r="A359" s="4"/>
      <c r="B359" s="4"/>
      <c r="C359" s="4"/>
      <c r="D359" s="4"/>
      <c r="E359" s="4"/>
      <c r="F359" s="4"/>
      <c r="G359" s="194"/>
      <c r="H359" s="225"/>
      <c r="I359" s="225"/>
      <c r="J359" s="4"/>
      <c r="K359" s="4"/>
      <c r="L359" s="4"/>
      <c r="M359" s="225"/>
      <c r="N359" s="225"/>
      <c r="O359" s="225"/>
      <c r="P359" s="4"/>
      <c r="Q359" s="4"/>
      <c r="R359" s="4"/>
      <c r="S359" s="4"/>
      <c r="T359" s="4"/>
      <c r="U359" s="194"/>
      <c r="V359" s="4"/>
      <c r="W359" s="4"/>
      <c r="X359" s="4"/>
      <c r="Y359" s="4"/>
      <c r="Z359" s="4"/>
    </row>
    <row r="360" customFormat="false" ht="15.75" hidden="false" customHeight="true" outlineLevel="0" collapsed="false">
      <c r="A360" s="4"/>
      <c r="B360" s="4"/>
      <c r="C360" s="4"/>
      <c r="D360" s="4"/>
      <c r="E360" s="4"/>
      <c r="F360" s="4"/>
      <c r="G360" s="194"/>
      <c r="H360" s="225"/>
      <c r="I360" s="225"/>
      <c r="J360" s="4"/>
      <c r="K360" s="4"/>
      <c r="L360" s="4"/>
      <c r="M360" s="225"/>
      <c r="N360" s="225"/>
      <c r="O360" s="225"/>
      <c r="P360" s="4"/>
      <c r="Q360" s="4"/>
      <c r="R360" s="4"/>
      <c r="S360" s="4"/>
      <c r="T360" s="4"/>
      <c r="U360" s="194"/>
      <c r="V360" s="4"/>
      <c r="W360" s="4"/>
      <c r="X360" s="4"/>
      <c r="Y360" s="4"/>
      <c r="Z360" s="4"/>
    </row>
    <row r="361" customFormat="false" ht="15.75" hidden="false" customHeight="true" outlineLevel="0" collapsed="false">
      <c r="A361" s="4"/>
      <c r="B361" s="4"/>
      <c r="C361" s="4"/>
      <c r="D361" s="4"/>
      <c r="E361" s="4"/>
      <c r="F361" s="4"/>
      <c r="G361" s="194"/>
      <c r="H361" s="225"/>
      <c r="I361" s="225"/>
      <c r="J361" s="4"/>
      <c r="K361" s="4"/>
      <c r="L361" s="4"/>
      <c r="M361" s="225"/>
      <c r="N361" s="225"/>
      <c r="O361" s="225"/>
      <c r="P361" s="4"/>
      <c r="Q361" s="4"/>
      <c r="R361" s="4"/>
      <c r="S361" s="4"/>
      <c r="T361" s="4"/>
      <c r="U361" s="194"/>
      <c r="V361" s="4"/>
      <c r="W361" s="4"/>
      <c r="X361" s="4"/>
      <c r="Y361" s="4"/>
      <c r="Z361" s="4"/>
    </row>
    <row r="362" customFormat="false" ht="15.75" hidden="false" customHeight="true" outlineLevel="0" collapsed="false">
      <c r="A362" s="4"/>
      <c r="B362" s="4"/>
      <c r="C362" s="4"/>
      <c r="D362" s="4"/>
      <c r="E362" s="4"/>
      <c r="F362" s="4"/>
      <c r="G362" s="194"/>
      <c r="H362" s="225"/>
      <c r="I362" s="225"/>
      <c r="J362" s="4"/>
      <c r="K362" s="4"/>
      <c r="L362" s="4"/>
      <c r="M362" s="225"/>
      <c r="N362" s="225"/>
      <c r="O362" s="225"/>
      <c r="P362" s="4"/>
      <c r="Q362" s="4"/>
      <c r="R362" s="4"/>
      <c r="S362" s="4"/>
      <c r="T362" s="4"/>
      <c r="U362" s="194"/>
      <c r="V362" s="4"/>
      <c r="W362" s="4"/>
      <c r="X362" s="4"/>
      <c r="Y362" s="4"/>
      <c r="Z362" s="4"/>
    </row>
    <row r="363" customFormat="false" ht="15.75" hidden="false" customHeight="true" outlineLevel="0" collapsed="false">
      <c r="A363" s="4"/>
      <c r="B363" s="4"/>
      <c r="C363" s="4"/>
      <c r="D363" s="4"/>
      <c r="E363" s="4"/>
      <c r="F363" s="4"/>
      <c r="G363" s="194"/>
      <c r="H363" s="225"/>
      <c r="I363" s="225"/>
      <c r="J363" s="4"/>
      <c r="K363" s="4"/>
      <c r="L363" s="4"/>
      <c r="M363" s="225"/>
      <c r="N363" s="225"/>
      <c r="O363" s="225"/>
      <c r="P363" s="4"/>
      <c r="Q363" s="4"/>
      <c r="R363" s="4"/>
      <c r="S363" s="4"/>
      <c r="T363" s="4"/>
      <c r="U363" s="194"/>
      <c r="V363" s="4"/>
      <c r="W363" s="4"/>
      <c r="X363" s="4"/>
      <c r="Y363" s="4"/>
      <c r="Z363" s="4"/>
    </row>
    <row r="364" customFormat="false" ht="15.75" hidden="false" customHeight="true" outlineLevel="0" collapsed="false">
      <c r="A364" s="4"/>
      <c r="B364" s="4"/>
      <c r="C364" s="4"/>
      <c r="D364" s="4"/>
      <c r="E364" s="4"/>
      <c r="F364" s="4"/>
      <c r="G364" s="194"/>
      <c r="H364" s="225"/>
      <c r="I364" s="225"/>
      <c r="J364" s="4"/>
      <c r="K364" s="4"/>
      <c r="L364" s="4"/>
      <c r="M364" s="225"/>
      <c r="N364" s="225"/>
      <c r="O364" s="225"/>
      <c r="P364" s="4"/>
      <c r="Q364" s="4"/>
      <c r="R364" s="4"/>
      <c r="S364" s="4"/>
      <c r="T364" s="4"/>
      <c r="U364" s="194"/>
      <c r="V364" s="4"/>
      <c r="W364" s="4"/>
      <c r="X364" s="4"/>
      <c r="Y364" s="4"/>
      <c r="Z364" s="4"/>
    </row>
    <row r="365" customFormat="false" ht="15.75" hidden="false" customHeight="true" outlineLevel="0" collapsed="false">
      <c r="A365" s="4"/>
      <c r="B365" s="4"/>
      <c r="C365" s="4"/>
      <c r="D365" s="4"/>
      <c r="E365" s="4"/>
      <c r="F365" s="4"/>
      <c r="G365" s="194"/>
      <c r="H365" s="225"/>
      <c r="I365" s="225"/>
      <c r="J365" s="4"/>
      <c r="K365" s="4"/>
      <c r="L365" s="4"/>
      <c r="M365" s="225"/>
      <c r="N365" s="225"/>
      <c r="O365" s="225"/>
      <c r="P365" s="4"/>
      <c r="Q365" s="4"/>
      <c r="R365" s="4"/>
      <c r="S365" s="4"/>
      <c r="T365" s="4"/>
      <c r="U365" s="194"/>
      <c r="V365" s="4"/>
      <c r="W365" s="4"/>
      <c r="X365" s="4"/>
      <c r="Y365" s="4"/>
      <c r="Z365" s="4"/>
    </row>
    <row r="366" customFormat="false" ht="15.75" hidden="false" customHeight="true" outlineLevel="0" collapsed="false">
      <c r="A366" s="4"/>
      <c r="B366" s="4"/>
      <c r="C366" s="4"/>
      <c r="D366" s="4"/>
      <c r="E366" s="4"/>
      <c r="F366" s="4"/>
      <c r="G366" s="194"/>
      <c r="H366" s="225"/>
      <c r="I366" s="225"/>
      <c r="J366" s="4"/>
      <c r="K366" s="4"/>
      <c r="L366" s="4"/>
      <c r="M366" s="225"/>
      <c r="N366" s="225"/>
      <c r="O366" s="225"/>
      <c r="P366" s="4"/>
      <c r="Q366" s="4"/>
      <c r="R366" s="4"/>
      <c r="S366" s="4"/>
      <c r="T366" s="4"/>
      <c r="U366" s="194"/>
      <c r="V366" s="4"/>
      <c r="W366" s="4"/>
      <c r="X366" s="4"/>
      <c r="Y366" s="4"/>
      <c r="Z366" s="4"/>
    </row>
    <row r="367" customFormat="false" ht="15.75" hidden="false" customHeight="true" outlineLevel="0" collapsed="false">
      <c r="A367" s="4"/>
      <c r="B367" s="4"/>
      <c r="C367" s="4"/>
      <c r="D367" s="4"/>
      <c r="E367" s="4"/>
      <c r="F367" s="4"/>
      <c r="G367" s="194"/>
      <c r="H367" s="225"/>
      <c r="I367" s="225"/>
      <c r="J367" s="4"/>
      <c r="K367" s="4"/>
      <c r="L367" s="4"/>
      <c r="M367" s="225"/>
      <c r="N367" s="225"/>
      <c r="O367" s="225"/>
      <c r="P367" s="4"/>
      <c r="Q367" s="4"/>
      <c r="R367" s="4"/>
      <c r="S367" s="4"/>
      <c r="T367" s="4"/>
      <c r="U367" s="194"/>
      <c r="V367" s="4"/>
      <c r="W367" s="4"/>
      <c r="X367" s="4"/>
      <c r="Y367" s="4"/>
      <c r="Z367" s="4"/>
    </row>
    <row r="368" customFormat="false" ht="15.75" hidden="false" customHeight="true" outlineLevel="0" collapsed="false">
      <c r="A368" s="4"/>
      <c r="B368" s="4"/>
      <c r="C368" s="4"/>
      <c r="D368" s="4"/>
      <c r="E368" s="4"/>
      <c r="F368" s="4"/>
      <c r="G368" s="194"/>
      <c r="H368" s="225"/>
      <c r="I368" s="225"/>
      <c r="J368" s="4"/>
      <c r="K368" s="4"/>
      <c r="L368" s="4"/>
      <c r="M368" s="225"/>
      <c r="N368" s="225"/>
      <c r="O368" s="225"/>
      <c r="P368" s="4"/>
      <c r="Q368" s="4"/>
      <c r="R368" s="4"/>
      <c r="S368" s="4"/>
      <c r="T368" s="4"/>
      <c r="U368" s="194"/>
      <c r="V368" s="4"/>
      <c r="W368" s="4"/>
      <c r="X368" s="4"/>
      <c r="Y368" s="4"/>
      <c r="Z368" s="4"/>
    </row>
    <row r="369" customFormat="false" ht="15.75" hidden="false" customHeight="true" outlineLevel="0" collapsed="false">
      <c r="A369" s="4"/>
      <c r="B369" s="4"/>
      <c r="C369" s="4"/>
      <c r="D369" s="4"/>
      <c r="E369" s="4"/>
      <c r="F369" s="4"/>
      <c r="G369" s="194"/>
      <c r="H369" s="225"/>
      <c r="I369" s="225"/>
      <c r="J369" s="4"/>
      <c r="K369" s="4"/>
      <c r="L369" s="4"/>
      <c r="M369" s="225"/>
      <c r="N369" s="225"/>
      <c r="O369" s="225"/>
      <c r="P369" s="4"/>
      <c r="Q369" s="4"/>
      <c r="R369" s="4"/>
      <c r="S369" s="4"/>
      <c r="T369" s="4"/>
      <c r="U369" s="194"/>
      <c r="V369" s="4"/>
      <c r="W369" s="4"/>
      <c r="X369" s="4"/>
      <c r="Y369" s="4"/>
      <c r="Z369" s="4"/>
    </row>
    <row r="370" customFormat="false" ht="15.75" hidden="false" customHeight="true" outlineLevel="0" collapsed="false">
      <c r="A370" s="4"/>
      <c r="B370" s="4"/>
      <c r="C370" s="4"/>
      <c r="D370" s="4"/>
      <c r="E370" s="4"/>
      <c r="F370" s="4"/>
      <c r="G370" s="194"/>
      <c r="H370" s="225"/>
      <c r="I370" s="225"/>
      <c r="J370" s="4"/>
      <c r="K370" s="4"/>
      <c r="L370" s="4"/>
      <c r="M370" s="225"/>
      <c r="N370" s="225"/>
      <c r="O370" s="225"/>
      <c r="P370" s="4"/>
      <c r="Q370" s="4"/>
      <c r="R370" s="4"/>
      <c r="S370" s="4"/>
      <c r="T370" s="4"/>
      <c r="U370" s="194"/>
      <c r="V370" s="4"/>
      <c r="W370" s="4"/>
      <c r="X370" s="4"/>
      <c r="Y370" s="4"/>
      <c r="Z370" s="4"/>
    </row>
    <row r="371" customFormat="false" ht="15.75" hidden="false" customHeight="true" outlineLevel="0" collapsed="false">
      <c r="A371" s="4"/>
      <c r="B371" s="4"/>
      <c r="C371" s="4"/>
      <c r="D371" s="4"/>
      <c r="E371" s="4"/>
      <c r="F371" s="4"/>
      <c r="G371" s="194"/>
      <c r="H371" s="225"/>
      <c r="I371" s="225"/>
      <c r="J371" s="4"/>
      <c r="K371" s="4"/>
      <c r="L371" s="4"/>
      <c r="M371" s="225"/>
      <c r="N371" s="225"/>
      <c r="O371" s="225"/>
      <c r="P371" s="4"/>
      <c r="Q371" s="4"/>
      <c r="R371" s="4"/>
      <c r="S371" s="4"/>
      <c r="T371" s="4"/>
      <c r="U371" s="194"/>
      <c r="V371" s="4"/>
      <c r="W371" s="4"/>
      <c r="X371" s="4"/>
      <c r="Y371" s="4"/>
      <c r="Z371" s="4"/>
    </row>
    <row r="372" customFormat="false" ht="15.75" hidden="false" customHeight="true" outlineLevel="0" collapsed="false">
      <c r="A372" s="4"/>
      <c r="B372" s="4"/>
      <c r="C372" s="4"/>
      <c r="D372" s="4"/>
      <c r="E372" s="4"/>
      <c r="F372" s="4"/>
      <c r="G372" s="194"/>
      <c r="H372" s="225"/>
      <c r="I372" s="225"/>
      <c r="J372" s="4"/>
      <c r="K372" s="4"/>
      <c r="L372" s="4"/>
      <c r="M372" s="225"/>
      <c r="N372" s="225"/>
      <c r="O372" s="225"/>
      <c r="P372" s="4"/>
      <c r="Q372" s="4"/>
      <c r="R372" s="4"/>
      <c r="S372" s="4"/>
      <c r="T372" s="4"/>
      <c r="U372" s="194"/>
      <c r="V372" s="4"/>
      <c r="W372" s="4"/>
      <c r="X372" s="4"/>
      <c r="Y372" s="4"/>
      <c r="Z372" s="4"/>
    </row>
    <row r="373" customFormat="false" ht="15.75" hidden="false" customHeight="true" outlineLevel="0" collapsed="false">
      <c r="A373" s="4"/>
      <c r="B373" s="4"/>
      <c r="C373" s="4"/>
      <c r="D373" s="4"/>
      <c r="E373" s="4"/>
      <c r="F373" s="4"/>
      <c r="G373" s="194"/>
      <c r="H373" s="225"/>
      <c r="I373" s="225"/>
      <c r="J373" s="4"/>
      <c r="K373" s="4"/>
      <c r="L373" s="4"/>
      <c r="M373" s="225"/>
      <c r="N373" s="225"/>
      <c r="O373" s="225"/>
      <c r="P373" s="4"/>
      <c r="Q373" s="4"/>
      <c r="R373" s="4"/>
      <c r="S373" s="4"/>
      <c r="T373" s="4"/>
      <c r="U373" s="194"/>
      <c r="V373" s="4"/>
      <c r="W373" s="4"/>
      <c r="X373" s="4"/>
      <c r="Y373" s="4"/>
      <c r="Z373" s="4"/>
    </row>
    <row r="374" customFormat="false" ht="15.75" hidden="false" customHeight="true" outlineLevel="0" collapsed="false">
      <c r="A374" s="4"/>
      <c r="B374" s="4"/>
      <c r="C374" s="4"/>
      <c r="D374" s="4"/>
      <c r="E374" s="4"/>
      <c r="F374" s="4"/>
      <c r="G374" s="194"/>
      <c r="H374" s="225"/>
      <c r="I374" s="225"/>
      <c r="J374" s="4"/>
      <c r="K374" s="4"/>
      <c r="L374" s="4"/>
      <c r="M374" s="225"/>
      <c r="N374" s="225"/>
      <c r="O374" s="225"/>
      <c r="P374" s="4"/>
      <c r="Q374" s="4"/>
      <c r="R374" s="4"/>
      <c r="S374" s="4"/>
      <c r="T374" s="4"/>
      <c r="U374" s="194"/>
      <c r="V374" s="4"/>
      <c r="W374" s="4"/>
      <c r="X374" s="4"/>
      <c r="Y374" s="4"/>
      <c r="Z374" s="4"/>
    </row>
    <row r="375" customFormat="false" ht="15.75" hidden="false" customHeight="true" outlineLevel="0" collapsed="false">
      <c r="A375" s="4"/>
      <c r="B375" s="4"/>
      <c r="C375" s="4"/>
      <c r="D375" s="4"/>
      <c r="E375" s="4"/>
      <c r="F375" s="4"/>
      <c r="G375" s="194"/>
      <c r="H375" s="225"/>
      <c r="I375" s="225"/>
      <c r="J375" s="4"/>
      <c r="K375" s="4"/>
      <c r="L375" s="4"/>
      <c r="M375" s="225"/>
      <c r="N375" s="225"/>
      <c r="O375" s="225"/>
      <c r="P375" s="4"/>
      <c r="Q375" s="4"/>
      <c r="R375" s="4"/>
      <c r="S375" s="4"/>
      <c r="T375" s="4"/>
      <c r="U375" s="194"/>
      <c r="V375" s="4"/>
      <c r="W375" s="4"/>
      <c r="X375" s="4"/>
      <c r="Y375" s="4"/>
      <c r="Z375" s="4"/>
    </row>
    <row r="376" customFormat="false" ht="15.75" hidden="false" customHeight="true" outlineLevel="0" collapsed="false">
      <c r="A376" s="4"/>
      <c r="B376" s="4"/>
      <c r="C376" s="4"/>
      <c r="D376" s="4"/>
      <c r="E376" s="4"/>
      <c r="F376" s="4"/>
      <c r="G376" s="194"/>
      <c r="H376" s="225"/>
      <c r="I376" s="225"/>
      <c r="J376" s="4"/>
      <c r="K376" s="4"/>
      <c r="L376" s="4"/>
      <c r="M376" s="225"/>
      <c r="N376" s="225"/>
      <c r="O376" s="225"/>
      <c r="P376" s="4"/>
      <c r="Q376" s="4"/>
      <c r="R376" s="4"/>
      <c r="S376" s="4"/>
      <c r="T376" s="4"/>
      <c r="U376" s="194"/>
      <c r="V376" s="4"/>
      <c r="W376" s="4"/>
      <c r="X376" s="4"/>
      <c r="Y376" s="4"/>
      <c r="Z376" s="4"/>
    </row>
    <row r="377" customFormat="false" ht="15.75" hidden="false" customHeight="true" outlineLevel="0" collapsed="false">
      <c r="A377" s="4"/>
      <c r="B377" s="4"/>
      <c r="C377" s="4"/>
      <c r="D377" s="4"/>
      <c r="E377" s="4"/>
      <c r="F377" s="4"/>
      <c r="G377" s="194"/>
      <c r="H377" s="225"/>
      <c r="I377" s="225"/>
      <c r="J377" s="4"/>
      <c r="K377" s="4"/>
      <c r="L377" s="4"/>
      <c r="M377" s="225"/>
      <c r="N377" s="225"/>
      <c r="O377" s="225"/>
      <c r="P377" s="4"/>
      <c r="Q377" s="4"/>
      <c r="R377" s="4"/>
      <c r="S377" s="4"/>
      <c r="T377" s="4"/>
      <c r="U377" s="194"/>
      <c r="V377" s="4"/>
      <c r="W377" s="4"/>
      <c r="X377" s="4"/>
      <c r="Y377" s="4"/>
      <c r="Z377" s="4"/>
    </row>
    <row r="378" customFormat="false" ht="15.75" hidden="false" customHeight="true" outlineLevel="0" collapsed="false">
      <c r="A378" s="4"/>
      <c r="B378" s="4"/>
      <c r="C378" s="4"/>
      <c r="D378" s="4"/>
      <c r="E378" s="4"/>
      <c r="F378" s="4"/>
      <c r="G378" s="194"/>
      <c r="H378" s="225"/>
      <c r="I378" s="225"/>
      <c r="J378" s="4"/>
      <c r="K378" s="4"/>
      <c r="L378" s="4"/>
      <c r="M378" s="225"/>
      <c r="N378" s="225"/>
      <c r="O378" s="225"/>
      <c r="P378" s="4"/>
      <c r="Q378" s="4"/>
      <c r="R378" s="4"/>
      <c r="S378" s="4"/>
      <c r="T378" s="4"/>
      <c r="U378" s="194"/>
      <c r="V378" s="4"/>
      <c r="W378" s="4"/>
      <c r="X378" s="4"/>
      <c r="Y378" s="4"/>
      <c r="Z378" s="4"/>
    </row>
    <row r="379" customFormat="false" ht="15.75" hidden="false" customHeight="true" outlineLevel="0" collapsed="false">
      <c r="A379" s="4"/>
      <c r="B379" s="4"/>
      <c r="C379" s="4"/>
      <c r="D379" s="4"/>
      <c r="E379" s="4"/>
      <c r="F379" s="4"/>
      <c r="G379" s="194"/>
      <c r="H379" s="225"/>
      <c r="I379" s="225"/>
      <c r="J379" s="4"/>
      <c r="K379" s="4"/>
      <c r="L379" s="4"/>
      <c r="M379" s="225"/>
      <c r="N379" s="225"/>
      <c r="O379" s="225"/>
      <c r="P379" s="4"/>
      <c r="Q379" s="4"/>
      <c r="R379" s="4"/>
      <c r="S379" s="4"/>
      <c r="T379" s="4"/>
      <c r="U379" s="194"/>
      <c r="V379" s="4"/>
      <c r="W379" s="4"/>
      <c r="X379" s="4"/>
      <c r="Y379" s="4"/>
      <c r="Z379" s="4"/>
    </row>
    <row r="380" customFormat="false" ht="15.75" hidden="false" customHeight="true" outlineLevel="0" collapsed="false">
      <c r="A380" s="4"/>
      <c r="B380" s="4"/>
      <c r="C380" s="4"/>
      <c r="D380" s="4"/>
      <c r="E380" s="4"/>
      <c r="F380" s="4"/>
      <c r="G380" s="194"/>
      <c r="H380" s="225"/>
      <c r="I380" s="225"/>
      <c r="J380" s="4"/>
      <c r="K380" s="4"/>
      <c r="L380" s="4"/>
      <c r="M380" s="225"/>
      <c r="N380" s="225"/>
      <c r="O380" s="225"/>
      <c r="P380" s="4"/>
      <c r="Q380" s="4"/>
      <c r="R380" s="4"/>
      <c r="S380" s="4"/>
      <c r="T380" s="4"/>
      <c r="U380" s="194"/>
      <c r="V380" s="4"/>
      <c r="W380" s="4"/>
      <c r="X380" s="4"/>
      <c r="Y380" s="4"/>
      <c r="Z380" s="4"/>
    </row>
    <row r="381" customFormat="false" ht="15.75" hidden="false" customHeight="true" outlineLevel="0" collapsed="false">
      <c r="A381" s="4"/>
      <c r="B381" s="4"/>
      <c r="C381" s="4"/>
      <c r="D381" s="4"/>
      <c r="E381" s="4"/>
      <c r="F381" s="4"/>
      <c r="G381" s="194"/>
      <c r="H381" s="225"/>
      <c r="I381" s="225"/>
      <c r="J381" s="4"/>
      <c r="K381" s="4"/>
      <c r="L381" s="4"/>
      <c r="M381" s="225"/>
      <c r="N381" s="225"/>
      <c r="O381" s="225"/>
      <c r="P381" s="4"/>
      <c r="Q381" s="4"/>
      <c r="R381" s="4"/>
      <c r="S381" s="4"/>
      <c r="T381" s="4"/>
      <c r="U381" s="194"/>
      <c r="V381" s="4"/>
      <c r="W381" s="4"/>
      <c r="X381" s="4"/>
      <c r="Y381" s="4"/>
      <c r="Z381" s="4"/>
    </row>
    <row r="382" customFormat="false" ht="15.75" hidden="false" customHeight="true" outlineLevel="0" collapsed="false">
      <c r="A382" s="4"/>
      <c r="B382" s="4"/>
      <c r="C382" s="4"/>
      <c r="D382" s="4"/>
      <c r="E382" s="4"/>
      <c r="F382" s="4"/>
      <c r="G382" s="194"/>
      <c r="H382" s="225"/>
      <c r="I382" s="225"/>
      <c r="J382" s="4"/>
      <c r="K382" s="4"/>
      <c r="L382" s="4"/>
      <c r="M382" s="225"/>
      <c r="N382" s="225"/>
      <c r="O382" s="225"/>
      <c r="P382" s="4"/>
      <c r="Q382" s="4"/>
      <c r="R382" s="4"/>
      <c r="S382" s="4"/>
      <c r="T382" s="4"/>
      <c r="U382" s="194"/>
      <c r="V382" s="4"/>
      <c r="W382" s="4"/>
      <c r="X382" s="4"/>
      <c r="Y382" s="4"/>
      <c r="Z382" s="4"/>
    </row>
    <row r="383" customFormat="false" ht="15.75" hidden="false" customHeight="true" outlineLevel="0" collapsed="false">
      <c r="A383" s="4"/>
      <c r="B383" s="4"/>
      <c r="C383" s="4"/>
      <c r="D383" s="4"/>
      <c r="E383" s="4"/>
      <c r="F383" s="4"/>
      <c r="G383" s="194"/>
      <c r="H383" s="225"/>
      <c r="I383" s="225"/>
      <c r="J383" s="4"/>
      <c r="K383" s="4"/>
      <c r="L383" s="4"/>
      <c r="M383" s="225"/>
      <c r="N383" s="225"/>
      <c r="O383" s="225"/>
      <c r="P383" s="4"/>
      <c r="Q383" s="4"/>
      <c r="R383" s="4"/>
      <c r="S383" s="4"/>
      <c r="T383" s="4"/>
      <c r="U383" s="194"/>
      <c r="V383" s="4"/>
      <c r="W383" s="4"/>
      <c r="X383" s="4"/>
      <c r="Y383" s="4"/>
      <c r="Z383" s="4"/>
    </row>
    <row r="384" customFormat="false" ht="15.75" hidden="false" customHeight="true" outlineLevel="0" collapsed="false">
      <c r="A384" s="4"/>
      <c r="B384" s="4"/>
      <c r="C384" s="4"/>
      <c r="D384" s="4"/>
      <c r="E384" s="4"/>
      <c r="F384" s="4"/>
      <c r="G384" s="194"/>
      <c r="H384" s="225"/>
      <c r="I384" s="225"/>
      <c r="J384" s="4"/>
      <c r="K384" s="4"/>
      <c r="L384" s="4"/>
      <c r="M384" s="225"/>
      <c r="N384" s="225"/>
      <c r="O384" s="225"/>
      <c r="P384" s="4"/>
      <c r="Q384" s="4"/>
      <c r="R384" s="4"/>
      <c r="S384" s="4"/>
      <c r="T384" s="4"/>
      <c r="U384" s="194"/>
      <c r="V384" s="4"/>
      <c r="W384" s="4"/>
      <c r="X384" s="4"/>
      <c r="Y384" s="4"/>
      <c r="Z384" s="4"/>
    </row>
    <row r="385" customFormat="false" ht="15.75" hidden="false" customHeight="true" outlineLevel="0" collapsed="false">
      <c r="A385" s="4"/>
      <c r="B385" s="4"/>
      <c r="C385" s="4"/>
      <c r="D385" s="4"/>
      <c r="E385" s="4"/>
      <c r="F385" s="4"/>
      <c r="G385" s="194"/>
      <c r="H385" s="225"/>
      <c r="I385" s="225"/>
      <c r="J385" s="4"/>
      <c r="K385" s="4"/>
      <c r="L385" s="4"/>
      <c r="M385" s="225"/>
      <c r="N385" s="225"/>
      <c r="O385" s="225"/>
      <c r="P385" s="4"/>
      <c r="Q385" s="4"/>
      <c r="R385" s="4"/>
      <c r="S385" s="4"/>
      <c r="T385" s="4"/>
      <c r="U385" s="194"/>
      <c r="V385" s="4"/>
      <c r="W385" s="4"/>
      <c r="X385" s="4"/>
      <c r="Y385" s="4"/>
      <c r="Z385" s="4"/>
    </row>
    <row r="386" customFormat="false" ht="15.75" hidden="false" customHeight="true" outlineLevel="0" collapsed="false">
      <c r="A386" s="4"/>
      <c r="B386" s="4"/>
      <c r="C386" s="4"/>
      <c r="D386" s="4"/>
      <c r="E386" s="4"/>
      <c r="F386" s="4"/>
      <c r="G386" s="194"/>
      <c r="H386" s="225"/>
      <c r="I386" s="225"/>
      <c r="J386" s="4"/>
      <c r="K386" s="4"/>
      <c r="L386" s="4"/>
      <c r="M386" s="225"/>
      <c r="N386" s="225"/>
      <c r="O386" s="225"/>
      <c r="P386" s="4"/>
      <c r="Q386" s="4"/>
      <c r="R386" s="4"/>
      <c r="S386" s="4"/>
      <c r="T386" s="4"/>
      <c r="U386" s="194"/>
      <c r="V386" s="4"/>
      <c r="W386" s="4"/>
      <c r="X386" s="4"/>
      <c r="Y386" s="4"/>
      <c r="Z386" s="4"/>
    </row>
    <row r="387" customFormat="false" ht="15.75" hidden="false" customHeight="true" outlineLevel="0" collapsed="false">
      <c r="A387" s="4"/>
      <c r="B387" s="4"/>
      <c r="C387" s="4"/>
      <c r="D387" s="4"/>
      <c r="E387" s="4"/>
      <c r="F387" s="4"/>
      <c r="G387" s="194"/>
      <c r="H387" s="225"/>
      <c r="I387" s="225"/>
      <c r="J387" s="4"/>
      <c r="K387" s="4"/>
      <c r="L387" s="4"/>
      <c r="M387" s="225"/>
      <c r="N387" s="225"/>
      <c r="O387" s="225"/>
      <c r="P387" s="4"/>
      <c r="Q387" s="4"/>
      <c r="R387" s="4"/>
      <c r="S387" s="4"/>
      <c r="T387" s="4"/>
      <c r="U387" s="194"/>
      <c r="V387" s="4"/>
      <c r="W387" s="4"/>
      <c r="X387" s="4"/>
      <c r="Y387" s="4"/>
      <c r="Z387" s="4"/>
    </row>
    <row r="388" customFormat="false" ht="15.75" hidden="false" customHeight="true" outlineLevel="0" collapsed="false">
      <c r="A388" s="4"/>
      <c r="B388" s="4"/>
      <c r="C388" s="4"/>
      <c r="D388" s="4"/>
      <c r="E388" s="4"/>
      <c r="F388" s="4"/>
      <c r="G388" s="194"/>
      <c r="H388" s="225"/>
      <c r="I388" s="225"/>
      <c r="J388" s="4"/>
      <c r="K388" s="4"/>
      <c r="L388" s="4"/>
      <c r="M388" s="225"/>
      <c r="N388" s="225"/>
      <c r="O388" s="225"/>
      <c r="P388" s="4"/>
      <c r="Q388" s="4"/>
      <c r="R388" s="4"/>
      <c r="S388" s="4"/>
      <c r="T388" s="4"/>
      <c r="U388" s="194"/>
      <c r="V388" s="4"/>
      <c r="W388" s="4"/>
      <c r="X388" s="4"/>
      <c r="Y388" s="4"/>
      <c r="Z388" s="4"/>
    </row>
    <row r="389" customFormat="false" ht="15.75" hidden="false" customHeight="true" outlineLevel="0" collapsed="false">
      <c r="A389" s="4"/>
      <c r="B389" s="4"/>
      <c r="C389" s="4"/>
      <c r="D389" s="4"/>
      <c r="E389" s="4"/>
      <c r="F389" s="4"/>
      <c r="G389" s="194"/>
      <c r="H389" s="225"/>
      <c r="I389" s="225"/>
      <c r="J389" s="4"/>
      <c r="K389" s="4"/>
      <c r="L389" s="4"/>
      <c r="M389" s="225"/>
      <c r="N389" s="225"/>
      <c r="O389" s="225"/>
      <c r="P389" s="4"/>
      <c r="Q389" s="4"/>
      <c r="R389" s="4"/>
      <c r="S389" s="4"/>
      <c r="T389" s="4"/>
      <c r="U389" s="194"/>
      <c r="V389" s="4"/>
      <c r="W389" s="4"/>
      <c r="X389" s="4"/>
      <c r="Y389" s="4"/>
      <c r="Z389" s="4"/>
    </row>
    <row r="390" customFormat="false" ht="15.75" hidden="false" customHeight="true" outlineLevel="0" collapsed="false">
      <c r="A390" s="4"/>
      <c r="B390" s="4"/>
      <c r="C390" s="4"/>
      <c r="D390" s="4"/>
      <c r="E390" s="4"/>
      <c r="F390" s="4"/>
      <c r="G390" s="194"/>
      <c r="H390" s="225"/>
      <c r="I390" s="225"/>
      <c r="J390" s="4"/>
      <c r="K390" s="4"/>
      <c r="L390" s="4"/>
      <c r="M390" s="225"/>
      <c r="N390" s="225"/>
      <c r="O390" s="225"/>
      <c r="P390" s="4"/>
      <c r="Q390" s="4"/>
      <c r="R390" s="4"/>
      <c r="S390" s="4"/>
      <c r="T390" s="4"/>
      <c r="U390" s="194"/>
      <c r="V390" s="4"/>
      <c r="W390" s="4"/>
      <c r="X390" s="4"/>
      <c r="Y390" s="4"/>
      <c r="Z390" s="4"/>
    </row>
    <row r="391" customFormat="false" ht="15.75" hidden="false" customHeight="true" outlineLevel="0" collapsed="false">
      <c r="A391" s="4"/>
      <c r="B391" s="4"/>
      <c r="C391" s="4"/>
      <c r="D391" s="4"/>
      <c r="E391" s="4"/>
      <c r="F391" s="4"/>
      <c r="G391" s="194"/>
      <c r="H391" s="225"/>
      <c r="I391" s="225"/>
      <c r="J391" s="4"/>
      <c r="K391" s="4"/>
      <c r="L391" s="4"/>
      <c r="M391" s="225"/>
      <c r="N391" s="225"/>
      <c r="O391" s="225"/>
      <c r="P391" s="4"/>
      <c r="Q391" s="4"/>
      <c r="R391" s="4"/>
      <c r="S391" s="4"/>
      <c r="T391" s="4"/>
      <c r="U391" s="194"/>
      <c r="V391" s="4"/>
      <c r="W391" s="4"/>
      <c r="X391" s="4"/>
      <c r="Y391" s="4"/>
      <c r="Z391" s="4"/>
    </row>
    <row r="392" customFormat="false" ht="15.75" hidden="false" customHeight="true" outlineLevel="0" collapsed="false">
      <c r="A392" s="4"/>
      <c r="B392" s="4"/>
      <c r="C392" s="4"/>
      <c r="D392" s="4"/>
      <c r="E392" s="4"/>
      <c r="F392" s="4"/>
      <c r="G392" s="194"/>
      <c r="H392" s="225"/>
      <c r="I392" s="225"/>
      <c r="J392" s="4"/>
      <c r="K392" s="4"/>
      <c r="L392" s="4"/>
      <c r="M392" s="225"/>
      <c r="N392" s="225"/>
      <c r="O392" s="225"/>
      <c r="P392" s="4"/>
      <c r="Q392" s="4"/>
      <c r="R392" s="4"/>
      <c r="S392" s="4"/>
      <c r="T392" s="4"/>
      <c r="U392" s="194"/>
      <c r="V392" s="4"/>
      <c r="W392" s="4"/>
      <c r="X392" s="4"/>
      <c r="Y392" s="4"/>
      <c r="Z392" s="4"/>
    </row>
    <row r="393" customFormat="false" ht="15.75" hidden="false" customHeight="true" outlineLevel="0" collapsed="false">
      <c r="A393" s="4"/>
      <c r="B393" s="4"/>
      <c r="C393" s="4"/>
      <c r="D393" s="4"/>
      <c r="E393" s="4"/>
      <c r="F393" s="4"/>
      <c r="G393" s="194"/>
      <c r="H393" s="225"/>
      <c r="I393" s="225"/>
      <c r="J393" s="4"/>
      <c r="K393" s="4"/>
      <c r="L393" s="4"/>
      <c r="M393" s="225"/>
      <c r="N393" s="225"/>
      <c r="O393" s="225"/>
      <c r="P393" s="4"/>
      <c r="Q393" s="4"/>
      <c r="R393" s="4"/>
      <c r="S393" s="4"/>
      <c r="T393" s="4"/>
      <c r="U393" s="194"/>
      <c r="V393" s="4"/>
      <c r="W393" s="4"/>
      <c r="X393" s="4"/>
      <c r="Y393" s="4"/>
      <c r="Z393" s="4"/>
    </row>
    <row r="394" customFormat="false" ht="15.75" hidden="false" customHeight="true" outlineLevel="0" collapsed="false">
      <c r="A394" s="4"/>
      <c r="B394" s="4"/>
      <c r="C394" s="4"/>
      <c r="D394" s="4"/>
      <c r="E394" s="4"/>
      <c r="F394" s="4"/>
      <c r="G394" s="194"/>
      <c r="H394" s="225"/>
      <c r="I394" s="225"/>
      <c r="J394" s="4"/>
      <c r="K394" s="4"/>
      <c r="L394" s="4"/>
      <c r="M394" s="225"/>
      <c r="N394" s="225"/>
      <c r="O394" s="225"/>
      <c r="P394" s="4"/>
      <c r="Q394" s="4"/>
      <c r="R394" s="4"/>
      <c r="S394" s="4"/>
      <c r="T394" s="4"/>
      <c r="U394" s="194"/>
      <c r="V394" s="4"/>
      <c r="W394" s="4"/>
      <c r="X394" s="4"/>
      <c r="Y394" s="4"/>
      <c r="Z394" s="4"/>
    </row>
    <row r="395" customFormat="false" ht="15.75" hidden="false" customHeight="true" outlineLevel="0" collapsed="false">
      <c r="A395" s="4"/>
      <c r="B395" s="4"/>
      <c r="C395" s="4"/>
      <c r="D395" s="4"/>
      <c r="E395" s="4"/>
      <c r="F395" s="4"/>
      <c r="G395" s="194"/>
      <c r="H395" s="225"/>
      <c r="I395" s="225"/>
      <c r="J395" s="4"/>
      <c r="K395" s="4"/>
      <c r="L395" s="4"/>
      <c r="M395" s="225"/>
      <c r="N395" s="225"/>
      <c r="O395" s="225"/>
      <c r="P395" s="4"/>
      <c r="Q395" s="4"/>
      <c r="R395" s="4"/>
      <c r="S395" s="4"/>
      <c r="T395" s="4"/>
      <c r="U395" s="194"/>
      <c r="V395" s="4"/>
      <c r="W395" s="4"/>
      <c r="X395" s="4"/>
      <c r="Y395" s="4"/>
      <c r="Z395" s="4"/>
    </row>
    <row r="396" customFormat="false" ht="15.75" hidden="false" customHeight="true" outlineLevel="0" collapsed="false">
      <c r="A396" s="4"/>
      <c r="B396" s="4"/>
      <c r="C396" s="4"/>
      <c r="D396" s="4"/>
      <c r="E396" s="4"/>
      <c r="F396" s="4"/>
      <c r="G396" s="194"/>
      <c r="H396" s="225"/>
      <c r="I396" s="225"/>
      <c r="J396" s="4"/>
      <c r="K396" s="4"/>
      <c r="L396" s="4"/>
      <c r="M396" s="225"/>
      <c r="N396" s="225"/>
      <c r="O396" s="225"/>
      <c r="P396" s="4"/>
      <c r="Q396" s="4"/>
      <c r="R396" s="4"/>
      <c r="S396" s="4"/>
      <c r="T396" s="4"/>
      <c r="U396" s="194"/>
      <c r="V396" s="4"/>
      <c r="W396" s="4"/>
      <c r="X396" s="4"/>
      <c r="Y396" s="4"/>
      <c r="Z396" s="4"/>
    </row>
    <row r="397" customFormat="false" ht="15.75" hidden="false" customHeight="true" outlineLevel="0" collapsed="false">
      <c r="A397" s="4"/>
      <c r="B397" s="4"/>
      <c r="C397" s="4"/>
      <c r="D397" s="4"/>
      <c r="E397" s="4"/>
      <c r="F397" s="4"/>
      <c r="G397" s="194"/>
      <c r="H397" s="225"/>
      <c r="I397" s="225"/>
      <c r="J397" s="4"/>
      <c r="K397" s="4"/>
      <c r="L397" s="4"/>
      <c r="M397" s="225"/>
      <c r="N397" s="225"/>
      <c r="O397" s="225"/>
      <c r="P397" s="4"/>
      <c r="Q397" s="4"/>
      <c r="R397" s="4"/>
      <c r="S397" s="4"/>
      <c r="T397" s="4"/>
      <c r="U397" s="194"/>
      <c r="V397" s="4"/>
      <c r="W397" s="4"/>
      <c r="X397" s="4"/>
      <c r="Y397" s="4"/>
      <c r="Z397" s="4"/>
    </row>
    <row r="398" customFormat="false" ht="15.75" hidden="false" customHeight="true" outlineLevel="0" collapsed="false">
      <c r="A398" s="4"/>
      <c r="B398" s="4"/>
      <c r="C398" s="4"/>
      <c r="D398" s="4"/>
      <c r="E398" s="4"/>
      <c r="F398" s="4"/>
      <c r="G398" s="194"/>
      <c r="H398" s="225"/>
      <c r="I398" s="225"/>
      <c r="J398" s="4"/>
      <c r="K398" s="4"/>
      <c r="L398" s="4"/>
      <c r="M398" s="225"/>
      <c r="N398" s="225"/>
      <c r="O398" s="225"/>
      <c r="P398" s="4"/>
      <c r="Q398" s="4"/>
      <c r="R398" s="4"/>
      <c r="S398" s="4"/>
      <c r="T398" s="4"/>
      <c r="U398" s="194"/>
      <c r="V398" s="4"/>
      <c r="W398" s="4"/>
      <c r="X398" s="4"/>
      <c r="Y398" s="4"/>
      <c r="Z398" s="4"/>
    </row>
    <row r="399" customFormat="false" ht="15.75" hidden="false" customHeight="true" outlineLevel="0" collapsed="false">
      <c r="A399" s="4"/>
      <c r="B399" s="4"/>
      <c r="C399" s="4"/>
      <c r="D399" s="4"/>
      <c r="E399" s="4"/>
      <c r="F399" s="4"/>
      <c r="G399" s="194"/>
      <c r="H399" s="225"/>
      <c r="I399" s="225"/>
      <c r="J399" s="4"/>
      <c r="K399" s="4"/>
      <c r="L399" s="4"/>
      <c r="M399" s="225"/>
      <c r="N399" s="225"/>
      <c r="O399" s="225"/>
      <c r="P399" s="4"/>
      <c r="Q399" s="4"/>
      <c r="R399" s="4"/>
      <c r="S399" s="4"/>
      <c r="T399" s="4"/>
      <c r="U399" s="194"/>
      <c r="V399" s="4"/>
      <c r="W399" s="4"/>
      <c r="X399" s="4"/>
      <c r="Y399" s="4"/>
      <c r="Z399" s="4"/>
    </row>
    <row r="400" customFormat="false" ht="15.75" hidden="false" customHeight="true" outlineLevel="0" collapsed="false">
      <c r="A400" s="4"/>
      <c r="B400" s="4"/>
      <c r="C400" s="4"/>
      <c r="D400" s="4"/>
      <c r="E400" s="4"/>
      <c r="F400" s="4"/>
      <c r="G400" s="194"/>
      <c r="H400" s="225"/>
      <c r="I400" s="225"/>
      <c r="J400" s="4"/>
      <c r="K400" s="4"/>
      <c r="L400" s="4"/>
      <c r="M400" s="225"/>
      <c r="N400" s="225"/>
      <c r="O400" s="225"/>
      <c r="P400" s="4"/>
      <c r="Q400" s="4"/>
      <c r="R400" s="4"/>
      <c r="S400" s="4"/>
      <c r="T400" s="4"/>
      <c r="U400" s="194"/>
      <c r="V400" s="4"/>
      <c r="W400" s="4"/>
      <c r="X400" s="4"/>
      <c r="Y400" s="4"/>
      <c r="Z400" s="4"/>
    </row>
    <row r="401" customFormat="false" ht="15.75" hidden="false" customHeight="true" outlineLevel="0" collapsed="false">
      <c r="A401" s="4"/>
      <c r="B401" s="4"/>
      <c r="C401" s="4"/>
      <c r="D401" s="4"/>
      <c r="E401" s="4"/>
      <c r="F401" s="4"/>
      <c r="G401" s="194"/>
      <c r="H401" s="225"/>
      <c r="I401" s="225"/>
      <c r="J401" s="4"/>
      <c r="K401" s="4"/>
      <c r="L401" s="4"/>
      <c r="M401" s="225"/>
      <c r="N401" s="225"/>
      <c r="O401" s="225"/>
      <c r="P401" s="4"/>
      <c r="Q401" s="4"/>
      <c r="R401" s="4"/>
      <c r="S401" s="4"/>
      <c r="T401" s="4"/>
      <c r="U401" s="194"/>
      <c r="V401" s="4"/>
      <c r="W401" s="4"/>
      <c r="X401" s="4"/>
      <c r="Y401" s="4"/>
      <c r="Z401" s="4"/>
    </row>
    <row r="402" customFormat="false" ht="15.75" hidden="false" customHeight="true" outlineLevel="0" collapsed="false">
      <c r="A402" s="4"/>
      <c r="B402" s="4"/>
      <c r="C402" s="4"/>
      <c r="D402" s="4"/>
      <c r="E402" s="4"/>
      <c r="F402" s="4"/>
      <c r="G402" s="194"/>
      <c r="H402" s="225"/>
      <c r="I402" s="225"/>
      <c r="J402" s="4"/>
      <c r="K402" s="4"/>
      <c r="L402" s="4"/>
      <c r="M402" s="225"/>
      <c r="N402" s="225"/>
      <c r="O402" s="225"/>
      <c r="P402" s="4"/>
      <c r="Q402" s="4"/>
      <c r="R402" s="4"/>
      <c r="S402" s="4"/>
      <c r="T402" s="4"/>
      <c r="U402" s="194"/>
      <c r="V402" s="4"/>
      <c r="W402" s="4"/>
      <c r="X402" s="4"/>
      <c r="Y402" s="4"/>
      <c r="Z402" s="4"/>
    </row>
    <row r="403" customFormat="false" ht="15.75" hidden="false" customHeight="true" outlineLevel="0" collapsed="false">
      <c r="A403" s="4"/>
      <c r="B403" s="4"/>
      <c r="C403" s="4"/>
      <c r="D403" s="4"/>
      <c r="E403" s="4"/>
      <c r="F403" s="4"/>
      <c r="G403" s="194"/>
      <c r="H403" s="225"/>
      <c r="I403" s="225"/>
      <c r="J403" s="4"/>
      <c r="K403" s="4"/>
      <c r="L403" s="4"/>
      <c r="M403" s="225"/>
      <c r="N403" s="225"/>
      <c r="O403" s="225"/>
      <c r="P403" s="4"/>
      <c r="Q403" s="4"/>
      <c r="R403" s="4"/>
      <c r="S403" s="4"/>
      <c r="T403" s="4"/>
      <c r="U403" s="194"/>
      <c r="V403" s="4"/>
      <c r="W403" s="4"/>
      <c r="X403" s="4"/>
      <c r="Y403" s="4"/>
      <c r="Z403" s="4"/>
    </row>
    <row r="404" customFormat="false" ht="15.75" hidden="false" customHeight="true" outlineLevel="0" collapsed="false">
      <c r="A404" s="4"/>
      <c r="B404" s="4"/>
      <c r="C404" s="4"/>
      <c r="D404" s="4"/>
      <c r="E404" s="4"/>
      <c r="F404" s="4"/>
      <c r="G404" s="194"/>
      <c r="H404" s="225"/>
      <c r="I404" s="225"/>
      <c r="J404" s="4"/>
      <c r="K404" s="4"/>
      <c r="L404" s="4"/>
      <c r="M404" s="225"/>
      <c r="N404" s="225"/>
      <c r="O404" s="225"/>
      <c r="P404" s="4"/>
      <c r="Q404" s="4"/>
      <c r="R404" s="4"/>
      <c r="S404" s="4"/>
      <c r="T404" s="4"/>
      <c r="U404" s="194"/>
      <c r="V404" s="4"/>
      <c r="W404" s="4"/>
      <c r="X404" s="4"/>
      <c r="Y404" s="4"/>
      <c r="Z404" s="4"/>
    </row>
    <row r="405" customFormat="false" ht="15.75" hidden="false" customHeight="true" outlineLevel="0" collapsed="false">
      <c r="A405" s="4"/>
      <c r="B405" s="4"/>
      <c r="C405" s="4"/>
      <c r="D405" s="4"/>
      <c r="E405" s="4"/>
      <c r="F405" s="4"/>
      <c r="G405" s="194"/>
      <c r="H405" s="225"/>
      <c r="I405" s="225"/>
      <c r="J405" s="4"/>
      <c r="K405" s="4"/>
      <c r="L405" s="4"/>
      <c r="M405" s="225"/>
      <c r="N405" s="225"/>
      <c r="O405" s="225"/>
      <c r="P405" s="4"/>
      <c r="Q405" s="4"/>
      <c r="R405" s="4"/>
      <c r="S405" s="4"/>
      <c r="T405" s="4"/>
      <c r="U405" s="194"/>
      <c r="V405" s="4"/>
      <c r="W405" s="4"/>
      <c r="X405" s="4"/>
      <c r="Y405" s="4"/>
      <c r="Z405" s="4"/>
    </row>
    <row r="406" customFormat="false" ht="15.75" hidden="false" customHeight="true" outlineLevel="0" collapsed="false">
      <c r="A406" s="4"/>
      <c r="B406" s="4"/>
      <c r="C406" s="4"/>
      <c r="D406" s="4"/>
      <c r="E406" s="4"/>
      <c r="F406" s="4"/>
      <c r="G406" s="194"/>
      <c r="H406" s="225"/>
      <c r="I406" s="225"/>
      <c r="J406" s="4"/>
      <c r="K406" s="4"/>
      <c r="L406" s="4"/>
      <c r="M406" s="225"/>
      <c r="N406" s="225"/>
      <c r="O406" s="225"/>
      <c r="P406" s="4"/>
      <c r="Q406" s="4"/>
      <c r="R406" s="4"/>
      <c r="S406" s="4"/>
      <c r="T406" s="4"/>
      <c r="U406" s="194"/>
      <c r="V406" s="4"/>
      <c r="W406" s="4"/>
      <c r="X406" s="4"/>
      <c r="Y406" s="4"/>
      <c r="Z406" s="4"/>
    </row>
    <row r="407" customFormat="false" ht="15.75" hidden="false" customHeight="true" outlineLevel="0" collapsed="false">
      <c r="A407" s="4"/>
      <c r="B407" s="4"/>
      <c r="C407" s="4"/>
      <c r="D407" s="4"/>
      <c r="E407" s="4"/>
      <c r="F407" s="4"/>
      <c r="G407" s="194"/>
      <c r="H407" s="225"/>
      <c r="I407" s="225"/>
      <c r="J407" s="4"/>
      <c r="K407" s="4"/>
      <c r="L407" s="4"/>
      <c r="M407" s="225"/>
      <c r="N407" s="225"/>
      <c r="O407" s="225"/>
      <c r="P407" s="4"/>
      <c r="Q407" s="4"/>
      <c r="R407" s="4"/>
      <c r="S407" s="4"/>
      <c r="T407" s="4"/>
      <c r="U407" s="194"/>
      <c r="V407" s="4"/>
      <c r="W407" s="4"/>
      <c r="X407" s="4"/>
      <c r="Y407" s="4"/>
      <c r="Z407" s="4"/>
    </row>
    <row r="408" customFormat="false" ht="15.75" hidden="false" customHeight="true" outlineLevel="0" collapsed="false">
      <c r="A408" s="4"/>
      <c r="B408" s="4"/>
      <c r="C408" s="4"/>
      <c r="D408" s="4"/>
      <c r="E408" s="4"/>
      <c r="F408" s="4"/>
      <c r="G408" s="194"/>
      <c r="H408" s="225"/>
      <c r="I408" s="225"/>
      <c r="J408" s="4"/>
      <c r="K408" s="4"/>
      <c r="L408" s="4"/>
      <c r="M408" s="225"/>
      <c r="N408" s="225"/>
      <c r="O408" s="225"/>
      <c r="P408" s="4"/>
      <c r="Q408" s="4"/>
      <c r="R408" s="4"/>
      <c r="S408" s="4"/>
      <c r="T408" s="4"/>
      <c r="U408" s="194"/>
      <c r="V408" s="4"/>
      <c r="W408" s="4"/>
      <c r="X408" s="4"/>
      <c r="Y408" s="4"/>
      <c r="Z408" s="4"/>
    </row>
    <row r="409" customFormat="false" ht="15.75" hidden="false" customHeight="true" outlineLevel="0" collapsed="false">
      <c r="A409" s="4"/>
      <c r="B409" s="4"/>
      <c r="C409" s="4"/>
      <c r="D409" s="4"/>
      <c r="E409" s="4"/>
      <c r="F409" s="4"/>
      <c r="G409" s="194"/>
      <c r="H409" s="225"/>
      <c r="I409" s="225"/>
      <c r="J409" s="4"/>
      <c r="K409" s="4"/>
      <c r="L409" s="4"/>
      <c r="M409" s="225"/>
      <c r="N409" s="225"/>
      <c r="O409" s="225"/>
      <c r="P409" s="4"/>
      <c r="Q409" s="4"/>
      <c r="R409" s="4"/>
      <c r="S409" s="4"/>
      <c r="T409" s="4"/>
      <c r="U409" s="194"/>
      <c r="V409" s="4"/>
      <c r="W409" s="4"/>
      <c r="X409" s="4"/>
      <c r="Y409" s="4"/>
      <c r="Z409" s="4"/>
    </row>
    <row r="410" customFormat="false" ht="15.75" hidden="false" customHeight="true" outlineLevel="0" collapsed="false">
      <c r="A410" s="4"/>
      <c r="B410" s="4"/>
      <c r="C410" s="4"/>
      <c r="D410" s="4"/>
      <c r="E410" s="4"/>
      <c r="F410" s="4"/>
      <c r="G410" s="194"/>
      <c r="H410" s="225"/>
      <c r="I410" s="225"/>
      <c r="J410" s="4"/>
      <c r="K410" s="4"/>
      <c r="L410" s="4"/>
      <c r="M410" s="225"/>
      <c r="N410" s="225"/>
      <c r="O410" s="225"/>
      <c r="P410" s="4"/>
      <c r="Q410" s="4"/>
      <c r="R410" s="4"/>
      <c r="S410" s="4"/>
      <c r="T410" s="4"/>
      <c r="U410" s="194"/>
      <c r="V410" s="4"/>
      <c r="W410" s="4"/>
      <c r="X410" s="4"/>
      <c r="Y410" s="4"/>
      <c r="Z410" s="4"/>
    </row>
    <row r="411" customFormat="false" ht="15.75" hidden="false" customHeight="true" outlineLevel="0" collapsed="false">
      <c r="A411" s="4"/>
      <c r="B411" s="4"/>
      <c r="C411" s="4"/>
      <c r="D411" s="4"/>
      <c r="E411" s="4"/>
      <c r="F411" s="4"/>
      <c r="G411" s="194"/>
      <c r="H411" s="225"/>
      <c r="I411" s="225"/>
      <c r="J411" s="4"/>
      <c r="K411" s="4"/>
      <c r="L411" s="4"/>
      <c r="M411" s="225"/>
      <c r="N411" s="225"/>
      <c r="O411" s="225"/>
      <c r="P411" s="4"/>
      <c r="Q411" s="4"/>
      <c r="R411" s="4"/>
      <c r="S411" s="4"/>
      <c r="T411" s="4"/>
      <c r="U411" s="194"/>
      <c r="V411" s="4"/>
      <c r="W411" s="4"/>
      <c r="X411" s="4"/>
      <c r="Y411" s="4"/>
      <c r="Z411" s="4"/>
    </row>
    <row r="412" customFormat="false" ht="15.75" hidden="false" customHeight="true" outlineLevel="0" collapsed="false">
      <c r="A412" s="4"/>
      <c r="B412" s="4"/>
      <c r="C412" s="4"/>
      <c r="D412" s="4"/>
      <c r="E412" s="4"/>
      <c r="F412" s="4"/>
      <c r="G412" s="194"/>
      <c r="H412" s="225"/>
      <c r="I412" s="225"/>
      <c r="J412" s="4"/>
      <c r="K412" s="4"/>
      <c r="L412" s="4"/>
      <c r="M412" s="225"/>
      <c r="N412" s="225"/>
      <c r="O412" s="225"/>
      <c r="P412" s="4"/>
      <c r="Q412" s="4"/>
      <c r="R412" s="4"/>
      <c r="S412" s="4"/>
      <c r="T412" s="4"/>
      <c r="U412" s="194"/>
      <c r="V412" s="4"/>
      <c r="W412" s="4"/>
      <c r="X412" s="4"/>
      <c r="Y412" s="4"/>
      <c r="Z412" s="4"/>
    </row>
    <row r="413" customFormat="false" ht="15.75" hidden="false" customHeight="true" outlineLevel="0" collapsed="false">
      <c r="A413" s="4"/>
      <c r="B413" s="4"/>
      <c r="C413" s="4"/>
      <c r="D413" s="4"/>
      <c r="E413" s="4"/>
      <c r="F413" s="4"/>
      <c r="G413" s="194"/>
      <c r="H413" s="225"/>
      <c r="I413" s="225"/>
      <c r="J413" s="4"/>
      <c r="K413" s="4"/>
      <c r="L413" s="4"/>
      <c r="M413" s="225"/>
      <c r="N413" s="225"/>
      <c r="O413" s="225"/>
      <c r="P413" s="4"/>
      <c r="Q413" s="4"/>
      <c r="R413" s="4"/>
      <c r="S413" s="4"/>
      <c r="T413" s="4"/>
      <c r="U413" s="194"/>
      <c r="V413" s="4"/>
      <c r="W413" s="4"/>
      <c r="X413" s="4"/>
      <c r="Y413" s="4"/>
      <c r="Z413" s="4"/>
    </row>
    <row r="414" customFormat="false" ht="15.75" hidden="false" customHeight="true" outlineLevel="0" collapsed="false">
      <c r="A414" s="4"/>
      <c r="B414" s="4"/>
      <c r="C414" s="4"/>
      <c r="D414" s="4"/>
      <c r="E414" s="4"/>
      <c r="F414" s="4"/>
      <c r="G414" s="194"/>
      <c r="H414" s="225"/>
      <c r="I414" s="225"/>
      <c r="J414" s="4"/>
      <c r="K414" s="4"/>
      <c r="L414" s="4"/>
      <c r="M414" s="225"/>
      <c r="N414" s="225"/>
      <c r="O414" s="225"/>
      <c r="P414" s="4"/>
      <c r="Q414" s="4"/>
      <c r="R414" s="4"/>
      <c r="S414" s="4"/>
      <c r="T414" s="4"/>
      <c r="U414" s="194"/>
      <c r="V414" s="4"/>
      <c r="W414" s="4"/>
      <c r="X414" s="4"/>
      <c r="Y414" s="4"/>
      <c r="Z414" s="4"/>
    </row>
    <row r="415" customFormat="false" ht="15.75" hidden="false" customHeight="true" outlineLevel="0" collapsed="false">
      <c r="A415" s="4"/>
      <c r="B415" s="4"/>
      <c r="C415" s="4"/>
      <c r="D415" s="4"/>
      <c r="E415" s="4"/>
      <c r="F415" s="4"/>
      <c r="G415" s="194"/>
      <c r="H415" s="225"/>
      <c r="I415" s="225"/>
      <c r="J415" s="4"/>
      <c r="K415" s="4"/>
      <c r="L415" s="4"/>
      <c r="M415" s="225"/>
      <c r="N415" s="225"/>
      <c r="O415" s="225"/>
      <c r="P415" s="4"/>
      <c r="Q415" s="4"/>
      <c r="R415" s="4"/>
      <c r="S415" s="4"/>
      <c r="T415" s="4"/>
      <c r="U415" s="194"/>
      <c r="V415" s="4"/>
      <c r="W415" s="4"/>
      <c r="X415" s="4"/>
      <c r="Y415" s="4"/>
      <c r="Z415" s="4"/>
    </row>
    <row r="416" customFormat="false" ht="15.75" hidden="false" customHeight="true" outlineLevel="0" collapsed="false">
      <c r="A416" s="4"/>
      <c r="B416" s="4"/>
      <c r="C416" s="4"/>
      <c r="D416" s="4"/>
      <c r="E416" s="4"/>
      <c r="F416" s="4"/>
      <c r="G416" s="194"/>
      <c r="H416" s="225"/>
      <c r="I416" s="225"/>
      <c r="J416" s="4"/>
      <c r="K416" s="4"/>
      <c r="L416" s="4"/>
      <c r="M416" s="225"/>
      <c r="N416" s="225"/>
      <c r="O416" s="225"/>
      <c r="P416" s="4"/>
      <c r="Q416" s="4"/>
      <c r="R416" s="4"/>
      <c r="S416" s="4"/>
      <c r="T416" s="4"/>
      <c r="U416" s="194"/>
      <c r="V416" s="4"/>
      <c r="W416" s="4"/>
      <c r="X416" s="4"/>
      <c r="Y416" s="4"/>
      <c r="Z416" s="4"/>
    </row>
    <row r="417" customFormat="false" ht="15.75" hidden="false" customHeight="true" outlineLevel="0" collapsed="false">
      <c r="A417" s="4"/>
      <c r="B417" s="4"/>
      <c r="C417" s="4"/>
      <c r="D417" s="4"/>
      <c r="E417" s="4"/>
      <c r="F417" s="4"/>
      <c r="G417" s="194"/>
      <c r="H417" s="225"/>
      <c r="I417" s="225"/>
      <c r="J417" s="4"/>
      <c r="K417" s="4"/>
      <c r="L417" s="4"/>
      <c r="M417" s="225"/>
      <c r="N417" s="225"/>
      <c r="O417" s="225"/>
      <c r="P417" s="4"/>
      <c r="Q417" s="4"/>
      <c r="R417" s="4"/>
      <c r="S417" s="4"/>
      <c r="T417" s="4"/>
      <c r="U417" s="194"/>
      <c r="V417" s="4"/>
      <c r="W417" s="4"/>
      <c r="X417" s="4"/>
      <c r="Y417" s="4"/>
      <c r="Z417" s="4"/>
    </row>
    <row r="418" customFormat="false" ht="15.75" hidden="false" customHeight="true" outlineLevel="0" collapsed="false">
      <c r="A418" s="4"/>
      <c r="B418" s="4"/>
      <c r="C418" s="4"/>
      <c r="D418" s="4"/>
      <c r="E418" s="4"/>
      <c r="F418" s="4"/>
      <c r="G418" s="194"/>
      <c r="H418" s="225"/>
      <c r="I418" s="225"/>
      <c r="J418" s="4"/>
      <c r="K418" s="4"/>
      <c r="L418" s="4"/>
      <c r="M418" s="225"/>
      <c r="N418" s="225"/>
      <c r="O418" s="225"/>
      <c r="P418" s="4"/>
      <c r="Q418" s="4"/>
      <c r="R418" s="4"/>
      <c r="S418" s="4"/>
      <c r="T418" s="4"/>
      <c r="U418" s="194"/>
      <c r="V418" s="4"/>
      <c r="W418" s="4"/>
      <c r="X418" s="4"/>
      <c r="Y418" s="4"/>
      <c r="Z418" s="4"/>
    </row>
    <row r="419" customFormat="false" ht="15.75" hidden="false" customHeight="true" outlineLevel="0" collapsed="false">
      <c r="A419" s="4"/>
      <c r="B419" s="4"/>
      <c r="C419" s="4"/>
      <c r="D419" s="4"/>
      <c r="E419" s="4"/>
      <c r="F419" s="4"/>
      <c r="G419" s="194"/>
      <c r="H419" s="225"/>
      <c r="I419" s="225"/>
      <c r="J419" s="4"/>
      <c r="K419" s="4"/>
      <c r="L419" s="4"/>
      <c r="M419" s="225"/>
      <c r="N419" s="225"/>
      <c r="O419" s="225"/>
      <c r="P419" s="4"/>
      <c r="Q419" s="4"/>
      <c r="R419" s="4"/>
      <c r="S419" s="4"/>
      <c r="T419" s="4"/>
      <c r="U419" s="194"/>
      <c r="V419" s="4"/>
      <c r="W419" s="4"/>
      <c r="X419" s="4"/>
      <c r="Y419" s="4"/>
      <c r="Z419" s="4"/>
    </row>
    <row r="420" customFormat="false" ht="15.75" hidden="false" customHeight="true" outlineLevel="0" collapsed="false">
      <c r="A420" s="4"/>
      <c r="B420" s="4"/>
      <c r="C420" s="4"/>
      <c r="D420" s="4"/>
      <c r="E420" s="4"/>
      <c r="F420" s="4"/>
      <c r="G420" s="194"/>
      <c r="H420" s="225"/>
      <c r="I420" s="225"/>
      <c r="J420" s="4"/>
      <c r="K420" s="4"/>
      <c r="L420" s="4"/>
      <c r="M420" s="225"/>
      <c r="N420" s="225"/>
      <c r="O420" s="225"/>
      <c r="P420" s="4"/>
      <c r="Q420" s="4"/>
      <c r="R420" s="4"/>
      <c r="S420" s="4"/>
      <c r="T420" s="4"/>
      <c r="U420" s="194"/>
      <c r="V420" s="4"/>
      <c r="W420" s="4"/>
      <c r="X420" s="4"/>
      <c r="Y420" s="4"/>
      <c r="Z420" s="4"/>
    </row>
    <row r="421" customFormat="false" ht="15.75" hidden="false" customHeight="true" outlineLevel="0" collapsed="false">
      <c r="A421" s="4"/>
      <c r="B421" s="4"/>
      <c r="C421" s="4"/>
      <c r="D421" s="4"/>
      <c r="E421" s="4"/>
      <c r="F421" s="4"/>
      <c r="G421" s="194"/>
      <c r="H421" s="225"/>
      <c r="I421" s="225"/>
      <c r="J421" s="4"/>
      <c r="K421" s="4"/>
      <c r="L421" s="4"/>
      <c r="M421" s="225"/>
      <c r="N421" s="225"/>
      <c r="O421" s="225"/>
      <c r="P421" s="4"/>
      <c r="Q421" s="4"/>
      <c r="R421" s="4"/>
      <c r="S421" s="4"/>
      <c r="T421" s="4"/>
      <c r="U421" s="194"/>
      <c r="V421" s="4"/>
      <c r="W421" s="4"/>
      <c r="X421" s="4"/>
      <c r="Y421" s="4"/>
      <c r="Z421" s="4"/>
    </row>
    <row r="422" customFormat="false" ht="15.75" hidden="false" customHeight="true" outlineLevel="0" collapsed="false">
      <c r="A422" s="4"/>
      <c r="B422" s="4"/>
      <c r="C422" s="4"/>
      <c r="D422" s="4"/>
      <c r="E422" s="4"/>
      <c r="F422" s="4"/>
      <c r="G422" s="194"/>
      <c r="H422" s="225"/>
      <c r="I422" s="225"/>
      <c r="J422" s="4"/>
      <c r="K422" s="4"/>
      <c r="L422" s="4"/>
      <c r="M422" s="225"/>
      <c r="N422" s="225"/>
      <c r="O422" s="225"/>
      <c r="P422" s="4"/>
      <c r="Q422" s="4"/>
      <c r="R422" s="4"/>
      <c r="S422" s="4"/>
      <c r="T422" s="4"/>
      <c r="U422" s="194"/>
      <c r="V422" s="4"/>
      <c r="W422" s="4"/>
      <c r="X422" s="4"/>
      <c r="Y422" s="4"/>
      <c r="Z422" s="4"/>
    </row>
    <row r="423" customFormat="false" ht="15.75" hidden="false" customHeight="true" outlineLevel="0" collapsed="false">
      <c r="A423" s="4"/>
      <c r="B423" s="4"/>
      <c r="C423" s="4"/>
      <c r="D423" s="4"/>
      <c r="E423" s="4"/>
      <c r="F423" s="4"/>
      <c r="G423" s="194"/>
      <c r="H423" s="225"/>
      <c r="I423" s="225"/>
      <c r="J423" s="4"/>
      <c r="K423" s="4"/>
      <c r="L423" s="4"/>
      <c r="M423" s="225"/>
      <c r="N423" s="225"/>
      <c r="O423" s="225"/>
      <c r="P423" s="4"/>
      <c r="Q423" s="4"/>
      <c r="R423" s="4"/>
      <c r="S423" s="4"/>
      <c r="T423" s="4"/>
      <c r="U423" s="194"/>
      <c r="V423" s="4"/>
      <c r="W423" s="4"/>
      <c r="X423" s="4"/>
      <c r="Y423" s="4"/>
      <c r="Z423" s="4"/>
    </row>
    <row r="424" customFormat="false" ht="15.75" hidden="false" customHeight="true" outlineLevel="0" collapsed="false">
      <c r="A424" s="4"/>
      <c r="B424" s="4"/>
      <c r="C424" s="4"/>
      <c r="D424" s="4"/>
      <c r="E424" s="4"/>
      <c r="F424" s="4"/>
      <c r="G424" s="194"/>
      <c r="H424" s="225"/>
      <c r="I424" s="225"/>
      <c r="J424" s="4"/>
      <c r="K424" s="4"/>
      <c r="L424" s="4"/>
      <c r="M424" s="225"/>
      <c r="N424" s="225"/>
      <c r="O424" s="225"/>
      <c r="P424" s="4"/>
      <c r="Q424" s="4"/>
      <c r="R424" s="4"/>
      <c r="S424" s="4"/>
      <c r="T424" s="4"/>
      <c r="U424" s="194"/>
      <c r="V424" s="4"/>
      <c r="W424" s="4"/>
      <c r="X424" s="4"/>
      <c r="Y424" s="4"/>
      <c r="Z424" s="4"/>
    </row>
    <row r="425" customFormat="false" ht="15.75" hidden="false" customHeight="true" outlineLevel="0" collapsed="false">
      <c r="A425" s="4"/>
      <c r="B425" s="4"/>
      <c r="C425" s="4"/>
      <c r="D425" s="4"/>
      <c r="E425" s="4"/>
      <c r="F425" s="4"/>
      <c r="G425" s="194"/>
      <c r="H425" s="225"/>
      <c r="I425" s="225"/>
      <c r="J425" s="4"/>
      <c r="K425" s="4"/>
      <c r="L425" s="4"/>
      <c r="M425" s="225"/>
      <c r="N425" s="225"/>
      <c r="O425" s="225"/>
      <c r="P425" s="4"/>
      <c r="Q425" s="4"/>
      <c r="R425" s="4"/>
      <c r="S425" s="4"/>
      <c r="T425" s="4"/>
      <c r="U425" s="194"/>
      <c r="V425" s="4"/>
      <c r="W425" s="4"/>
      <c r="X425" s="4"/>
      <c r="Y425" s="4"/>
      <c r="Z425" s="4"/>
    </row>
    <row r="426" customFormat="false" ht="15.75" hidden="false" customHeight="true" outlineLevel="0" collapsed="false">
      <c r="A426" s="4"/>
      <c r="B426" s="4"/>
      <c r="C426" s="4"/>
      <c r="D426" s="4"/>
      <c r="E426" s="4"/>
      <c r="F426" s="4"/>
      <c r="G426" s="194"/>
      <c r="H426" s="225"/>
      <c r="I426" s="225"/>
      <c r="J426" s="4"/>
      <c r="K426" s="4"/>
      <c r="L426" s="4"/>
      <c r="M426" s="225"/>
      <c r="N426" s="225"/>
      <c r="O426" s="225"/>
      <c r="P426" s="4"/>
      <c r="Q426" s="4"/>
      <c r="R426" s="4"/>
      <c r="S426" s="4"/>
      <c r="T426" s="4"/>
      <c r="U426" s="194"/>
      <c r="V426" s="4"/>
      <c r="W426" s="4"/>
      <c r="X426" s="4"/>
      <c r="Y426" s="4"/>
      <c r="Z426" s="4"/>
    </row>
    <row r="427" customFormat="false" ht="15.75" hidden="false" customHeight="true" outlineLevel="0" collapsed="false">
      <c r="A427" s="4"/>
      <c r="B427" s="4"/>
      <c r="C427" s="4"/>
      <c r="D427" s="4"/>
      <c r="E427" s="4"/>
      <c r="F427" s="4"/>
      <c r="G427" s="194"/>
      <c r="H427" s="225"/>
      <c r="I427" s="225"/>
      <c r="J427" s="4"/>
      <c r="K427" s="4"/>
      <c r="L427" s="4"/>
      <c r="M427" s="225"/>
      <c r="N427" s="225"/>
      <c r="O427" s="225"/>
      <c r="P427" s="4"/>
      <c r="Q427" s="4"/>
      <c r="R427" s="4"/>
      <c r="S427" s="4"/>
      <c r="T427" s="4"/>
      <c r="U427" s="194"/>
      <c r="V427" s="4"/>
      <c r="W427" s="4"/>
      <c r="X427" s="4"/>
      <c r="Y427" s="4"/>
      <c r="Z427" s="4"/>
    </row>
    <row r="428" customFormat="false" ht="15.75" hidden="false" customHeight="true" outlineLevel="0" collapsed="false">
      <c r="A428" s="4"/>
      <c r="B428" s="4"/>
      <c r="C428" s="4"/>
      <c r="D428" s="4"/>
      <c r="E428" s="4"/>
      <c r="F428" s="4"/>
      <c r="G428" s="194"/>
      <c r="H428" s="225"/>
      <c r="I428" s="225"/>
      <c r="J428" s="4"/>
      <c r="K428" s="4"/>
      <c r="L428" s="4"/>
      <c r="M428" s="225"/>
      <c r="N428" s="225"/>
      <c r="O428" s="225"/>
      <c r="P428" s="4"/>
      <c r="Q428" s="4"/>
      <c r="R428" s="4"/>
      <c r="S428" s="4"/>
      <c r="T428" s="4"/>
      <c r="U428" s="194"/>
      <c r="V428" s="4"/>
      <c r="W428" s="4"/>
      <c r="X428" s="4"/>
      <c r="Y428" s="4"/>
      <c r="Z428" s="4"/>
    </row>
    <row r="429" customFormat="false" ht="15.75" hidden="false" customHeight="true" outlineLevel="0" collapsed="false">
      <c r="A429" s="4"/>
      <c r="B429" s="4"/>
      <c r="C429" s="4"/>
      <c r="D429" s="4"/>
      <c r="E429" s="4"/>
      <c r="F429" s="4"/>
      <c r="G429" s="194"/>
      <c r="H429" s="225"/>
      <c r="I429" s="225"/>
      <c r="J429" s="4"/>
      <c r="K429" s="4"/>
      <c r="L429" s="4"/>
      <c r="M429" s="225"/>
      <c r="N429" s="225"/>
      <c r="O429" s="225"/>
      <c r="P429" s="4"/>
      <c r="Q429" s="4"/>
      <c r="R429" s="4"/>
      <c r="S429" s="4"/>
      <c r="T429" s="4"/>
      <c r="U429" s="194"/>
      <c r="V429" s="4"/>
      <c r="W429" s="4"/>
      <c r="X429" s="4"/>
      <c r="Y429" s="4"/>
      <c r="Z429" s="4"/>
    </row>
    <row r="430" customFormat="false" ht="15.75" hidden="false" customHeight="true" outlineLevel="0" collapsed="false">
      <c r="A430" s="4"/>
      <c r="B430" s="4"/>
      <c r="C430" s="4"/>
      <c r="D430" s="4"/>
      <c r="E430" s="4"/>
      <c r="F430" s="4"/>
      <c r="G430" s="194"/>
      <c r="H430" s="225"/>
      <c r="I430" s="225"/>
      <c r="J430" s="4"/>
      <c r="K430" s="4"/>
      <c r="L430" s="4"/>
      <c r="M430" s="225"/>
      <c r="N430" s="225"/>
      <c r="O430" s="225"/>
      <c r="P430" s="4"/>
      <c r="Q430" s="4"/>
      <c r="R430" s="4"/>
      <c r="S430" s="4"/>
      <c r="T430" s="4"/>
      <c r="U430" s="194"/>
      <c r="V430" s="4"/>
      <c r="W430" s="4"/>
      <c r="X430" s="4"/>
      <c r="Y430" s="4"/>
      <c r="Z430" s="4"/>
    </row>
    <row r="431" customFormat="false" ht="15.75" hidden="false" customHeight="true" outlineLevel="0" collapsed="false">
      <c r="A431" s="4"/>
      <c r="B431" s="4"/>
      <c r="C431" s="4"/>
      <c r="D431" s="4"/>
      <c r="E431" s="4"/>
      <c r="F431" s="4"/>
      <c r="G431" s="194"/>
      <c r="H431" s="225"/>
      <c r="I431" s="225"/>
      <c r="J431" s="4"/>
      <c r="K431" s="4"/>
      <c r="L431" s="4"/>
      <c r="M431" s="225"/>
      <c r="N431" s="225"/>
      <c r="O431" s="225"/>
      <c r="P431" s="4"/>
      <c r="Q431" s="4"/>
      <c r="R431" s="4"/>
      <c r="S431" s="4"/>
      <c r="T431" s="4"/>
      <c r="U431" s="194"/>
      <c r="V431" s="4"/>
      <c r="W431" s="4"/>
      <c r="X431" s="4"/>
      <c r="Y431" s="4"/>
      <c r="Z431" s="4"/>
    </row>
    <row r="432" customFormat="false" ht="15.75" hidden="false" customHeight="true" outlineLevel="0" collapsed="false">
      <c r="A432" s="4"/>
      <c r="B432" s="4"/>
      <c r="C432" s="4"/>
      <c r="D432" s="4"/>
      <c r="E432" s="4"/>
      <c r="F432" s="4"/>
      <c r="G432" s="194"/>
      <c r="H432" s="225"/>
      <c r="I432" s="225"/>
      <c r="J432" s="4"/>
      <c r="K432" s="4"/>
      <c r="L432" s="4"/>
      <c r="M432" s="225"/>
      <c r="N432" s="225"/>
      <c r="O432" s="225"/>
      <c r="P432" s="4"/>
      <c r="Q432" s="4"/>
      <c r="R432" s="4"/>
      <c r="S432" s="4"/>
      <c r="T432" s="4"/>
      <c r="U432" s="194"/>
      <c r="V432" s="4"/>
      <c r="W432" s="4"/>
      <c r="X432" s="4"/>
      <c r="Y432" s="4"/>
      <c r="Z432" s="4"/>
    </row>
    <row r="433" customFormat="false" ht="15.75" hidden="false" customHeight="true" outlineLevel="0" collapsed="false">
      <c r="A433" s="4"/>
      <c r="B433" s="4"/>
      <c r="C433" s="4"/>
      <c r="D433" s="4"/>
      <c r="E433" s="4"/>
      <c r="F433" s="4"/>
      <c r="G433" s="194"/>
      <c r="H433" s="225"/>
      <c r="I433" s="225"/>
      <c r="J433" s="4"/>
      <c r="K433" s="4"/>
      <c r="L433" s="4"/>
      <c r="M433" s="225"/>
      <c r="N433" s="225"/>
      <c r="O433" s="225"/>
      <c r="P433" s="4"/>
      <c r="Q433" s="4"/>
      <c r="R433" s="4"/>
      <c r="S433" s="4"/>
      <c r="T433" s="4"/>
      <c r="U433" s="194"/>
      <c r="V433" s="4"/>
      <c r="W433" s="4"/>
      <c r="X433" s="4"/>
      <c r="Y433" s="4"/>
      <c r="Z433" s="4"/>
    </row>
    <row r="434" customFormat="false" ht="15.75" hidden="false" customHeight="true" outlineLevel="0" collapsed="false">
      <c r="A434" s="4"/>
      <c r="B434" s="4"/>
      <c r="C434" s="4"/>
      <c r="D434" s="4"/>
      <c r="E434" s="4"/>
      <c r="F434" s="4"/>
      <c r="G434" s="194"/>
      <c r="H434" s="225"/>
      <c r="I434" s="225"/>
      <c r="J434" s="4"/>
      <c r="K434" s="4"/>
      <c r="L434" s="4"/>
      <c r="M434" s="225"/>
      <c r="N434" s="225"/>
      <c r="O434" s="225"/>
      <c r="P434" s="4"/>
      <c r="Q434" s="4"/>
      <c r="R434" s="4"/>
      <c r="S434" s="4"/>
      <c r="T434" s="4"/>
      <c r="U434" s="194"/>
      <c r="V434" s="4"/>
      <c r="W434" s="4"/>
      <c r="X434" s="4"/>
      <c r="Y434" s="4"/>
      <c r="Z434" s="4"/>
    </row>
    <row r="435" customFormat="false" ht="15.75" hidden="false" customHeight="true" outlineLevel="0" collapsed="false">
      <c r="A435" s="4"/>
      <c r="B435" s="4"/>
      <c r="C435" s="4"/>
      <c r="D435" s="4"/>
      <c r="E435" s="4"/>
      <c r="F435" s="4"/>
      <c r="G435" s="194"/>
      <c r="H435" s="225"/>
      <c r="I435" s="225"/>
      <c r="J435" s="4"/>
      <c r="K435" s="4"/>
      <c r="L435" s="4"/>
      <c r="M435" s="225"/>
      <c r="N435" s="225"/>
      <c r="O435" s="225"/>
      <c r="P435" s="4"/>
      <c r="Q435" s="4"/>
      <c r="R435" s="4"/>
      <c r="S435" s="4"/>
      <c r="T435" s="4"/>
      <c r="U435" s="194"/>
      <c r="V435" s="4"/>
      <c r="W435" s="4"/>
      <c r="X435" s="4"/>
      <c r="Y435" s="4"/>
      <c r="Z435" s="4"/>
    </row>
    <row r="436" customFormat="false" ht="15.75" hidden="false" customHeight="true" outlineLevel="0" collapsed="false">
      <c r="A436" s="4"/>
      <c r="B436" s="4"/>
      <c r="C436" s="4"/>
      <c r="D436" s="4"/>
      <c r="E436" s="4"/>
      <c r="F436" s="4"/>
      <c r="G436" s="194"/>
      <c r="H436" s="225"/>
      <c r="I436" s="225"/>
      <c r="J436" s="4"/>
      <c r="K436" s="4"/>
      <c r="L436" s="4"/>
      <c r="M436" s="225"/>
      <c r="N436" s="225"/>
      <c r="O436" s="225"/>
      <c r="P436" s="4"/>
      <c r="Q436" s="4"/>
      <c r="R436" s="4"/>
      <c r="S436" s="4"/>
      <c r="T436" s="4"/>
      <c r="U436" s="194"/>
      <c r="V436" s="4"/>
      <c r="W436" s="4"/>
      <c r="X436" s="4"/>
      <c r="Y436" s="4"/>
      <c r="Z436" s="4"/>
    </row>
    <row r="437" customFormat="false" ht="15.75" hidden="false" customHeight="true" outlineLevel="0" collapsed="false">
      <c r="A437" s="4"/>
      <c r="B437" s="4"/>
      <c r="C437" s="4"/>
      <c r="D437" s="4"/>
      <c r="E437" s="4"/>
      <c r="F437" s="4"/>
      <c r="G437" s="194"/>
      <c r="H437" s="225"/>
      <c r="I437" s="225"/>
      <c r="J437" s="4"/>
      <c r="K437" s="4"/>
      <c r="L437" s="4"/>
      <c r="M437" s="225"/>
      <c r="N437" s="225"/>
      <c r="O437" s="225"/>
      <c r="P437" s="4"/>
      <c r="Q437" s="4"/>
      <c r="R437" s="4"/>
      <c r="S437" s="4"/>
      <c r="T437" s="4"/>
      <c r="U437" s="194"/>
      <c r="V437" s="4"/>
      <c r="W437" s="4"/>
      <c r="X437" s="4"/>
      <c r="Y437" s="4"/>
      <c r="Z437" s="4"/>
    </row>
    <row r="438" customFormat="false" ht="15.75" hidden="false" customHeight="true" outlineLevel="0" collapsed="false">
      <c r="A438" s="4"/>
      <c r="B438" s="4"/>
      <c r="C438" s="4"/>
      <c r="D438" s="4"/>
      <c r="E438" s="4"/>
      <c r="F438" s="4"/>
      <c r="G438" s="194"/>
      <c r="H438" s="225"/>
      <c r="I438" s="225"/>
      <c r="J438" s="4"/>
      <c r="K438" s="4"/>
      <c r="L438" s="4"/>
      <c r="M438" s="225"/>
      <c r="N438" s="225"/>
      <c r="O438" s="225"/>
      <c r="P438" s="4"/>
      <c r="Q438" s="4"/>
      <c r="R438" s="4"/>
      <c r="S438" s="4"/>
      <c r="T438" s="4"/>
      <c r="U438" s="194"/>
      <c r="V438" s="4"/>
      <c r="W438" s="4"/>
      <c r="X438" s="4"/>
      <c r="Y438" s="4"/>
      <c r="Z438" s="4"/>
    </row>
    <row r="439" customFormat="false" ht="15.75" hidden="false" customHeight="true" outlineLevel="0" collapsed="false">
      <c r="A439" s="4"/>
      <c r="B439" s="4"/>
      <c r="C439" s="4"/>
      <c r="D439" s="4"/>
      <c r="E439" s="4"/>
      <c r="F439" s="4"/>
      <c r="G439" s="194"/>
      <c r="H439" s="225"/>
      <c r="I439" s="225"/>
      <c r="J439" s="4"/>
      <c r="K439" s="4"/>
      <c r="L439" s="4"/>
      <c r="M439" s="225"/>
      <c r="N439" s="225"/>
      <c r="O439" s="225"/>
      <c r="P439" s="4"/>
      <c r="Q439" s="4"/>
      <c r="R439" s="4"/>
      <c r="S439" s="4"/>
      <c r="T439" s="4"/>
      <c r="U439" s="194"/>
      <c r="V439" s="4"/>
      <c r="W439" s="4"/>
      <c r="X439" s="4"/>
      <c r="Y439" s="4"/>
      <c r="Z439" s="4"/>
    </row>
    <row r="440" customFormat="false" ht="15.75" hidden="false" customHeight="true" outlineLevel="0" collapsed="false">
      <c r="A440" s="4"/>
      <c r="B440" s="4"/>
      <c r="C440" s="4"/>
      <c r="D440" s="4"/>
      <c r="E440" s="4"/>
      <c r="F440" s="4"/>
      <c r="G440" s="194"/>
      <c r="H440" s="225"/>
      <c r="I440" s="225"/>
      <c r="J440" s="4"/>
      <c r="K440" s="4"/>
      <c r="L440" s="4"/>
      <c r="M440" s="225"/>
      <c r="N440" s="225"/>
      <c r="O440" s="225"/>
      <c r="P440" s="4"/>
      <c r="Q440" s="4"/>
      <c r="R440" s="4"/>
      <c r="S440" s="4"/>
      <c r="T440" s="4"/>
      <c r="U440" s="194"/>
      <c r="V440" s="4"/>
      <c r="W440" s="4"/>
      <c r="X440" s="4"/>
      <c r="Y440" s="4"/>
      <c r="Z440" s="4"/>
    </row>
    <row r="441" customFormat="false" ht="15.75" hidden="false" customHeight="true" outlineLevel="0" collapsed="false">
      <c r="A441" s="4"/>
      <c r="B441" s="4"/>
      <c r="C441" s="4"/>
      <c r="D441" s="4"/>
      <c r="E441" s="4"/>
      <c r="F441" s="4"/>
      <c r="G441" s="194"/>
      <c r="H441" s="225"/>
      <c r="I441" s="225"/>
      <c r="J441" s="4"/>
      <c r="K441" s="4"/>
      <c r="L441" s="4"/>
      <c r="M441" s="225"/>
      <c r="N441" s="225"/>
      <c r="O441" s="225"/>
      <c r="P441" s="4"/>
      <c r="Q441" s="4"/>
      <c r="R441" s="4"/>
      <c r="S441" s="4"/>
      <c r="T441" s="4"/>
      <c r="U441" s="194"/>
      <c r="V441" s="4"/>
      <c r="W441" s="4"/>
      <c r="X441" s="4"/>
      <c r="Y441" s="4"/>
      <c r="Z441" s="4"/>
    </row>
    <row r="442" customFormat="false" ht="15.75" hidden="false" customHeight="true" outlineLevel="0" collapsed="false">
      <c r="A442" s="4"/>
      <c r="B442" s="4"/>
      <c r="C442" s="4"/>
      <c r="D442" s="4"/>
      <c r="E442" s="4"/>
      <c r="F442" s="4"/>
      <c r="G442" s="194"/>
      <c r="H442" s="225"/>
      <c r="I442" s="225"/>
      <c r="J442" s="4"/>
      <c r="K442" s="4"/>
      <c r="L442" s="4"/>
      <c r="M442" s="225"/>
      <c r="N442" s="225"/>
      <c r="O442" s="225"/>
      <c r="P442" s="4"/>
      <c r="Q442" s="4"/>
      <c r="R442" s="4"/>
      <c r="S442" s="4"/>
      <c r="T442" s="4"/>
      <c r="U442" s="194"/>
      <c r="V442" s="4"/>
      <c r="W442" s="4"/>
      <c r="X442" s="4"/>
      <c r="Y442" s="4"/>
      <c r="Z442" s="4"/>
    </row>
    <row r="443" customFormat="false" ht="15.75" hidden="false" customHeight="true" outlineLevel="0" collapsed="false">
      <c r="A443" s="4"/>
      <c r="B443" s="4"/>
      <c r="C443" s="4"/>
      <c r="D443" s="4"/>
      <c r="E443" s="4"/>
      <c r="F443" s="4"/>
      <c r="G443" s="194"/>
      <c r="H443" s="225"/>
      <c r="I443" s="225"/>
      <c r="J443" s="4"/>
      <c r="K443" s="4"/>
      <c r="L443" s="4"/>
      <c r="M443" s="225"/>
      <c r="N443" s="225"/>
      <c r="O443" s="225"/>
      <c r="P443" s="4"/>
      <c r="Q443" s="4"/>
      <c r="R443" s="4"/>
      <c r="S443" s="4"/>
      <c r="T443" s="4"/>
      <c r="U443" s="194"/>
      <c r="V443" s="4"/>
      <c r="W443" s="4"/>
      <c r="X443" s="4"/>
      <c r="Y443" s="4"/>
      <c r="Z443" s="4"/>
    </row>
    <row r="444" customFormat="false" ht="15.75" hidden="false" customHeight="true" outlineLevel="0" collapsed="false">
      <c r="A444" s="4"/>
      <c r="B444" s="4"/>
      <c r="C444" s="4"/>
      <c r="D444" s="4"/>
      <c r="E444" s="4"/>
      <c r="F444" s="4"/>
      <c r="G444" s="194"/>
      <c r="H444" s="225"/>
      <c r="I444" s="225"/>
      <c r="J444" s="4"/>
      <c r="K444" s="4"/>
      <c r="L444" s="4"/>
      <c r="M444" s="225"/>
      <c r="N444" s="225"/>
      <c r="O444" s="225"/>
      <c r="P444" s="4"/>
      <c r="Q444" s="4"/>
      <c r="R444" s="4"/>
      <c r="S444" s="4"/>
      <c r="T444" s="4"/>
      <c r="U444" s="194"/>
      <c r="V444" s="4"/>
      <c r="W444" s="4"/>
      <c r="X444" s="4"/>
      <c r="Y444" s="4"/>
      <c r="Z444" s="4"/>
    </row>
    <row r="445" customFormat="false" ht="15.75" hidden="false" customHeight="true" outlineLevel="0" collapsed="false">
      <c r="A445" s="4"/>
      <c r="B445" s="4"/>
      <c r="C445" s="4"/>
      <c r="D445" s="4"/>
      <c r="E445" s="4"/>
      <c r="F445" s="4"/>
      <c r="G445" s="194"/>
      <c r="H445" s="225"/>
      <c r="I445" s="225"/>
      <c r="J445" s="4"/>
      <c r="K445" s="4"/>
      <c r="L445" s="4"/>
      <c r="M445" s="225"/>
      <c r="N445" s="225"/>
      <c r="O445" s="225"/>
      <c r="P445" s="4"/>
      <c r="Q445" s="4"/>
      <c r="R445" s="4"/>
      <c r="S445" s="4"/>
      <c r="T445" s="4"/>
      <c r="U445" s="194"/>
      <c r="V445" s="4"/>
      <c r="W445" s="4"/>
      <c r="X445" s="4"/>
      <c r="Y445" s="4"/>
      <c r="Z445" s="4"/>
    </row>
    <row r="446" customFormat="false" ht="15.75" hidden="false" customHeight="true" outlineLevel="0" collapsed="false">
      <c r="A446" s="4"/>
      <c r="B446" s="4"/>
      <c r="C446" s="4"/>
      <c r="D446" s="4"/>
      <c r="E446" s="4"/>
      <c r="F446" s="4"/>
      <c r="G446" s="194"/>
      <c r="H446" s="225"/>
      <c r="I446" s="225"/>
      <c r="J446" s="4"/>
      <c r="K446" s="4"/>
      <c r="L446" s="4"/>
      <c r="M446" s="225"/>
      <c r="N446" s="225"/>
      <c r="O446" s="225"/>
      <c r="P446" s="4"/>
      <c r="Q446" s="4"/>
      <c r="R446" s="4"/>
      <c r="S446" s="4"/>
      <c r="T446" s="4"/>
      <c r="U446" s="194"/>
      <c r="V446" s="4"/>
      <c r="W446" s="4"/>
      <c r="X446" s="4"/>
      <c r="Y446" s="4"/>
      <c r="Z446" s="4"/>
    </row>
    <row r="447" customFormat="false" ht="15.75" hidden="false" customHeight="true" outlineLevel="0" collapsed="false">
      <c r="A447" s="4"/>
      <c r="B447" s="4"/>
      <c r="C447" s="4"/>
      <c r="D447" s="4"/>
      <c r="E447" s="4"/>
      <c r="F447" s="4"/>
      <c r="G447" s="194"/>
      <c r="H447" s="225"/>
      <c r="I447" s="225"/>
      <c r="J447" s="4"/>
      <c r="K447" s="4"/>
      <c r="L447" s="4"/>
      <c r="M447" s="225"/>
      <c r="N447" s="225"/>
      <c r="O447" s="225"/>
      <c r="P447" s="4"/>
      <c r="Q447" s="4"/>
      <c r="R447" s="4"/>
      <c r="S447" s="4"/>
      <c r="T447" s="4"/>
      <c r="U447" s="194"/>
      <c r="V447" s="4"/>
      <c r="W447" s="4"/>
      <c r="X447" s="4"/>
      <c r="Y447" s="4"/>
      <c r="Z447" s="4"/>
    </row>
    <row r="448" customFormat="false" ht="15.75" hidden="false" customHeight="true" outlineLevel="0" collapsed="false">
      <c r="A448" s="4"/>
      <c r="B448" s="4"/>
      <c r="C448" s="4"/>
      <c r="D448" s="4"/>
      <c r="E448" s="4"/>
      <c r="F448" s="4"/>
      <c r="G448" s="194"/>
      <c r="H448" s="225"/>
      <c r="I448" s="225"/>
      <c r="J448" s="4"/>
      <c r="K448" s="4"/>
      <c r="L448" s="4"/>
      <c r="M448" s="225"/>
      <c r="N448" s="225"/>
      <c r="O448" s="225"/>
      <c r="P448" s="4"/>
      <c r="Q448" s="4"/>
      <c r="R448" s="4"/>
      <c r="S448" s="4"/>
      <c r="T448" s="4"/>
      <c r="U448" s="194"/>
      <c r="V448" s="4"/>
      <c r="W448" s="4"/>
      <c r="X448" s="4"/>
      <c r="Y448" s="4"/>
      <c r="Z448" s="4"/>
    </row>
    <row r="449" customFormat="false" ht="15.75" hidden="false" customHeight="true" outlineLevel="0" collapsed="false">
      <c r="A449" s="4"/>
      <c r="B449" s="4"/>
      <c r="C449" s="4"/>
      <c r="D449" s="4"/>
      <c r="E449" s="4"/>
      <c r="F449" s="4"/>
      <c r="G449" s="194"/>
      <c r="H449" s="225"/>
      <c r="I449" s="225"/>
      <c r="J449" s="4"/>
      <c r="K449" s="4"/>
      <c r="L449" s="4"/>
      <c r="M449" s="225"/>
      <c r="N449" s="225"/>
      <c r="O449" s="225"/>
      <c r="P449" s="4"/>
      <c r="Q449" s="4"/>
      <c r="R449" s="4"/>
      <c r="S449" s="4"/>
      <c r="T449" s="4"/>
      <c r="U449" s="194"/>
      <c r="V449" s="4"/>
      <c r="W449" s="4"/>
      <c r="X449" s="4"/>
      <c r="Y449" s="4"/>
      <c r="Z449" s="4"/>
    </row>
    <row r="450" customFormat="false" ht="15.75" hidden="false" customHeight="true" outlineLevel="0" collapsed="false">
      <c r="A450" s="4"/>
      <c r="B450" s="4"/>
      <c r="C450" s="4"/>
      <c r="D450" s="4"/>
      <c r="E450" s="4"/>
      <c r="F450" s="4"/>
      <c r="G450" s="194"/>
      <c r="H450" s="225"/>
      <c r="I450" s="225"/>
      <c r="J450" s="4"/>
      <c r="K450" s="4"/>
      <c r="L450" s="4"/>
      <c r="M450" s="225"/>
      <c r="N450" s="225"/>
      <c r="O450" s="225"/>
      <c r="P450" s="4"/>
      <c r="Q450" s="4"/>
      <c r="R450" s="4"/>
      <c r="S450" s="4"/>
      <c r="T450" s="4"/>
      <c r="U450" s="194"/>
      <c r="V450" s="4"/>
      <c r="W450" s="4"/>
      <c r="X450" s="4"/>
      <c r="Y450" s="4"/>
      <c r="Z450" s="4"/>
    </row>
    <row r="451" customFormat="false" ht="15.75" hidden="false" customHeight="true" outlineLevel="0" collapsed="false">
      <c r="A451" s="4"/>
      <c r="B451" s="4"/>
      <c r="C451" s="4"/>
      <c r="D451" s="4"/>
      <c r="E451" s="4"/>
      <c r="F451" s="4"/>
      <c r="G451" s="194"/>
      <c r="H451" s="225"/>
      <c r="I451" s="225"/>
      <c r="J451" s="4"/>
      <c r="K451" s="4"/>
      <c r="L451" s="4"/>
      <c r="M451" s="225"/>
      <c r="N451" s="225"/>
      <c r="O451" s="225"/>
      <c r="P451" s="4"/>
      <c r="Q451" s="4"/>
      <c r="R451" s="4"/>
      <c r="S451" s="4"/>
      <c r="T451" s="4"/>
      <c r="U451" s="194"/>
      <c r="V451" s="4"/>
      <c r="W451" s="4"/>
      <c r="X451" s="4"/>
      <c r="Y451" s="4"/>
      <c r="Z451" s="4"/>
    </row>
    <row r="452" customFormat="false" ht="15.75" hidden="false" customHeight="true" outlineLevel="0" collapsed="false">
      <c r="A452" s="4"/>
      <c r="B452" s="4"/>
      <c r="C452" s="4"/>
      <c r="D452" s="4"/>
      <c r="E452" s="4"/>
      <c r="F452" s="4"/>
      <c r="G452" s="194"/>
      <c r="H452" s="225"/>
      <c r="I452" s="225"/>
      <c r="J452" s="4"/>
      <c r="K452" s="4"/>
      <c r="L452" s="4"/>
      <c r="M452" s="225"/>
      <c r="N452" s="225"/>
      <c r="O452" s="225"/>
      <c r="P452" s="4"/>
      <c r="Q452" s="4"/>
      <c r="R452" s="4"/>
      <c r="S452" s="4"/>
      <c r="T452" s="4"/>
      <c r="U452" s="194"/>
      <c r="V452" s="4"/>
      <c r="W452" s="4"/>
      <c r="X452" s="4"/>
      <c r="Y452" s="4"/>
      <c r="Z452" s="4"/>
    </row>
    <row r="453" customFormat="false" ht="15.75" hidden="false" customHeight="true" outlineLevel="0" collapsed="false">
      <c r="A453" s="4"/>
      <c r="B453" s="4"/>
      <c r="C453" s="4"/>
      <c r="D453" s="4"/>
      <c r="E453" s="4"/>
      <c r="F453" s="4"/>
      <c r="G453" s="194"/>
      <c r="H453" s="225"/>
      <c r="I453" s="225"/>
      <c r="J453" s="4"/>
      <c r="K453" s="4"/>
      <c r="L453" s="4"/>
      <c r="M453" s="225"/>
      <c r="N453" s="225"/>
      <c r="O453" s="225"/>
      <c r="P453" s="4"/>
      <c r="Q453" s="4"/>
      <c r="R453" s="4"/>
      <c r="S453" s="4"/>
      <c r="T453" s="4"/>
      <c r="U453" s="194"/>
      <c r="V453" s="4"/>
      <c r="W453" s="4"/>
      <c r="X453" s="4"/>
      <c r="Y453" s="4"/>
      <c r="Z453" s="4"/>
    </row>
    <row r="454" customFormat="false" ht="15.75" hidden="false" customHeight="true" outlineLevel="0" collapsed="false">
      <c r="A454" s="4"/>
      <c r="B454" s="4"/>
      <c r="C454" s="4"/>
      <c r="D454" s="4"/>
      <c r="E454" s="4"/>
      <c r="F454" s="4"/>
      <c r="G454" s="194"/>
      <c r="H454" s="225"/>
      <c r="I454" s="225"/>
      <c r="J454" s="4"/>
      <c r="K454" s="4"/>
      <c r="L454" s="4"/>
      <c r="M454" s="225"/>
      <c r="N454" s="225"/>
      <c r="O454" s="225"/>
      <c r="P454" s="4"/>
      <c r="Q454" s="4"/>
      <c r="R454" s="4"/>
      <c r="S454" s="4"/>
      <c r="T454" s="4"/>
      <c r="U454" s="194"/>
      <c r="V454" s="4"/>
      <c r="W454" s="4"/>
      <c r="X454" s="4"/>
      <c r="Y454" s="4"/>
      <c r="Z454" s="4"/>
    </row>
    <row r="455" customFormat="false" ht="15.75" hidden="false" customHeight="true" outlineLevel="0" collapsed="false">
      <c r="A455" s="4"/>
      <c r="B455" s="4"/>
      <c r="C455" s="4"/>
      <c r="D455" s="4"/>
      <c r="E455" s="4"/>
      <c r="F455" s="4"/>
      <c r="G455" s="194"/>
      <c r="H455" s="225"/>
      <c r="I455" s="225"/>
      <c r="J455" s="4"/>
      <c r="K455" s="4"/>
      <c r="L455" s="4"/>
      <c r="M455" s="225"/>
      <c r="N455" s="225"/>
      <c r="O455" s="225"/>
      <c r="P455" s="4"/>
      <c r="Q455" s="4"/>
      <c r="R455" s="4"/>
      <c r="S455" s="4"/>
      <c r="T455" s="4"/>
      <c r="U455" s="194"/>
      <c r="V455" s="4"/>
      <c r="W455" s="4"/>
      <c r="X455" s="4"/>
      <c r="Y455" s="4"/>
      <c r="Z455" s="4"/>
    </row>
    <row r="456" customFormat="false" ht="15.75" hidden="false" customHeight="true" outlineLevel="0" collapsed="false">
      <c r="A456" s="4"/>
      <c r="B456" s="4"/>
      <c r="C456" s="4"/>
      <c r="D456" s="4"/>
      <c r="E456" s="4"/>
      <c r="F456" s="4"/>
      <c r="G456" s="194"/>
      <c r="H456" s="225"/>
      <c r="I456" s="225"/>
      <c r="J456" s="4"/>
      <c r="K456" s="4"/>
      <c r="L456" s="4"/>
      <c r="M456" s="225"/>
      <c r="N456" s="225"/>
      <c r="O456" s="225"/>
      <c r="P456" s="4"/>
      <c r="Q456" s="4"/>
      <c r="R456" s="4"/>
      <c r="S456" s="4"/>
      <c r="T456" s="4"/>
      <c r="U456" s="194"/>
      <c r="V456" s="4"/>
      <c r="W456" s="4"/>
      <c r="X456" s="4"/>
      <c r="Y456" s="4"/>
      <c r="Z456" s="4"/>
    </row>
    <row r="457" customFormat="false" ht="15.75" hidden="false" customHeight="true" outlineLevel="0" collapsed="false">
      <c r="A457" s="4"/>
      <c r="B457" s="4"/>
      <c r="C457" s="4"/>
      <c r="D457" s="4"/>
      <c r="E457" s="4"/>
      <c r="F457" s="4"/>
      <c r="G457" s="194"/>
      <c r="H457" s="225"/>
      <c r="I457" s="225"/>
      <c r="J457" s="4"/>
      <c r="K457" s="4"/>
      <c r="L457" s="4"/>
      <c r="M457" s="225"/>
      <c r="N457" s="225"/>
      <c r="O457" s="225"/>
      <c r="P457" s="4"/>
      <c r="Q457" s="4"/>
      <c r="R457" s="4"/>
      <c r="S457" s="4"/>
      <c r="T457" s="4"/>
      <c r="U457" s="194"/>
      <c r="V457" s="4"/>
      <c r="W457" s="4"/>
      <c r="X457" s="4"/>
      <c r="Y457" s="4"/>
      <c r="Z457" s="4"/>
    </row>
    <row r="458" customFormat="false" ht="15.75" hidden="false" customHeight="true" outlineLevel="0" collapsed="false">
      <c r="A458" s="4"/>
      <c r="B458" s="4"/>
      <c r="C458" s="4"/>
      <c r="D458" s="4"/>
      <c r="E458" s="4"/>
      <c r="F458" s="4"/>
      <c r="G458" s="194"/>
      <c r="H458" s="225"/>
      <c r="I458" s="225"/>
      <c r="J458" s="4"/>
      <c r="K458" s="4"/>
      <c r="L458" s="4"/>
      <c r="M458" s="225"/>
      <c r="N458" s="225"/>
      <c r="O458" s="225"/>
      <c r="P458" s="4"/>
      <c r="Q458" s="4"/>
      <c r="R458" s="4"/>
      <c r="S458" s="4"/>
      <c r="T458" s="4"/>
      <c r="U458" s="194"/>
      <c r="V458" s="4"/>
      <c r="W458" s="4"/>
      <c r="X458" s="4"/>
      <c r="Y458" s="4"/>
      <c r="Z458" s="4"/>
    </row>
    <row r="459" customFormat="false" ht="15.75" hidden="false" customHeight="true" outlineLevel="0" collapsed="false">
      <c r="A459" s="4"/>
      <c r="B459" s="4"/>
      <c r="C459" s="4"/>
      <c r="D459" s="4"/>
      <c r="E459" s="4"/>
      <c r="F459" s="4"/>
      <c r="G459" s="194"/>
      <c r="H459" s="225"/>
      <c r="I459" s="225"/>
      <c r="J459" s="4"/>
      <c r="K459" s="4"/>
      <c r="L459" s="4"/>
      <c r="M459" s="225"/>
      <c r="N459" s="225"/>
      <c r="O459" s="225"/>
      <c r="P459" s="4"/>
      <c r="Q459" s="4"/>
      <c r="R459" s="4"/>
      <c r="S459" s="4"/>
      <c r="T459" s="4"/>
      <c r="U459" s="194"/>
      <c r="V459" s="4"/>
      <c r="W459" s="4"/>
      <c r="X459" s="4"/>
      <c r="Y459" s="4"/>
      <c r="Z459" s="4"/>
    </row>
    <row r="460" customFormat="false" ht="15.75" hidden="false" customHeight="true" outlineLevel="0" collapsed="false">
      <c r="A460" s="4"/>
      <c r="B460" s="4"/>
      <c r="C460" s="4"/>
      <c r="D460" s="4"/>
      <c r="E460" s="4"/>
      <c r="F460" s="4"/>
      <c r="G460" s="194"/>
      <c r="H460" s="225"/>
      <c r="I460" s="225"/>
      <c r="J460" s="4"/>
      <c r="K460" s="4"/>
      <c r="L460" s="4"/>
      <c r="M460" s="225"/>
      <c r="N460" s="225"/>
      <c r="O460" s="225"/>
      <c r="P460" s="4"/>
      <c r="Q460" s="4"/>
      <c r="R460" s="4"/>
      <c r="S460" s="4"/>
      <c r="T460" s="4"/>
      <c r="U460" s="194"/>
      <c r="V460" s="4"/>
      <c r="W460" s="4"/>
      <c r="X460" s="4"/>
      <c r="Y460" s="4"/>
      <c r="Z460" s="4"/>
    </row>
    <row r="461" customFormat="false" ht="15.75" hidden="false" customHeight="true" outlineLevel="0" collapsed="false">
      <c r="A461" s="4"/>
      <c r="B461" s="4"/>
      <c r="C461" s="4"/>
      <c r="D461" s="4"/>
      <c r="E461" s="4"/>
      <c r="F461" s="4"/>
      <c r="G461" s="194"/>
      <c r="H461" s="225"/>
      <c r="I461" s="225"/>
      <c r="J461" s="4"/>
      <c r="K461" s="4"/>
      <c r="L461" s="4"/>
      <c r="M461" s="225"/>
      <c r="N461" s="225"/>
      <c r="O461" s="225"/>
      <c r="P461" s="4"/>
      <c r="Q461" s="4"/>
      <c r="R461" s="4"/>
      <c r="S461" s="4"/>
      <c r="T461" s="4"/>
      <c r="U461" s="194"/>
      <c r="V461" s="4"/>
      <c r="W461" s="4"/>
      <c r="X461" s="4"/>
      <c r="Y461" s="4"/>
      <c r="Z461" s="4"/>
    </row>
    <row r="462" customFormat="false" ht="15.75" hidden="false" customHeight="true" outlineLevel="0" collapsed="false">
      <c r="A462" s="4"/>
      <c r="B462" s="4"/>
      <c r="C462" s="4"/>
      <c r="D462" s="4"/>
      <c r="E462" s="4"/>
      <c r="F462" s="4"/>
      <c r="G462" s="194"/>
      <c r="H462" s="225"/>
      <c r="I462" s="225"/>
      <c r="J462" s="4"/>
      <c r="K462" s="4"/>
      <c r="L462" s="4"/>
      <c r="M462" s="225"/>
      <c r="N462" s="225"/>
      <c r="O462" s="225"/>
      <c r="P462" s="4"/>
      <c r="Q462" s="4"/>
      <c r="R462" s="4"/>
      <c r="S462" s="4"/>
      <c r="T462" s="4"/>
      <c r="U462" s="194"/>
      <c r="V462" s="4"/>
      <c r="W462" s="4"/>
      <c r="X462" s="4"/>
      <c r="Y462" s="4"/>
      <c r="Z462" s="4"/>
    </row>
    <row r="463" customFormat="false" ht="15.75" hidden="false" customHeight="true" outlineLevel="0" collapsed="false">
      <c r="A463" s="4"/>
      <c r="B463" s="4"/>
      <c r="C463" s="4"/>
      <c r="D463" s="4"/>
      <c r="E463" s="4"/>
      <c r="F463" s="4"/>
      <c r="G463" s="194"/>
      <c r="H463" s="225"/>
      <c r="I463" s="225"/>
      <c r="J463" s="4"/>
      <c r="K463" s="4"/>
      <c r="L463" s="4"/>
      <c r="M463" s="225"/>
      <c r="N463" s="225"/>
      <c r="O463" s="225"/>
      <c r="P463" s="4"/>
      <c r="Q463" s="4"/>
      <c r="R463" s="4"/>
      <c r="S463" s="4"/>
      <c r="T463" s="4"/>
      <c r="U463" s="194"/>
      <c r="V463" s="4"/>
      <c r="W463" s="4"/>
      <c r="X463" s="4"/>
      <c r="Y463" s="4"/>
      <c r="Z463" s="4"/>
    </row>
    <row r="464" customFormat="false" ht="15.75" hidden="false" customHeight="true" outlineLevel="0" collapsed="false">
      <c r="A464" s="4"/>
      <c r="B464" s="4"/>
      <c r="C464" s="4"/>
      <c r="D464" s="4"/>
      <c r="E464" s="4"/>
      <c r="F464" s="4"/>
      <c r="G464" s="194"/>
      <c r="H464" s="225"/>
      <c r="I464" s="225"/>
      <c r="J464" s="4"/>
      <c r="K464" s="4"/>
      <c r="L464" s="4"/>
      <c r="M464" s="225"/>
      <c r="N464" s="225"/>
      <c r="O464" s="225"/>
      <c r="P464" s="4"/>
      <c r="Q464" s="4"/>
      <c r="R464" s="4"/>
      <c r="S464" s="4"/>
      <c r="T464" s="4"/>
      <c r="U464" s="194"/>
      <c r="V464" s="4"/>
      <c r="W464" s="4"/>
      <c r="X464" s="4"/>
      <c r="Y464" s="4"/>
      <c r="Z464" s="4"/>
    </row>
    <row r="465" customFormat="false" ht="15.75" hidden="false" customHeight="true" outlineLevel="0" collapsed="false">
      <c r="A465" s="4"/>
      <c r="B465" s="4"/>
      <c r="C465" s="4"/>
      <c r="D465" s="4"/>
      <c r="E465" s="4"/>
      <c r="F465" s="4"/>
      <c r="G465" s="194"/>
      <c r="H465" s="225"/>
      <c r="I465" s="225"/>
      <c r="J465" s="4"/>
      <c r="K465" s="4"/>
      <c r="L465" s="4"/>
      <c r="M465" s="225"/>
      <c r="N465" s="225"/>
      <c r="O465" s="225"/>
      <c r="P465" s="4"/>
      <c r="Q465" s="4"/>
      <c r="R465" s="4"/>
      <c r="S465" s="4"/>
      <c r="T465" s="4"/>
      <c r="U465" s="194"/>
      <c r="V465" s="4"/>
      <c r="W465" s="4"/>
      <c r="X465" s="4"/>
      <c r="Y465" s="4"/>
      <c r="Z465" s="4"/>
    </row>
    <row r="466" customFormat="false" ht="15.75" hidden="false" customHeight="true" outlineLevel="0" collapsed="false">
      <c r="A466" s="4"/>
      <c r="B466" s="4"/>
      <c r="C466" s="4"/>
      <c r="D466" s="4"/>
      <c r="E466" s="4"/>
      <c r="F466" s="4"/>
      <c r="G466" s="194"/>
      <c r="H466" s="225"/>
      <c r="I466" s="225"/>
      <c r="J466" s="4"/>
      <c r="K466" s="4"/>
      <c r="L466" s="4"/>
      <c r="M466" s="225"/>
      <c r="N466" s="225"/>
      <c r="O466" s="225"/>
      <c r="P466" s="4"/>
      <c r="Q466" s="4"/>
      <c r="R466" s="4"/>
      <c r="S466" s="4"/>
      <c r="T466" s="4"/>
      <c r="U466" s="194"/>
      <c r="V466" s="4"/>
      <c r="W466" s="4"/>
      <c r="X466" s="4"/>
      <c r="Y466" s="4"/>
      <c r="Z466" s="4"/>
    </row>
    <row r="467" customFormat="false" ht="15.75" hidden="false" customHeight="true" outlineLevel="0" collapsed="false">
      <c r="A467" s="4"/>
      <c r="B467" s="4"/>
      <c r="C467" s="4"/>
      <c r="D467" s="4"/>
      <c r="E467" s="4"/>
      <c r="F467" s="4"/>
      <c r="G467" s="194"/>
      <c r="H467" s="225"/>
      <c r="I467" s="225"/>
      <c r="J467" s="4"/>
      <c r="K467" s="4"/>
      <c r="L467" s="4"/>
      <c r="M467" s="225"/>
      <c r="N467" s="225"/>
      <c r="O467" s="225"/>
      <c r="P467" s="4"/>
      <c r="Q467" s="4"/>
      <c r="R467" s="4"/>
      <c r="S467" s="4"/>
      <c r="T467" s="4"/>
      <c r="U467" s="194"/>
      <c r="V467" s="4"/>
      <c r="W467" s="4"/>
      <c r="X467" s="4"/>
      <c r="Y467" s="4"/>
      <c r="Z467" s="4"/>
    </row>
    <row r="468" customFormat="false" ht="15.75" hidden="false" customHeight="true" outlineLevel="0" collapsed="false">
      <c r="A468" s="4"/>
      <c r="B468" s="4"/>
      <c r="C468" s="4"/>
      <c r="D468" s="4"/>
      <c r="E468" s="4"/>
      <c r="F468" s="4"/>
      <c r="G468" s="194"/>
      <c r="H468" s="225"/>
      <c r="I468" s="225"/>
      <c r="J468" s="4"/>
      <c r="K468" s="4"/>
      <c r="L468" s="4"/>
      <c r="M468" s="225"/>
      <c r="N468" s="225"/>
      <c r="O468" s="225"/>
      <c r="P468" s="4"/>
      <c r="Q468" s="4"/>
      <c r="R468" s="4"/>
      <c r="S468" s="4"/>
      <c r="T468" s="4"/>
      <c r="U468" s="194"/>
      <c r="V468" s="4"/>
      <c r="W468" s="4"/>
      <c r="X468" s="4"/>
      <c r="Y468" s="4"/>
      <c r="Z468" s="4"/>
    </row>
    <row r="469" customFormat="false" ht="15.75" hidden="false" customHeight="true" outlineLevel="0" collapsed="false">
      <c r="A469" s="4"/>
      <c r="B469" s="4"/>
      <c r="C469" s="4"/>
      <c r="D469" s="4"/>
      <c r="E469" s="4"/>
      <c r="F469" s="4"/>
      <c r="G469" s="194"/>
      <c r="H469" s="225"/>
      <c r="I469" s="225"/>
      <c r="J469" s="4"/>
      <c r="K469" s="4"/>
      <c r="L469" s="4"/>
      <c r="M469" s="225"/>
      <c r="N469" s="225"/>
      <c r="O469" s="225"/>
      <c r="P469" s="4"/>
      <c r="Q469" s="4"/>
      <c r="R469" s="4"/>
      <c r="S469" s="4"/>
      <c r="T469" s="4"/>
      <c r="U469" s="194"/>
      <c r="V469" s="4"/>
      <c r="W469" s="4"/>
      <c r="X469" s="4"/>
      <c r="Y469" s="4"/>
      <c r="Z469" s="4"/>
    </row>
    <row r="470" customFormat="false" ht="15.75" hidden="false" customHeight="true" outlineLevel="0" collapsed="false">
      <c r="A470" s="4"/>
      <c r="B470" s="4"/>
      <c r="C470" s="4"/>
      <c r="D470" s="4"/>
      <c r="E470" s="4"/>
      <c r="F470" s="4"/>
      <c r="G470" s="194"/>
      <c r="H470" s="225"/>
      <c r="I470" s="225"/>
      <c r="J470" s="4"/>
      <c r="K470" s="4"/>
      <c r="L470" s="4"/>
      <c r="M470" s="225"/>
      <c r="N470" s="225"/>
      <c r="O470" s="225"/>
      <c r="P470" s="4"/>
      <c r="Q470" s="4"/>
      <c r="R470" s="4"/>
      <c r="S470" s="4"/>
      <c r="T470" s="4"/>
      <c r="U470" s="194"/>
      <c r="V470" s="4"/>
      <c r="W470" s="4"/>
      <c r="X470" s="4"/>
      <c r="Y470" s="4"/>
      <c r="Z470" s="4"/>
    </row>
    <row r="471" customFormat="false" ht="15.75" hidden="false" customHeight="true" outlineLevel="0" collapsed="false">
      <c r="A471" s="4"/>
      <c r="B471" s="4"/>
      <c r="C471" s="4"/>
      <c r="D471" s="4"/>
      <c r="E471" s="4"/>
      <c r="F471" s="4"/>
      <c r="G471" s="194"/>
      <c r="H471" s="225"/>
      <c r="I471" s="225"/>
      <c r="J471" s="4"/>
      <c r="K471" s="4"/>
      <c r="L471" s="4"/>
      <c r="M471" s="225"/>
      <c r="N471" s="225"/>
      <c r="O471" s="225"/>
      <c r="P471" s="4"/>
      <c r="Q471" s="4"/>
      <c r="R471" s="4"/>
      <c r="S471" s="4"/>
      <c r="T471" s="4"/>
      <c r="U471" s="194"/>
      <c r="V471" s="4"/>
      <c r="W471" s="4"/>
      <c r="X471" s="4"/>
      <c r="Y471" s="4"/>
      <c r="Z471" s="4"/>
    </row>
    <row r="472" customFormat="false" ht="15.75" hidden="false" customHeight="true" outlineLevel="0" collapsed="false">
      <c r="A472" s="4"/>
      <c r="B472" s="4"/>
      <c r="C472" s="4"/>
      <c r="D472" s="4"/>
      <c r="E472" s="4"/>
      <c r="F472" s="4"/>
      <c r="G472" s="194"/>
      <c r="H472" s="225"/>
      <c r="I472" s="225"/>
      <c r="J472" s="4"/>
      <c r="K472" s="4"/>
      <c r="L472" s="4"/>
      <c r="M472" s="225"/>
      <c r="N472" s="225"/>
      <c r="O472" s="225"/>
      <c r="P472" s="4"/>
      <c r="Q472" s="4"/>
      <c r="R472" s="4"/>
      <c r="S472" s="4"/>
      <c r="T472" s="4"/>
      <c r="U472" s="194"/>
      <c r="V472" s="4"/>
      <c r="W472" s="4"/>
      <c r="X472" s="4"/>
      <c r="Y472" s="4"/>
      <c r="Z472" s="4"/>
    </row>
    <row r="473" customFormat="false" ht="15.75" hidden="false" customHeight="true" outlineLevel="0" collapsed="false">
      <c r="A473" s="4"/>
      <c r="B473" s="4"/>
      <c r="C473" s="4"/>
      <c r="D473" s="4"/>
      <c r="E473" s="4"/>
      <c r="F473" s="4"/>
      <c r="G473" s="194"/>
      <c r="H473" s="225"/>
      <c r="I473" s="225"/>
      <c r="J473" s="4"/>
      <c r="K473" s="4"/>
      <c r="L473" s="4"/>
      <c r="M473" s="225"/>
      <c r="N473" s="225"/>
      <c r="O473" s="225"/>
      <c r="P473" s="4"/>
      <c r="Q473" s="4"/>
      <c r="R473" s="4"/>
      <c r="S473" s="4"/>
      <c r="T473" s="4"/>
      <c r="U473" s="194"/>
      <c r="V473" s="4"/>
      <c r="W473" s="4"/>
      <c r="X473" s="4"/>
      <c r="Y473" s="4"/>
      <c r="Z473" s="4"/>
    </row>
    <row r="474" customFormat="false" ht="15.75" hidden="false" customHeight="true" outlineLevel="0" collapsed="false">
      <c r="A474" s="4"/>
      <c r="B474" s="4"/>
      <c r="C474" s="4"/>
      <c r="D474" s="4"/>
      <c r="E474" s="4"/>
      <c r="F474" s="4"/>
      <c r="G474" s="194"/>
      <c r="H474" s="225"/>
      <c r="I474" s="225"/>
      <c r="J474" s="4"/>
      <c r="K474" s="4"/>
      <c r="L474" s="4"/>
      <c r="M474" s="225"/>
      <c r="N474" s="225"/>
      <c r="O474" s="225"/>
      <c r="P474" s="4"/>
      <c r="Q474" s="4"/>
      <c r="R474" s="4"/>
      <c r="S474" s="4"/>
      <c r="T474" s="4"/>
      <c r="U474" s="194"/>
      <c r="V474" s="4"/>
      <c r="W474" s="4"/>
      <c r="X474" s="4"/>
      <c r="Y474" s="4"/>
      <c r="Z474" s="4"/>
    </row>
    <row r="475" customFormat="false" ht="15.75" hidden="false" customHeight="true" outlineLevel="0" collapsed="false">
      <c r="A475" s="4"/>
      <c r="B475" s="4"/>
      <c r="C475" s="4"/>
      <c r="D475" s="4"/>
      <c r="E475" s="4"/>
      <c r="F475" s="4"/>
      <c r="G475" s="194"/>
      <c r="H475" s="225"/>
      <c r="I475" s="225"/>
      <c r="J475" s="4"/>
      <c r="K475" s="4"/>
      <c r="L475" s="4"/>
      <c r="M475" s="225"/>
      <c r="N475" s="225"/>
      <c r="O475" s="225"/>
      <c r="P475" s="4"/>
      <c r="Q475" s="4"/>
      <c r="R475" s="4"/>
      <c r="S475" s="4"/>
      <c r="T475" s="4"/>
      <c r="U475" s="194"/>
      <c r="V475" s="4"/>
      <c r="W475" s="4"/>
      <c r="X475" s="4"/>
      <c r="Y475" s="4"/>
      <c r="Z475" s="4"/>
    </row>
    <row r="476" customFormat="false" ht="15.75" hidden="false" customHeight="true" outlineLevel="0" collapsed="false">
      <c r="A476" s="4"/>
      <c r="B476" s="4"/>
      <c r="C476" s="4"/>
      <c r="D476" s="4"/>
      <c r="E476" s="4"/>
      <c r="F476" s="4"/>
      <c r="G476" s="194"/>
      <c r="H476" s="225"/>
      <c r="I476" s="225"/>
      <c r="J476" s="4"/>
      <c r="K476" s="4"/>
      <c r="L476" s="4"/>
      <c r="M476" s="225"/>
      <c r="N476" s="225"/>
      <c r="O476" s="225"/>
      <c r="P476" s="4"/>
      <c r="Q476" s="4"/>
      <c r="R476" s="4"/>
      <c r="S476" s="4"/>
      <c r="T476" s="4"/>
      <c r="U476" s="194"/>
      <c r="V476" s="4"/>
      <c r="W476" s="4"/>
      <c r="X476" s="4"/>
      <c r="Y476" s="4"/>
      <c r="Z476" s="4"/>
    </row>
    <row r="477" customFormat="false" ht="15.75" hidden="false" customHeight="true" outlineLevel="0" collapsed="false">
      <c r="A477" s="4"/>
      <c r="B477" s="4"/>
      <c r="C477" s="4"/>
      <c r="D477" s="4"/>
      <c r="E477" s="4"/>
      <c r="F477" s="4"/>
      <c r="G477" s="194"/>
      <c r="H477" s="225"/>
      <c r="I477" s="225"/>
      <c r="J477" s="4"/>
      <c r="K477" s="4"/>
      <c r="L477" s="4"/>
      <c r="M477" s="225"/>
      <c r="N477" s="225"/>
      <c r="O477" s="225"/>
      <c r="P477" s="4"/>
      <c r="Q477" s="4"/>
      <c r="R477" s="4"/>
      <c r="S477" s="4"/>
      <c r="T477" s="4"/>
      <c r="U477" s="194"/>
      <c r="V477" s="4"/>
      <c r="W477" s="4"/>
      <c r="X477" s="4"/>
      <c r="Y477" s="4"/>
      <c r="Z477" s="4"/>
    </row>
    <row r="478" customFormat="false" ht="15.75" hidden="false" customHeight="true" outlineLevel="0" collapsed="false">
      <c r="A478" s="4"/>
      <c r="B478" s="4"/>
      <c r="C478" s="4"/>
      <c r="D478" s="4"/>
      <c r="E478" s="4"/>
      <c r="F478" s="4"/>
      <c r="G478" s="194"/>
      <c r="H478" s="225"/>
      <c r="I478" s="225"/>
      <c r="J478" s="4"/>
      <c r="K478" s="4"/>
      <c r="L478" s="4"/>
      <c r="M478" s="225"/>
      <c r="N478" s="225"/>
      <c r="O478" s="225"/>
      <c r="P478" s="4"/>
      <c r="Q478" s="4"/>
      <c r="R478" s="4"/>
      <c r="S478" s="4"/>
      <c r="T478" s="4"/>
      <c r="U478" s="194"/>
      <c r="V478" s="4"/>
      <c r="W478" s="4"/>
      <c r="X478" s="4"/>
      <c r="Y478" s="4"/>
      <c r="Z478" s="4"/>
    </row>
    <row r="479" customFormat="false" ht="15.75" hidden="false" customHeight="true" outlineLevel="0" collapsed="false">
      <c r="A479" s="4"/>
      <c r="B479" s="4"/>
      <c r="C479" s="4"/>
      <c r="D479" s="4"/>
      <c r="E479" s="4"/>
      <c r="F479" s="4"/>
      <c r="G479" s="194"/>
      <c r="H479" s="225"/>
      <c r="I479" s="225"/>
      <c r="J479" s="4"/>
      <c r="K479" s="4"/>
      <c r="L479" s="4"/>
      <c r="M479" s="225"/>
      <c r="N479" s="225"/>
      <c r="O479" s="225"/>
      <c r="P479" s="4"/>
      <c r="Q479" s="4"/>
      <c r="R479" s="4"/>
      <c r="S479" s="4"/>
      <c r="T479" s="4"/>
      <c r="U479" s="194"/>
      <c r="V479" s="4"/>
      <c r="W479" s="4"/>
      <c r="X479" s="4"/>
      <c r="Y479" s="4"/>
      <c r="Z479" s="4"/>
    </row>
    <row r="480" customFormat="false" ht="15.75" hidden="false" customHeight="true" outlineLevel="0" collapsed="false">
      <c r="A480" s="4"/>
      <c r="B480" s="4"/>
      <c r="C480" s="4"/>
      <c r="D480" s="4"/>
      <c r="E480" s="4"/>
      <c r="F480" s="4"/>
      <c r="G480" s="194"/>
      <c r="H480" s="225"/>
      <c r="I480" s="225"/>
      <c r="J480" s="4"/>
      <c r="K480" s="4"/>
      <c r="L480" s="4"/>
      <c r="M480" s="225"/>
      <c r="N480" s="225"/>
      <c r="O480" s="225"/>
      <c r="P480" s="4"/>
      <c r="Q480" s="4"/>
      <c r="R480" s="4"/>
      <c r="S480" s="4"/>
      <c r="T480" s="4"/>
      <c r="U480" s="194"/>
      <c r="V480" s="4"/>
      <c r="W480" s="4"/>
      <c r="X480" s="4"/>
      <c r="Y480" s="4"/>
      <c r="Z480" s="4"/>
    </row>
    <row r="481" customFormat="false" ht="15.75" hidden="false" customHeight="true" outlineLevel="0" collapsed="false">
      <c r="A481" s="4"/>
      <c r="B481" s="4"/>
      <c r="C481" s="4"/>
      <c r="D481" s="4"/>
      <c r="E481" s="4"/>
      <c r="F481" s="4"/>
      <c r="G481" s="194"/>
      <c r="H481" s="225"/>
      <c r="I481" s="225"/>
      <c r="J481" s="4"/>
      <c r="K481" s="4"/>
      <c r="L481" s="4"/>
      <c r="M481" s="225"/>
      <c r="N481" s="225"/>
      <c r="O481" s="225"/>
      <c r="P481" s="4"/>
      <c r="Q481" s="4"/>
      <c r="R481" s="4"/>
      <c r="S481" s="4"/>
      <c r="T481" s="4"/>
      <c r="U481" s="194"/>
      <c r="V481" s="4"/>
      <c r="W481" s="4"/>
      <c r="X481" s="4"/>
      <c r="Y481" s="4"/>
      <c r="Z481" s="4"/>
    </row>
    <row r="482" customFormat="false" ht="15.75" hidden="false" customHeight="true" outlineLevel="0" collapsed="false">
      <c r="A482" s="4"/>
      <c r="B482" s="4"/>
      <c r="C482" s="4"/>
      <c r="D482" s="4"/>
      <c r="E482" s="4"/>
      <c r="F482" s="4"/>
      <c r="G482" s="194"/>
      <c r="H482" s="225"/>
      <c r="I482" s="225"/>
      <c r="J482" s="4"/>
      <c r="K482" s="4"/>
      <c r="L482" s="4"/>
      <c r="M482" s="225"/>
      <c r="N482" s="225"/>
      <c r="O482" s="225"/>
      <c r="P482" s="4"/>
      <c r="Q482" s="4"/>
      <c r="R482" s="4"/>
      <c r="S482" s="4"/>
      <c r="T482" s="4"/>
      <c r="U482" s="194"/>
      <c r="V482" s="4"/>
      <c r="W482" s="4"/>
      <c r="X482" s="4"/>
      <c r="Y482" s="4"/>
      <c r="Z482" s="4"/>
    </row>
    <row r="483" customFormat="false" ht="15.75" hidden="false" customHeight="true" outlineLevel="0" collapsed="false">
      <c r="A483" s="4"/>
      <c r="B483" s="4"/>
      <c r="C483" s="4"/>
      <c r="D483" s="4"/>
      <c r="E483" s="4"/>
      <c r="F483" s="4"/>
      <c r="G483" s="194"/>
      <c r="H483" s="225"/>
      <c r="I483" s="225"/>
      <c r="J483" s="4"/>
      <c r="K483" s="4"/>
      <c r="L483" s="4"/>
      <c r="M483" s="225"/>
      <c r="N483" s="225"/>
      <c r="O483" s="225"/>
      <c r="P483" s="4"/>
      <c r="Q483" s="4"/>
      <c r="R483" s="4"/>
      <c r="S483" s="4"/>
      <c r="T483" s="4"/>
      <c r="U483" s="194"/>
      <c r="V483" s="4"/>
      <c r="W483" s="4"/>
      <c r="X483" s="4"/>
      <c r="Y483" s="4"/>
      <c r="Z483" s="4"/>
    </row>
    <row r="484" customFormat="false" ht="15.75" hidden="false" customHeight="true" outlineLevel="0" collapsed="false">
      <c r="A484" s="4"/>
      <c r="B484" s="4"/>
      <c r="C484" s="4"/>
      <c r="D484" s="4"/>
      <c r="E484" s="4"/>
      <c r="F484" s="4"/>
      <c r="G484" s="194"/>
      <c r="H484" s="225"/>
      <c r="I484" s="225"/>
      <c r="J484" s="4"/>
      <c r="K484" s="4"/>
      <c r="L484" s="4"/>
      <c r="M484" s="225"/>
      <c r="N484" s="225"/>
      <c r="O484" s="225"/>
      <c r="P484" s="4"/>
      <c r="Q484" s="4"/>
      <c r="R484" s="4"/>
      <c r="S484" s="4"/>
      <c r="T484" s="4"/>
      <c r="U484" s="194"/>
      <c r="V484" s="4"/>
      <c r="W484" s="4"/>
      <c r="X484" s="4"/>
      <c r="Y484" s="4"/>
      <c r="Z484" s="4"/>
    </row>
    <row r="485" customFormat="false" ht="15.75" hidden="false" customHeight="true" outlineLevel="0" collapsed="false">
      <c r="A485" s="4"/>
      <c r="B485" s="4"/>
      <c r="C485" s="4"/>
      <c r="D485" s="4"/>
      <c r="E485" s="4"/>
      <c r="F485" s="4"/>
      <c r="G485" s="194"/>
      <c r="H485" s="225"/>
      <c r="I485" s="225"/>
      <c r="J485" s="4"/>
      <c r="K485" s="4"/>
      <c r="L485" s="4"/>
      <c r="M485" s="225"/>
      <c r="N485" s="225"/>
      <c r="O485" s="225"/>
      <c r="P485" s="4"/>
      <c r="Q485" s="4"/>
      <c r="R485" s="4"/>
      <c r="S485" s="4"/>
      <c r="T485" s="4"/>
      <c r="U485" s="194"/>
      <c r="V485" s="4"/>
      <c r="W485" s="4"/>
      <c r="X485" s="4"/>
      <c r="Y485" s="4"/>
      <c r="Z485" s="4"/>
    </row>
    <row r="486" customFormat="false" ht="15.75" hidden="false" customHeight="true" outlineLevel="0" collapsed="false">
      <c r="A486" s="4"/>
      <c r="B486" s="4"/>
      <c r="C486" s="4"/>
      <c r="D486" s="4"/>
      <c r="E486" s="4"/>
      <c r="F486" s="4"/>
      <c r="G486" s="194"/>
      <c r="H486" s="225"/>
      <c r="I486" s="225"/>
      <c r="J486" s="4"/>
      <c r="K486" s="4"/>
      <c r="L486" s="4"/>
      <c r="M486" s="225"/>
      <c r="N486" s="225"/>
      <c r="O486" s="225"/>
      <c r="P486" s="4"/>
      <c r="Q486" s="4"/>
      <c r="R486" s="4"/>
      <c r="S486" s="4"/>
      <c r="T486" s="4"/>
      <c r="U486" s="194"/>
      <c r="V486" s="4"/>
      <c r="W486" s="4"/>
      <c r="X486" s="4"/>
      <c r="Y486" s="4"/>
      <c r="Z486" s="4"/>
    </row>
    <row r="487" customFormat="false" ht="15.75" hidden="false" customHeight="true" outlineLevel="0" collapsed="false">
      <c r="A487" s="4"/>
      <c r="B487" s="4"/>
      <c r="C487" s="4"/>
      <c r="D487" s="4"/>
      <c r="E487" s="4"/>
      <c r="F487" s="4"/>
      <c r="G487" s="194"/>
      <c r="H487" s="225"/>
      <c r="I487" s="225"/>
      <c r="J487" s="4"/>
      <c r="K487" s="4"/>
      <c r="L487" s="4"/>
      <c r="M487" s="225"/>
      <c r="N487" s="225"/>
      <c r="O487" s="225"/>
      <c r="P487" s="4"/>
      <c r="Q487" s="4"/>
      <c r="R487" s="4"/>
      <c r="S487" s="4"/>
      <c r="T487" s="4"/>
      <c r="U487" s="194"/>
      <c r="V487" s="4"/>
      <c r="W487" s="4"/>
      <c r="X487" s="4"/>
      <c r="Y487" s="4"/>
      <c r="Z487" s="4"/>
    </row>
    <row r="488" customFormat="false" ht="15.75" hidden="false" customHeight="true" outlineLevel="0" collapsed="false">
      <c r="A488" s="4"/>
      <c r="B488" s="4"/>
      <c r="C488" s="4"/>
      <c r="D488" s="4"/>
      <c r="E488" s="4"/>
      <c r="F488" s="4"/>
      <c r="G488" s="194"/>
      <c r="H488" s="225"/>
      <c r="I488" s="225"/>
      <c r="J488" s="4"/>
      <c r="K488" s="4"/>
      <c r="L488" s="4"/>
      <c r="M488" s="225"/>
      <c r="N488" s="225"/>
      <c r="O488" s="225"/>
      <c r="P488" s="4"/>
      <c r="Q488" s="4"/>
      <c r="R488" s="4"/>
      <c r="S488" s="4"/>
      <c r="T488" s="4"/>
      <c r="U488" s="194"/>
      <c r="V488" s="4"/>
      <c r="W488" s="4"/>
      <c r="X488" s="4"/>
      <c r="Y488" s="4"/>
      <c r="Z488" s="4"/>
    </row>
    <row r="489" customFormat="false" ht="15.75" hidden="false" customHeight="true" outlineLevel="0" collapsed="false">
      <c r="A489" s="4"/>
      <c r="B489" s="4"/>
      <c r="C489" s="4"/>
      <c r="D489" s="4"/>
      <c r="E489" s="4"/>
      <c r="F489" s="4"/>
      <c r="G489" s="194"/>
      <c r="H489" s="225"/>
      <c r="I489" s="225"/>
      <c r="J489" s="4"/>
      <c r="K489" s="4"/>
      <c r="L489" s="4"/>
      <c r="M489" s="225"/>
      <c r="N489" s="225"/>
      <c r="O489" s="225"/>
      <c r="P489" s="4"/>
      <c r="Q489" s="4"/>
      <c r="R489" s="4"/>
      <c r="S489" s="4"/>
      <c r="T489" s="4"/>
      <c r="U489" s="194"/>
      <c r="V489" s="4"/>
      <c r="W489" s="4"/>
      <c r="X489" s="4"/>
      <c r="Y489" s="4"/>
      <c r="Z489" s="4"/>
    </row>
    <row r="490" customFormat="false" ht="15.75" hidden="false" customHeight="true" outlineLevel="0" collapsed="false">
      <c r="A490" s="4"/>
      <c r="B490" s="4"/>
      <c r="C490" s="4"/>
      <c r="D490" s="4"/>
      <c r="E490" s="4"/>
      <c r="F490" s="4"/>
      <c r="G490" s="194"/>
      <c r="H490" s="225"/>
      <c r="I490" s="225"/>
      <c r="J490" s="4"/>
      <c r="K490" s="4"/>
      <c r="L490" s="4"/>
      <c r="M490" s="225"/>
      <c r="N490" s="225"/>
      <c r="O490" s="225"/>
      <c r="P490" s="4"/>
      <c r="Q490" s="4"/>
      <c r="R490" s="4"/>
      <c r="S490" s="4"/>
      <c r="T490" s="4"/>
      <c r="U490" s="194"/>
      <c r="V490" s="4"/>
      <c r="W490" s="4"/>
      <c r="X490" s="4"/>
      <c r="Y490" s="4"/>
      <c r="Z490" s="4"/>
    </row>
    <row r="491" customFormat="false" ht="15.75" hidden="false" customHeight="true" outlineLevel="0" collapsed="false">
      <c r="A491" s="4"/>
      <c r="B491" s="4"/>
      <c r="C491" s="4"/>
      <c r="D491" s="4"/>
      <c r="E491" s="4"/>
      <c r="F491" s="4"/>
      <c r="G491" s="194"/>
      <c r="H491" s="225"/>
      <c r="I491" s="225"/>
      <c r="J491" s="4"/>
      <c r="K491" s="4"/>
      <c r="L491" s="4"/>
      <c r="M491" s="225"/>
      <c r="N491" s="225"/>
      <c r="O491" s="225"/>
      <c r="P491" s="4"/>
      <c r="Q491" s="4"/>
      <c r="R491" s="4"/>
      <c r="S491" s="4"/>
      <c r="T491" s="4"/>
      <c r="U491" s="194"/>
      <c r="V491" s="4"/>
      <c r="W491" s="4"/>
      <c r="X491" s="4"/>
      <c r="Y491" s="4"/>
      <c r="Z491" s="4"/>
    </row>
    <row r="492" customFormat="false" ht="15.75" hidden="false" customHeight="true" outlineLevel="0" collapsed="false">
      <c r="A492" s="4"/>
      <c r="B492" s="4"/>
      <c r="C492" s="4"/>
      <c r="D492" s="4"/>
      <c r="E492" s="4"/>
      <c r="F492" s="4"/>
      <c r="G492" s="194"/>
      <c r="H492" s="225"/>
      <c r="I492" s="225"/>
      <c r="J492" s="4"/>
      <c r="K492" s="4"/>
      <c r="L492" s="4"/>
      <c r="M492" s="225"/>
      <c r="N492" s="225"/>
      <c r="O492" s="225"/>
      <c r="P492" s="4"/>
      <c r="Q492" s="4"/>
      <c r="R492" s="4"/>
      <c r="S492" s="4"/>
      <c r="T492" s="4"/>
      <c r="U492" s="194"/>
      <c r="V492" s="4"/>
      <c r="W492" s="4"/>
      <c r="X492" s="4"/>
      <c r="Y492" s="4"/>
      <c r="Z492" s="4"/>
    </row>
    <row r="493" customFormat="false" ht="15.75" hidden="false" customHeight="true" outlineLevel="0" collapsed="false">
      <c r="A493" s="4"/>
      <c r="B493" s="4"/>
      <c r="C493" s="4"/>
      <c r="D493" s="4"/>
      <c r="E493" s="4"/>
      <c r="F493" s="4"/>
      <c r="G493" s="194"/>
      <c r="H493" s="225"/>
      <c r="I493" s="225"/>
      <c r="J493" s="4"/>
      <c r="K493" s="4"/>
      <c r="L493" s="4"/>
      <c r="M493" s="225"/>
      <c r="N493" s="225"/>
      <c r="O493" s="225"/>
      <c r="P493" s="4"/>
      <c r="Q493" s="4"/>
      <c r="R493" s="4"/>
      <c r="S493" s="4"/>
      <c r="T493" s="4"/>
      <c r="U493" s="194"/>
      <c r="V493" s="4"/>
      <c r="W493" s="4"/>
      <c r="X493" s="4"/>
      <c r="Y493" s="4"/>
      <c r="Z493" s="4"/>
    </row>
    <row r="494" customFormat="false" ht="15.75" hidden="false" customHeight="true" outlineLevel="0" collapsed="false">
      <c r="A494" s="4"/>
      <c r="B494" s="4"/>
      <c r="C494" s="4"/>
      <c r="D494" s="4"/>
      <c r="E494" s="4"/>
      <c r="F494" s="4"/>
      <c r="G494" s="194"/>
      <c r="H494" s="225"/>
      <c r="I494" s="225"/>
      <c r="J494" s="4"/>
      <c r="K494" s="4"/>
      <c r="L494" s="4"/>
      <c r="M494" s="225"/>
      <c r="N494" s="225"/>
      <c r="O494" s="225"/>
      <c r="P494" s="4"/>
      <c r="Q494" s="4"/>
      <c r="R494" s="4"/>
      <c r="S494" s="4"/>
      <c r="T494" s="4"/>
      <c r="U494" s="194"/>
      <c r="V494" s="4"/>
      <c r="W494" s="4"/>
      <c r="X494" s="4"/>
      <c r="Y494" s="4"/>
      <c r="Z494" s="4"/>
    </row>
    <row r="495" customFormat="false" ht="15.75" hidden="false" customHeight="true" outlineLevel="0" collapsed="false">
      <c r="A495" s="4"/>
      <c r="B495" s="4"/>
      <c r="C495" s="4"/>
      <c r="D495" s="4"/>
      <c r="E495" s="4"/>
      <c r="F495" s="4"/>
      <c r="G495" s="194"/>
      <c r="H495" s="225"/>
      <c r="I495" s="225"/>
      <c r="J495" s="4"/>
      <c r="K495" s="4"/>
      <c r="L495" s="4"/>
      <c r="M495" s="225"/>
      <c r="N495" s="225"/>
      <c r="O495" s="225"/>
      <c r="P495" s="4"/>
      <c r="Q495" s="4"/>
      <c r="R495" s="4"/>
      <c r="S495" s="4"/>
      <c r="T495" s="4"/>
      <c r="U495" s="194"/>
      <c r="V495" s="4"/>
      <c r="W495" s="4"/>
      <c r="X495" s="4"/>
      <c r="Y495" s="4"/>
      <c r="Z495" s="4"/>
    </row>
    <row r="496" customFormat="false" ht="15.75" hidden="false" customHeight="true" outlineLevel="0" collapsed="false">
      <c r="A496" s="4"/>
      <c r="B496" s="4"/>
      <c r="C496" s="4"/>
      <c r="D496" s="4"/>
      <c r="E496" s="4"/>
      <c r="F496" s="4"/>
      <c r="G496" s="194"/>
      <c r="H496" s="225"/>
      <c r="I496" s="225"/>
      <c r="J496" s="4"/>
      <c r="K496" s="4"/>
      <c r="L496" s="4"/>
      <c r="M496" s="225"/>
      <c r="N496" s="225"/>
      <c r="O496" s="225"/>
      <c r="P496" s="4"/>
      <c r="Q496" s="4"/>
      <c r="R496" s="4"/>
      <c r="S496" s="4"/>
      <c r="T496" s="4"/>
      <c r="U496" s="194"/>
      <c r="V496" s="4"/>
      <c r="W496" s="4"/>
      <c r="X496" s="4"/>
      <c r="Y496" s="4"/>
      <c r="Z496" s="4"/>
    </row>
    <row r="497" customFormat="false" ht="15.75" hidden="false" customHeight="true" outlineLevel="0" collapsed="false">
      <c r="A497" s="4"/>
      <c r="B497" s="4"/>
      <c r="C497" s="4"/>
      <c r="D497" s="4"/>
      <c r="E497" s="4"/>
      <c r="F497" s="4"/>
      <c r="G497" s="194"/>
      <c r="H497" s="225"/>
      <c r="I497" s="225"/>
      <c r="J497" s="4"/>
      <c r="K497" s="4"/>
      <c r="L497" s="4"/>
      <c r="M497" s="225"/>
      <c r="N497" s="225"/>
      <c r="O497" s="225"/>
      <c r="P497" s="4"/>
      <c r="Q497" s="4"/>
      <c r="R497" s="4"/>
      <c r="S497" s="4"/>
      <c r="T497" s="4"/>
      <c r="U497" s="194"/>
      <c r="V497" s="4"/>
      <c r="W497" s="4"/>
      <c r="X497" s="4"/>
      <c r="Y497" s="4"/>
      <c r="Z497" s="4"/>
    </row>
    <row r="498" customFormat="false" ht="15.75" hidden="false" customHeight="true" outlineLevel="0" collapsed="false">
      <c r="A498" s="4"/>
      <c r="B498" s="4"/>
      <c r="C498" s="4"/>
      <c r="D498" s="4"/>
      <c r="E498" s="4"/>
      <c r="F498" s="4"/>
      <c r="G498" s="194"/>
      <c r="H498" s="225"/>
      <c r="I498" s="225"/>
      <c r="J498" s="4"/>
      <c r="K498" s="4"/>
      <c r="L498" s="4"/>
      <c r="M498" s="225"/>
      <c r="N498" s="225"/>
      <c r="O498" s="225"/>
      <c r="P498" s="4"/>
      <c r="Q498" s="4"/>
      <c r="R498" s="4"/>
      <c r="S498" s="4"/>
      <c r="T498" s="4"/>
      <c r="U498" s="194"/>
      <c r="V498" s="4"/>
      <c r="W498" s="4"/>
      <c r="X498" s="4"/>
      <c r="Y498" s="4"/>
      <c r="Z498" s="4"/>
    </row>
    <row r="499" customFormat="false" ht="15.75" hidden="false" customHeight="true" outlineLevel="0" collapsed="false">
      <c r="A499" s="4"/>
      <c r="B499" s="4"/>
      <c r="C499" s="4"/>
      <c r="D499" s="4"/>
      <c r="E499" s="4"/>
      <c r="F499" s="4"/>
      <c r="G499" s="194"/>
      <c r="H499" s="225"/>
      <c r="I499" s="225"/>
      <c r="J499" s="4"/>
      <c r="K499" s="4"/>
      <c r="L499" s="4"/>
      <c r="M499" s="225"/>
      <c r="N499" s="225"/>
      <c r="O499" s="225"/>
      <c r="P499" s="4"/>
      <c r="Q499" s="4"/>
      <c r="R499" s="4"/>
      <c r="S499" s="4"/>
      <c r="T499" s="4"/>
      <c r="U499" s="194"/>
      <c r="V499" s="4"/>
      <c r="W499" s="4"/>
      <c r="X499" s="4"/>
      <c r="Y499" s="4"/>
      <c r="Z499" s="4"/>
    </row>
    <row r="500" customFormat="false" ht="15.75" hidden="false" customHeight="true" outlineLevel="0" collapsed="false">
      <c r="A500" s="4"/>
      <c r="B500" s="4"/>
      <c r="C500" s="4"/>
      <c r="D500" s="4"/>
      <c r="E500" s="4"/>
      <c r="F500" s="4"/>
      <c r="G500" s="194"/>
      <c r="H500" s="225"/>
      <c r="I500" s="225"/>
      <c r="J500" s="4"/>
      <c r="K500" s="4"/>
      <c r="L500" s="4"/>
      <c r="M500" s="225"/>
      <c r="N500" s="225"/>
      <c r="O500" s="225"/>
      <c r="P500" s="4"/>
      <c r="Q500" s="4"/>
      <c r="R500" s="4"/>
      <c r="S500" s="4"/>
      <c r="T500" s="4"/>
      <c r="U500" s="19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R9"/>
  <conditionalFormatting sqref="F4:F1000">
    <cfRule type="expression" priority="2" aboveAverage="0" equalAverage="0" bottom="0" percent="0" rank="0" text="" dxfId="14">
      <formula>ISNUMBER(SEARCH("cancelled",F4))</formula>
    </cfRule>
    <cfRule type="expression" priority="3" aboveAverage="0" equalAverage="0" bottom="0" percent="0" rank="0" text="" dxfId="18">
      <formula>ISNUMBER(SEARCH("confirmed",F4))</formula>
    </cfRule>
  </conditionalFormatting>
  <conditionalFormatting sqref="P4:P1000">
    <cfRule type="expression" priority="4" aboveAverage="0" equalAverage="0" bottom="0" percent="0" rank="0" text="" dxfId="18">
      <formula>ISNUMBER(SEARCH("paid",P4))*NOT(ISNUMBER(SEARCH("unpaid",P4)))*NOT(ISNUMBER(SEARCH("partial",P4)))</formula>
    </cfRule>
    <cfRule type="expression" priority="5" aboveAverage="0" equalAverage="0" bottom="0" percent="0" rank="0" text="" dxfId="14">
      <formula>ISNUMBER(SEARCH("unpaid",P4))</formula>
    </cfRule>
    <cfRule type="expression" priority="6" aboveAverage="0" equalAverage="0" bottom="0" percent="0" rank="0" text="" dxfId="15">
      <formula>ISNUMBER(SEARCH("partial",P4))</formula>
    </cfRule>
  </conditionalFormatting>
  <conditionalFormatting sqref="T4:T1000">
    <cfRule type="expression" priority="7" aboveAverage="0" equalAverage="0" bottom="0" percent="0" rank="0" text="" dxfId="14">
      <formula>ISNUMBER(SEARCH("⚠",T4))</formula>
    </cfRule>
    <cfRule type="expression" priority="8" aboveAverage="0" equalAverage="0" bottom="0" percent="0" rank="0" text="" dxfId="18">
      <formula>ISNUMBER(SEARCH("✓",T4))</formula>
    </cfRule>
    <cfRule type="expression" priority="9" aboveAverage="0" equalAverage="0" bottom="0" percent="0" rank="0" text="" dxfId="14">
      <formula>OR(ISNUMBER(SEARCH("Quá SLA",T4)),ISNUMBER(SEARCH("NGAY",T4)),ISNUMBER(SEARCH("GẤP",T4)),ISNUMBER(SEARCH("NGUY HIỂM",T4)),ISNUMBER(SEARCH("XỬ LÝ",T4)),ISNUMBER(SEARCH("THAM GIA",T4)),ISNUMBER(SEARCH("LH GẤP",T4)))</formula>
    </cfRule>
    <cfRule type="expression" priority="10" aboveAverage="0" equalAverage="0" bottom="0" percent="0" rank="0" text="" dxfId="15">
      <formula>OR(ISNUMBER(SEARCH("đến hạn",T4)),ISNUMBER(SEARCH("còn ",T4)),ISNUMBER(SEARCH("trong SLA",T4)),ISNUMBER(SEARCH("chốt",T4)),ISNUMBER(SEARCH("LH chốt",T4)),ISNUMBER(SEARCH("Follow-up",T4)),ISNUMBER(SEARCH("Phân tích",T4)),ISNUMBER(SEARCH("đến hạn",T4)),ISNUMBER(SEARCH("Set ",T4)))</formula>
    </cfRule>
    <cfRule type="expression" priority="11" aboveAverage="0" equalAverage="0" bottom="0" percent="0" rank="0" text="" dxfId="19">
      <formula>OR(ISNUMBER(SEARCH(" ngay",T4)),ISNUMBER(SEARCH(" gấp",T4)),ISNUMBER(SEARCH("GỌI",T4)),ISNUMBER(SEARCH("NGUY",T4)))</formula>
    </cfRule>
    <cfRule type="expression" priority="12" aboveAverage="0" equalAverage="0" bottom="0" percent="0" rank="0" text="" dxfId="20">
      <formula>ISNUMBER(SEARCH("Không cần làm gì",T4))</formula>
    </cfRule>
    <cfRule type="expression" priority="13" aboveAverage="0" equalAverage="0" bottom="0" percent="0" rank="0" text="" dxfId="21">
      <formula>LEN(T4)&gt;0</formula>
    </cfRule>
  </conditionalFormatting>
  <dataValidations count="2">
    <dataValidation allowBlank="true" errorStyle="stop" operator="between" showDropDown="false" showErrorMessage="false" showInputMessage="false" sqref="F4:F500" type="list">
      <formula1>'CH1. Danh mục lựa chọn'!$B$112:$B$114</formula1>
      <formula2>0</formula2>
    </dataValidation>
    <dataValidation allowBlank="true" errorStyle="stop" operator="between" showDropDown="false" showErrorMessage="false" showInputMessage="false" sqref="J4:J500" type="list">
      <formula1>'CH1. Danh mục lựa chọn'!$B$134:$B$140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9.71"/>
    <col collapsed="false" customWidth="true" hidden="false" outlineLevel="0" max="2" min="2" style="1" width="19.29"/>
    <col collapsed="false" customWidth="true" hidden="false" outlineLevel="0" max="3" min="3" style="1" width="15.71"/>
    <col collapsed="false" customWidth="true" hidden="false" outlineLevel="0" max="4" min="4" style="1" width="20"/>
    <col collapsed="false" customWidth="true" hidden="false" outlineLevel="0" max="5" min="5" style="1" width="36.43"/>
    <col collapsed="false" customWidth="true" hidden="false" outlineLevel="0" max="6" min="6" style="1" width="13.57"/>
    <col collapsed="false" customWidth="true" hidden="false" outlineLevel="0" max="7" min="7" style="1" width="22.15"/>
    <col collapsed="false" customWidth="true" hidden="false" outlineLevel="0" max="8" min="8" style="1" width="19.43"/>
    <col collapsed="false" customWidth="true" hidden="false" outlineLevel="0" max="9" min="9" style="1" width="17"/>
    <col collapsed="false" customWidth="true" hidden="false" outlineLevel="0" max="10" min="10" style="1" width="24.43"/>
    <col collapsed="false" customWidth="true" hidden="false" outlineLevel="0" max="11" min="11" style="1" width="22.71"/>
    <col collapsed="false" customWidth="true" hidden="false" outlineLevel="0" max="12" min="12" style="1" width="17.15"/>
    <col collapsed="false" customWidth="true" hidden="false" outlineLevel="0" max="13" min="13" style="1" width="22.71"/>
    <col collapsed="false" customWidth="true" hidden="false" outlineLevel="0" max="14" min="14" style="1" width="17"/>
    <col collapsed="false" customWidth="true" hidden="false" outlineLevel="0" max="15" min="15" style="1" width="20.29"/>
    <col collapsed="false" customWidth="true" hidden="false" outlineLevel="0" max="16" min="16" style="1" width="21.57"/>
    <col collapsed="false" customWidth="true" hidden="false" outlineLevel="0" max="17" min="17" style="1" width="23.57"/>
    <col collapsed="false" customWidth="true" hidden="false" outlineLevel="0" max="26" min="18" style="1" width="8.71"/>
  </cols>
  <sheetData>
    <row r="1" customFormat="false" ht="21.75" hidden="false" customHeight="true" outlineLevel="0" collapsed="false">
      <c r="A1" s="84" t="s">
        <v>2910</v>
      </c>
      <c r="B1" s="84" t="s">
        <v>867</v>
      </c>
      <c r="C1" s="84" t="s">
        <v>850</v>
      </c>
      <c r="D1" s="84" t="s">
        <v>2911</v>
      </c>
      <c r="E1" s="84" t="s">
        <v>2912</v>
      </c>
      <c r="F1" s="84" t="s">
        <v>2913</v>
      </c>
      <c r="G1" s="84" t="s">
        <v>2914</v>
      </c>
      <c r="H1" s="84" t="s">
        <v>869</v>
      </c>
      <c r="I1" s="84" t="s">
        <v>2915</v>
      </c>
      <c r="J1" s="84" t="s">
        <v>2916</v>
      </c>
      <c r="K1" s="84" t="s">
        <v>2917</v>
      </c>
      <c r="L1" s="84" t="s">
        <v>2918</v>
      </c>
      <c r="M1" s="84" t="s">
        <v>2919</v>
      </c>
      <c r="N1" s="84" t="s">
        <v>2920</v>
      </c>
      <c r="O1" s="84" t="s">
        <v>862</v>
      </c>
      <c r="P1" s="84" t="s">
        <v>870</v>
      </c>
      <c r="Q1" s="84" t="s">
        <v>871</v>
      </c>
    </row>
    <row r="2" customFormat="false" ht="18" hidden="false" customHeight="true" outlineLevel="0" collapsed="false">
      <c r="A2" s="176" t="s">
        <v>2921</v>
      </c>
      <c r="B2" s="176" t="s">
        <v>2922</v>
      </c>
      <c r="C2" s="176" t="s">
        <v>2857</v>
      </c>
      <c r="D2" s="176" t="s">
        <v>2923</v>
      </c>
      <c r="E2" s="176" t="s">
        <v>2924</v>
      </c>
      <c r="F2" s="176" t="s">
        <v>2925</v>
      </c>
      <c r="G2" s="176" t="s">
        <v>2926</v>
      </c>
      <c r="H2" s="176" t="s">
        <v>2927</v>
      </c>
      <c r="I2" s="176" t="s">
        <v>2928</v>
      </c>
      <c r="J2" s="176" t="s">
        <v>2929</v>
      </c>
      <c r="K2" s="176" t="s">
        <v>2930</v>
      </c>
      <c r="L2" s="176" t="s">
        <v>2931</v>
      </c>
      <c r="M2" s="176" t="s">
        <v>2932</v>
      </c>
      <c r="N2" s="176" t="s">
        <v>2933</v>
      </c>
      <c r="O2" s="176" t="s">
        <v>2873</v>
      </c>
      <c r="P2" s="176" t="s">
        <v>2934</v>
      </c>
      <c r="Q2" s="176" t="s">
        <v>2935</v>
      </c>
    </row>
    <row r="3" customFormat="false" ht="27.75" hidden="false" customHeight="true" outlineLevel="0" collapsed="false">
      <c r="A3" s="195" t="s">
        <v>2936</v>
      </c>
      <c r="B3" s="195" t="s">
        <v>2937</v>
      </c>
      <c r="C3" s="195" t="s">
        <v>2938</v>
      </c>
      <c r="D3" s="195" t="s">
        <v>2521</v>
      </c>
      <c r="E3" s="195" t="s">
        <v>2514</v>
      </c>
      <c r="F3" s="195" t="s">
        <v>1642</v>
      </c>
      <c r="G3" s="195" t="s">
        <v>2939</v>
      </c>
      <c r="H3" s="195" t="s">
        <v>2940</v>
      </c>
      <c r="I3" s="195" t="s">
        <v>2941</v>
      </c>
      <c r="J3" s="195" t="s">
        <v>2942</v>
      </c>
      <c r="K3" s="195" t="s">
        <v>2943</v>
      </c>
      <c r="L3" s="195" t="s">
        <v>2944</v>
      </c>
      <c r="M3" s="195" t="s">
        <v>2945</v>
      </c>
      <c r="N3" s="195" t="s">
        <v>2946</v>
      </c>
      <c r="O3" s="195" t="s">
        <v>2888</v>
      </c>
      <c r="P3" s="195" t="s">
        <v>2294</v>
      </c>
      <c r="Q3" s="195" t="s">
        <v>2294</v>
      </c>
    </row>
    <row r="4" customFormat="false" ht="33.75" hidden="false" customHeight="true" outlineLevel="0" collapsed="false">
      <c r="A4" s="209" t="s">
        <v>126</v>
      </c>
      <c r="B4" s="210" t="str">
        <f aca="false">IFERROR(HYPERLINK("#'DL06. Đăng ký'!A"&amp;MATCH("ENR-2026-001",'DL06. Đăng ký'!A:A,0),"ENR-2026-001"),"ENR-2026-001")</f>
        <v>ENR-2026-001</v>
      </c>
      <c r="C4" s="210" t="str">
        <f aca="false">IFERROR(HYPERLINK("#'DL06. Đăng ký'!A"&amp;MATCH("HV001",'DL09. Học viên'!A:A,0),"HV001"),"HV001")</f>
        <v>HV001</v>
      </c>
      <c r="D4" s="211" t="n">
        <v>46153.4166666667</v>
      </c>
      <c r="E4" s="209" t="s">
        <v>1078</v>
      </c>
      <c r="F4" s="219" t="n">
        <v>12000000</v>
      </c>
      <c r="G4" s="219" t="n">
        <v>0</v>
      </c>
      <c r="H4" s="220" t="n">
        <f aca="false">F4-IFERROR(G4,0)</f>
        <v>12000000</v>
      </c>
      <c r="I4" s="209" t="s">
        <v>2947</v>
      </c>
      <c r="J4" s="209" t="s">
        <v>2548</v>
      </c>
      <c r="K4" s="209" t="s">
        <v>2948</v>
      </c>
      <c r="L4" s="210"/>
      <c r="M4" s="209" t="s">
        <v>2949</v>
      </c>
      <c r="N4" s="210"/>
      <c r="O4" s="224" t="str">
        <f aca="false">IFERROR(VLOOKUP(C4,'DL09. Học viên'!$A:$B,2,FALSE()),"")</f>
        <v>Trần Minh Anh</v>
      </c>
      <c r="P4" s="224" t="str">
        <f aca="false">IFERROR(VLOOKUP(L4,'DL01. Nhân viên'!$A:$B,2,FALSE()),"")</f>
        <v/>
      </c>
      <c r="Q4" s="224" t="str">
        <f aca="false">IFERROR(VLOOKUP(N4,'DL01. Nhân viên'!$A:$B,2,FALSE()),"")</f>
        <v/>
      </c>
    </row>
    <row r="5" customFormat="false" ht="33.75" hidden="false" customHeight="true" outlineLevel="0" collapsed="false">
      <c r="A5" s="209" t="s">
        <v>2950</v>
      </c>
      <c r="B5" s="210" t="str">
        <f aca="false">IFERROR(HYPERLINK("#'DL06. Đăng ký'!A"&amp;MATCH("ENR-2026-002",'DL06. Đăng ký'!A:A,0),"ENR-2026-002"),"ENR-2026-002")</f>
        <v>ENR-2026-002</v>
      </c>
      <c r="C5" s="210" t="str">
        <f aca="false">IFERROR(HYPERLINK("#'DL06. Đăng ký'!A"&amp;MATCH("HV002",'DL09. Học viên'!A:A,0),"HV002"),"HV002")</f>
        <v>HV002</v>
      </c>
      <c r="D5" s="211" t="n">
        <v>46138.4166666667</v>
      </c>
      <c r="E5" s="209" t="s">
        <v>1078</v>
      </c>
      <c r="F5" s="219" t="n">
        <v>20000000</v>
      </c>
      <c r="G5" s="219" t="n">
        <v>0</v>
      </c>
      <c r="H5" s="220" t="n">
        <f aca="false">F5-IFERROR(G5,0)</f>
        <v>20000000</v>
      </c>
      <c r="I5" s="209" t="s">
        <v>2947</v>
      </c>
      <c r="J5" s="209" t="s">
        <v>2552</v>
      </c>
      <c r="K5" s="209" t="s">
        <v>2951</v>
      </c>
      <c r="L5" s="210"/>
      <c r="M5" s="209" t="s">
        <v>2949</v>
      </c>
      <c r="N5" s="210"/>
      <c r="O5" s="224" t="str">
        <f aca="false">IFERROR(VLOOKUP(C5,'DL09. Học viên'!$A:$B,2,FALSE()),"")</f>
        <v>Lê Thị Bích Ngọc</v>
      </c>
      <c r="P5" s="224" t="str">
        <f aca="false">IFERROR(VLOOKUP(L5,'DL01. Nhân viên'!$A:$B,2,FALSE()),"")</f>
        <v/>
      </c>
      <c r="Q5" s="224" t="str">
        <f aca="false">IFERROR(VLOOKUP(N5,'DL01. Nhân viên'!$A:$B,2,FALSE()),"")</f>
        <v/>
      </c>
    </row>
    <row r="6" customFormat="false" ht="33.75" hidden="false" customHeight="true" outlineLevel="0" collapsed="false">
      <c r="A6" s="209" t="s">
        <v>2952</v>
      </c>
      <c r="B6" s="210" t="str">
        <f aca="false">IFERROR(HYPERLINK("#'DL06. Đăng ký'!A"&amp;MATCH("ENR-2026-003",'DL06. Đăng ký'!A:A,0),"ENR-2026-003"),"ENR-2026-003")</f>
        <v>ENR-2026-003</v>
      </c>
      <c r="C6" s="210" t="str">
        <f aca="false">IFERROR(HYPERLINK("#'DL06. Đăng ký'!A"&amp;MATCH("HV003",'DL09. Học viên'!A:A,0),"HV003"),"HV003")</f>
        <v>HV003</v>
      </c>
      <c r="D6" s="211" t="n">
        <v>46158.4166666667</v>
      </c>
      <c r="E6" s="209" t="s">
        <v>1078</v>
      </c>
      <c r="F6" s="219" t="n">
        <v>15000000</v>
      </c>
      <c r="G6" s="219" t="n">
        <v>0</v>
      </c>
      <c r="H6" s="220" t="n">
        <f aca="false">F6-IFERROR(G6,0)</f>
        <v>15000000</v>
      </c>
      <c r="I6" s="209" t="s">
        <v>2947</v>
      </c>
      <c r="J6" s="209" t="s">
        <v>2556</v>
      </c>
      <c r="K6" s="209" t="s">
        <v>2953</v>
      </c>
      <c r="L6" s="210"/>
      <c r="M6" s="209" t="s">
        <v>2949</v>
      </c>
      <c r="N6" s="210"/>
      <c r="O6" s="224" t="str">
        <f aca="false">IFERROR(VLOOKUP(C6,'DL09. Học viên'!$A:$B,2,FALSE()),"")</f>
        <v>Phạm Quốc Cường</v>
      </c>
      <c r="P6" s="224" t="str">
        <f aca="false">IFERROR(VLOOKUP(L6,'DL01. Nhân viên'!$A:$B,2,FALSE()),"")</f>
        <v/>
      </c>
      <c r="Q6" s="224" t="str">
        <f aca="false">IFERROR(VLOOKUP(N6,'DL01. Nhân viên'!$A:$B,2,FALSE()),"")</f>
        <v/>
      </c>
    </row>
    <row r="7" customFormat="false" ht="33.75" hidden="false" customHeight="true" outlineLevel="0" collapsed="false">
      <c r="A7" s="209" t="s">
        <v>2954</v>
      </c>
      <c r="B7" s="210" t="str">
        <f aca="false">IFERROR(HYPERLINK("#'DL06. Đăng ký'!A"&amp;MATCH("ENR-2026-004",'DL06. Đăng ký'!A:A,0),"ENR-2026-004"),"ENR-2026-004")</f>
        <v>ENR-2026-004</v>
      </c>
      <c r="C7" s="210" t="str">
        <f aca="false">IFERROR(HYPERLINK("#'DL06. Đăng ký'!A"&amp;MATCH("HV004",'DL09. Học viên'!A:A,0),"HV004"),"HV004")</f>
        <v>HV004</v>
      </c>
      <c r="D7" s="211" t="n">
        <v>46160.4166666667</v>
      </c>
      <c r="E7" s="209" t="s">
        <v>1078</v>
      </c>
      <c r="F7" s="219" t="n">
        <v>20000000</v>
      </c>
      <c r="G7" s="219" t="n">
        <v>0</v>
      </c>
      <c r="H7" s="220" t="n">
        <f aca="false">F7-IFERROR(G7,0)</f>
        <v>20000000</v>
      </c>
      <c r="I7" s="209" t="s">
        <v>2947</v>
      </c>
      <c r="J7" s="209" t="s">
        <v>2560</v>
      </c>
      <c r="K7" s="209" t="s">
        <v>2955</v>
      </c>
      <c r="L7" s="210"/>
      <c r="M7" s="209" t="s">
        <v>2949</v>
      </c>
      <c r="N7" s="210"/>
      <c r="O7" s="224" t="str">
        <f aca="false">IFERROR(VLOOKUP(C7,'DL09. Học viên'!$A:$B,2,FALSE()),"")</f>
        <v>Nguyễn Thị Dung</v>
      </c>
      <c r="P7" s="224" t="str">
        <f aca="false">IFERROR(VLOOKUP(L7,'DL01. Nhân viên'!$A:$B,2,FALSE()),"")</f>
        <v/>
      </c>
      <c r="Q7" s="224" t="str">
        <f aca="false">IFERROR(VLOOKUP(N7,'DL01. Nhân viên'!$A:$B,2,FALSE()),"")</f>
        <v/>
      </c>
    </row>
    <row r="8" customFormat="false" ht="33.75" hidden="false" customHeight="true" outlineLevel="0" collapsed="false">
      <c r="A8" s="209" t="s">
        <v>2956</v>
      </c>
      <c r="B8" s="210" t="str">
        <f aca="false">IFERROR(HYPERLINK("#'DL06. Đăng ký'!A"&amp;MATCH("ENR-2026-005",'DL06. Đăng ký'!A:A,0),"ENR-2026-005"),"ENR-2026-005")</f>
        <v>ENR-2026-005</v>
      </c>
      <c r="C8" s="210" t="str">
        <f aca="false">IFERROR(HYPERLINK("#'DL06. Đăng ký'!A"&amp;MATCH("HV005",'DL09. Học viên'!A:A,0),"HV005"),"HV005")</f>
        <v>HV005</v>
      </c>
      <c r="D8" s="211" t="n">
        <v>46163.4166666667</v>
      </c>
      <c r="E8" s="209" t="s">
        <v>1078</v>
      </c>
      <c r="F8" s="219" t="n">
        <v>25000000</v>
      </c>
      <c r="G8" s="219" t="n">
        <v>0</v>
      </c>
      <c r="H8" s="220" t="n">
        <f aca="false">F8-IFERROR(G8,0)</f>
        <v>25000000</v>
      </c>
      <c r="I8" s="209" t="s">
        <v>2947</v>
      </c>
      <c r="J8" s="209" t="s">
        <v>2563</v>
      </c>
      <c r="K8" s="209" t="s">
        <v>2957</v>
      </c>
      <c r="L8" s="210"/>
      <c r="M8" s="209" t="s">
        <v>2949</v>
      </c>
      <c r="N8" s="210"/>
      <c r="O8" s="224" t="str">
        <f aca="false">IFERROR(VLOOKUP(C8,'DL09. Học viên'!$A:$B,2,FALSE()),"")</f>
        <v>Võ Hoàng Em</v>
      </c>
      <c r="P8" s="224" t="str">
        <f aca="false">IFERROR(VLOOKUP(L8,'DL01. Nhân viên'!$A:$B,2,FALSE()),"")</f>
        <v/>
      </c>
      <c r="Q8" s="224" t="str">
        <f aca="false">IFERROR(VLOOKUP(N8,'DL01. Nhân viên'!$A:$B,2,FALSE()),"")</f>
        <v/>
      </c>
    </row>
    <row r="9" customFormat="false" ht="33.75" hidden="false" customHeight="true" outlineLevel="0" collapsed="false">
      <c r="A9" s="209" t="s">
        <v>2958</v>
      </c>
      <c r="B9" s="210" t="str">
        <f aca="false">IFERROR(HYPERLINK("#'DL06. Đăng ký'!A"&amp;MATCH("ENR-2026-006",'DL06. Đăng ký'!A:A,0),"ENR-2026-006"),"ENR-2026-006")</f>
        <v>ENR-2026-006</v>
      </c>
      <c r="C9" s="210" t="str">
        <f aca="false">IFERROR(HYPERLINK("#'DL06. Đăng ký'!A"&amp;MATCH("HV006",'DL09. Học viên'!A:A,0),"HV006"),"HV006")</f>
        <v>HV006</v>
      </c>
      <c r="D9" s="211" t="n">
        <v>46192.4166666667</v>
      </c>
      <c r="E9" s="209" t="s">
        <v>1078</v>
      </c>
      <c r="F9" s="219" t="n">
        <v>5000000</v>
      </c>
      <c r="G9" s="219" t="n">
        <v>0</v>
      </c>
      <c r="H9" s="220" t="n">
        <f aca="false">F9-IFERROR(G9,0)</f>
        <v>5000000</v>
      </c>
      <c r="I9" s="209" t="s">
        <v>2947</v>
      </c>
      <c r="J9" s="209" t="s">
        <v>2567</v>
      </c>
      <c r="K9" s="209" t="s">
        <v>2959</v>
      </c>
      <c r="L9" s="210"/>
      <c r="M9" s="209" t="s">
        <v>2960</v>
      </c>
      <c r="N9" s="210"/>
      <c r="O9" s="224" t="str">
        <f aca="false">IFERROR(VLOOKUP(C9,'DL09. Học viên'!$A:$B,2,FALSE()),"")</f>
        <v>Đặng Thu Hà</v>
      </c>
      <c r="P9" s="224" t="str">
        <f aca="false">IFERROR(VLOOKUP(L9,'DL01. Nhân viên'!$A:$B,2,FALSE()),"")</f>
        <v/>
      </c>
      <c r="Q9" s="224" t="str">
        <f aca="false">IFERROR(VLOOKUP(N9,'DL01. Nhân viên'!$A:$B,2,FALSE()),"")</f>
        <v/>
      </c>
    </row>
    <row r="10" customFormat="false" ht="33.75" hidden="false" customHeight="true" outlineLevel="0" collapsed="false">
      <c r="A10" s="209" t="s">
        <v>2961</v>
      </c>
      <c r="B10" s="210" t="str">
        <f aca="false">IFERROR(HYPERLINK("#'DL06. Đăng ký'!A"&amp;MATCH("ENR-2026-007",'DL06. Đăng ký'!A:A,0),"ENR-2026-007"),"ENR-2026-007")</f>
        <v>ENR-2026-007</v>
      </c>
      <c r="C10" s="210" t="str">
        <f aca="false">IFERROR(HYPERLINK("#'DL06. Đăng ký'!A"&amp;MATCH("HV007",'DL09. Học viên'!A:A,0),"HV007"),"HV007")</f>
        <v>HV007</v>
      </c>
      <c r="D10" s="211" t="n">
        <v>46168.4166666667</v>
      </c>
      <c r="E10" s="209" t="s">
        <v>1078</v>
      </c>
      <c r="F10" s="219" t="n">
        <v>5000000</v>
      </c>
      <c r="G10" s="219" t="n">
        <v>0</v>
      </c>
      <c r="H10" s="220" t="n">
        <f aca="false">F10-IFERROR(G10,0)</f>
        <v>5000000</v>
      </c>
      <c r="I10" s="209" t="s">
        <v>2947</v>
      </c>
      <c r="J10" s="209" t="s">
        <v>2962</v>
      </c>
      <c r="K10" s="209" t="s">
        <v>2963</v>
      </c>
      <c r="L10" s="210"/>
      <c r="M10" s="209" t="s">
        <v>2964</v>
      </c>
      <c r="N10" s="210"/>
      <c r="O10" s="224" t="str">
        <f aca="false">IFERROR(VLOOKUP(C10,'DL09. Học viên'!$A:$B,2,FALSE()),"")</f>
        <v>Bùi Văn Giang</v>
      </c>
      <c r="P10" s="224" t="str">
        <f aca="false">IFERROR(VLOOKUP(L10,'DL01. Nhân viên'!$A:$B,2,FALSE()),"")</f>
        <v/>
      </c>
      <c r="Q10" s="224" t="str">
        <f aca="false">IFERROR(VLOOKUP(N10,'DL01. Nhân viên'!$A:$B,2,FALSE()),"")</f>
        <v/>
      </c>
    </row>
    <row r="11" customFormat="false" ht="33.75" hidden="false" customHeight="true" outlineLevel="0" collapsed="false">
      <c r="A11" s="209" t="s">
        <v>2965</v>
      </c>
      <c r="B11" s="210" t="str">
        <f aca="false">IFERROR(HYPERLINK("#'DL06. Đăng ký'!A"&amp;MATCH("ENR-2025-050",'DL06. Đăng ký'!A:A,0),"ENR-2025-050"),"ENR-2025-050")</f>
        <v>ENR-2025-050</v>
      </c>
      <c r="C11" s="210" t="str">
        <f aca="false">IFERROR(HYPERLINK("#'DL06. Đăng ký'!A"&amp;MATCH("HV008",'DL09. Học viên'!A:A,0),"HV008"),"HV008")</f>
        <v>HV008</v>
      </c>
      <c r="D11" s="211" t="n">
        <v>46008.4166666667</v>
      </c>
      <c r="E11" s="209" t="s">
        <v>1078</v>
      </c>
      <c r="F11" s="219" t="n">
        <v>15000000</v>
      </c>
      <c r="G11" s="219" t="n">
        <v>0</v>
      </c>
      <c r="H11" s="220" t="n">
        <f aca="false">F11-IFERROR(G11,0)</f>
        <v>15000000</v>
      </c>
      <c r="I11" s="209" t="s">
        <v>2947</v>
      </c>
      <c r="J11" s="209" t="s">
        <v>2966</v>
      </c>
      <c r="K11" s="209" t="s">
        <v>2967</v>
      </c>
      <c r="L11" s="210"/>
      <c r="M11" s="209" t="s">
        <v>2968</v>
      </c>
      <c r="N11" s="210"/>
      <c r="O11" s="224" t="str">
        <f aca="false">IFERROR(VLOOKUP(C11,'DL09. Học viên'!$A:$B,2,FALSE()),"")</f>
        <v>Hồ Thị Hoa</v>
      </c>
      <c r="P11" s="224" t="str">
        <f aca="false">IFERROR(VLOOKUP(L11,'DL01. Nhân viên'!$A:$B,2,FALSE()),"")</f>
        <v/>
      </c>
      <c r="Q11" s="224" t="str">
        <f aca="false">IFERROR(VLOOKUP(N11,'DL01. Nhân viên'!$A:$B,2,FALSE()),"")</f>
        <v/>
      </c>
    </row>
    <row r="12" customFormat="false" ht="33.75" hidden="false" customHeight="true" outlineLevel="0" collapsed="false">
      <c r="A12" s="209" t="s">
        <v>2969</v>
      </c>
      <c r="B12" s="210" t="str">
        <f aca="false">IFERROR(HYPERLINK("#'DL06. Đăng ký'!A"&amp;MATCH("ENR-2026-008",'DL06. Đăng ký'!A:A,0),"ENR-2026-008"),"ENR-2026-008")</f>
        <v>ENR-2026-008</v>
      </c>
      <c r="C12" s="210" t="str">
        <f aca="false">IFERROR(HYPERLINK("#'DL06. Đăng ký'!A"&amp;MATCH("HV008",'DL09. Học viên'!A:A,0),"HV008"),"HV008")</f>
        <v>HV008</v>
      </c>
      <c r="D12" s="211" t="n">
        <v>46203.4166666667</v>
      </c>
      <c r="E12" s="209" t="s">
        <v>1078</v>
      </c>
      <c r="F12" s="219" t="n">
        <v>5000000</v>
      </c>
      <c r="G12" s="219" t="n">
        <v>0</v>
      </c>
      <c r="H12" s="220" t="n">
        <f aca="false">F12-IFERROR(G12,0)</f>
        <v>5000000</v>
      </c>
      <c r="I12" s="209" t="s">
        <v>2947</v>
      </c>
      <c r="J12" s="209" t="s">
        <v>2966</v>
      </c>
      <c r="K12" s="209" t="s">
        <v>2970</v>
      </c>
      <c r="L12" s="210"/>
      <c r="M12" s="209" t="s">
        <v>2971</v>
      </c>
      <c r="N12" s="210"/>
      <c r="O12" s="224" t="str">
        <f aca="false">IFERROR(VLOOKUP(C12,'DL09. Học viên'!$A:$B,2,FALSE()),"")</f>
        <v>Hồ Thị Hoa</v>
      </c>
      <c r="P12" s="224" t="str">
        <f aca="false">IFERROR(VLOOKUP(L12,'DL01. Nhân viên'!$A:$B,2,FALSE()),"")</f>
        <v/>
      </c>
      <c r="Q12" s="224" t="str">
        <f aca="false">IFERROR(VLOOKUP(N12,'DL01. Nhân viên'!$A:$B,2,FALSE()),"")</f>
        <v/>
      </c>
    </row>
    <row r="13" customFormat="false" ht="33.75" hidden="false" customHeight="true" outlineLevel="0" collapsed="false">
      <c r="A13" s="209" t="s">
        <v>2972</v>
      </c>
      <c r="B13" s="210" t="str">
        <f aca="false">IFERROR(HYPERLINK("#'DL06. Đăng ký'!A"&amp;MATCH("ENR-2026-009",'DL06. Đăng ký'!A:A,0),"ENR-2026-009"),"ENR-2026-009")</f>
        <v>ENR-2026-009</v>
      </c>
      <c r="C13" s="210" t="str">
        <f aca="false">IFERROR(HYPERLINK("#'DL06. Đăng ký'!A"&amp;MATCH("HV009",'DL09. Học viên'!A:A,0),"HV009"),"HV009")</f>
        <v>HV009</v>
      </c>
      <c r="D13" s="211" t="n">
        <v>46178.4166666667</v>
      </c>
      <c r="E13" s="209" t="s">
        <v>1078</v>
      </c>
      <c r="F13" s="219" t="n">
        <v>12000000</v>
      </c>
      <c r="G13" s="219" t="n">
        <v>0</v>
      </c>
      <c r="H13" s="220" t="n">
        <f aca="false">F13-IFERROR(G13,0)</f>
        <v>12000000</v>
      </c>
      <c r="I13" s="209" t="s">
        <v>2947</v>
      </c>
      <c r="J13" s="209" t="s">
        <v>2571</v>
      </c>
      <c r="K13" s="209" t="s">
        <v>2973</v>
      </c>
      <c r="L13" s="210"/>
      <c r="M13" s="209" t="s">
        <v>2949</v>
      </c>
      <c r="N13" s="210"/>
      <c r="O13" s="224" t="str">
        <f aca="false">IFERROR(VLOOKUP(C13,'DL09. Học viên'!$A:$B,2,FALSE()),"")</f>
        <v>Lý Gia Khang</v>
      </c>
      <c r="P13" s="224" t="str">
        <f aca="false">IFERROR(VLOOKUP(L13,'DL01. Nhân viên'!$A:$B,2,FALSE()),"")</f>
        <v/>
      </c>
      <c r="Q13" s="224" t="str">
        <f aca="false">IFERROR(VLOOKUP(N13,'DL01. Nhân viên'!$A:$B,2,FALSE()),"")</f>
        <v/>
      </c>
    </row>
    <row r="14" customFormat="false" ht="33.75" hidden="false" customHeight="true" outlineLevel="0" collapsed="false">
      <c r="A14" s="209" t="s">
        <v>2974</v>
      </c>
      <c r="B14" s="210" t="str">
        <f aca="false">IFERROR(HYPERLINK("#'DL06. Đăng ký'!A"&amp;MATCH("ENR-2026-010",'DL06. Đăng ký'!A:A,0),"ENR-2026-010"),"ENR-2026-010")</f>
        <v>ENR-2026-010</v>
      </c>
      <c r="C14" s="210" t="str">
        <f aca="false">IFERROR(HYPERLINK("#'DL06. Đăng ký'!A"&amp;MATCH("HV010",'DL09. Học viên'!A:A,0),"HV010"),"HV010")</f>
        <v>HV010</v>
      </c>
      <c r="D14" s="211" t="n">
        <v>46180.4166666667</v>
      </c>
      <c r="E14" s="209" t="s">
        <v>1078</v>
      </c>
      <c r="F14" s="219" t="n">
        <v>12000000</v>
      </c>
      <c r="G14" s="219" t="n">
        <v>0</v>
      </c>
      <c r="H14" s="220" t="n">
        <f aca="false">F14-IFERROR(G14,0)</f>
        <v>12000000</v>
      </c>
      <c r="I14" s="209" t="s">
        <v>2947</v>
      </c>
      <c r="J14" s="209" t="s">
        <v>2575</v>
      </c>
      <c r="K14" s="209" t="s">
        <v>2975</v>
      </c>
      <c r="L14" s="210"/>
      <c r="M14" s="209" t="s">
        <v>2949</v>
      </c>
      <c r="N14" s="210"/>
      <c r="O14" s="224" t="str">
        <f aca="false">IFERROR(VLOOKUP(C14,'DL09. Học viên'!$A:$B,2,FALSE()),"")</f>
        <v>Trương Mỹ Lan</v>
      </c>
      <c r="P14" s="224" t="str">
        <f aca="false">IFERROR(VLOOKUP(L14,'DL01. Nhân viên'!$A:$B,2,FALSE()),"")</f>
        <v/>
      </c>
      <c r="Q14" s="224" t="str">
        <f aca="false">IFERROR(VLOOKUP(N14,'DL01. Nhân viên'!$A:$B,2,FALSE()),"")</f>
        <v/>
      </c>
    </row>
    <row r="15" customFormat="false" ht="33.75" hidden="false" customHeight="true" outlineLevel="0" collapsed="false">
      <c r="A15" s="209" t="s">
        <v>2976</v>
      </c>
      <c r="B15" s="210" t="str">
        <f aca="false">IFERROR(HYPERLINK("#'DL06. Đăng ký'!A"&amp;MATCH("ENR-2026-011",'DL06. Đăng ký'!A:A,0),"ENR-2026-011"),"ENR-2026-011")</f>
        <v>ENR-2026-011</v>
      </c>
      <c r="C15" s="210" t="str">
        <f aca="false">IFERROR(HYPERLINK("#'DL06. Đăng ký'!A"&amp;MATCH("HV011",'DL09. Học viên'!A:A,0),"HV011"),"HV011")</f>
        <v>HV011</v>
      </c>
      <c r="D15" s="211" t="n">
        <v>46182.4166666667</v>
      </c>
      <c r="E15" s="209" t="s">
        <v>1078</v>
      </c>
      <c r="F15" s="219" t="n">
        <v>12000000</v>
      </c>
      <c r="G15" s="219" t="n">
        <v>0</v>
      </c>
      <c r="H15" s="220" t="n">
        <f aca="false">F15-IFERROR(G15,0)</f>
        <v>12000000</v>
      </c>
      <c r="I15" s="209" t="s">
        <v>2947</v>
      </c>
      <c r="J15" s="209" t="s">
        <v>2578</v>
      </c>
      <c r="K15" s="209" t="s">
        <v>2977</v>
      </c>
      <c r="L15" s="210"/>
      <c r="M15" s="209" t="s">
        <v>2978</v>
      </c>
      <c r="N15" s="210"/>
      <c r="O15" s="224" t="str">
        <f aca="false">IFERROR(VLOOKUP(C15,'DL09. Học viên'!$A:$B,2,FALSE()),"")</f>
        <v>Phan Đức Minh</v>
      </c>
      <c r="P15" s="224" t="str">
        <f aca="false">IFERROR(VLOOKUP(L15,'DL01. Nhân viên'!$A:$B,2,FALSE()),"")</f>
        <v/>
      </c>
      <c r="Q15" s="224" t="str">
        <f aca="false">IFERROR(VLOOKUP(N15,'DL01. Nhân viên'!$A:$B,2,FALSE()),"")</f>
        <v/>
      </c>
    </row>
    <row r="16" customFormat="false" ht="33.75" hidden="false" customHeight="true" outlineLevel="0" collapsed="false">
      <c r="A16" s="209" t="s">
        <v>2979</v>
      </c>
      <c r="B16" s="210" t="str">
        <f aca="false">IFERROR(HYPERLINK("#'DL06. Đăng ký'!A"&amp;MATCH("ENR-2026-012",'DL06. Đăng ký'!A:A,0),"ENR-2026-012"),"ENR-2026-012")</f>
        <v>ENR-2026-012</v>
      </c>
      <c r="C16" s="210" t="str">
        <f aca="false">IFERROR(HYPERLINK("#'DL06. Đăng ký'!A"&amp;MATCH("HV012",'DL09. Học viên'!A:A,0),"HV012"),"HV012")</f>
        <v>HV012</v>
      </c>
      <c r="D16" s="211" t="n">
        <v>46186.4166666667</v>
      </c>
      <c r="E16" s="209" t="s">
        <v>1078</v>
      </c>
      <c r="F16" s="219" t="n">
        <v>15000000</v>
      </c>
      <c r="G16" s="219" t="n">
        <v>0</v>
      </c>
      <c r="H16" s="220" t="n">
        <f aca="false">F16-IFERROR(G16,0)</f>
        <v>15000000</v>
      </c>
      <c r="I16" s="209" t="s">
        <v>2947</v>
      </c>
      <c r="J16" s="209" t="s">
        <v>2581</v>
      </c>
      <c r="K16" s="209" t="s">
        <v>2980</v>
      </c>
      <c r="L16" s="210"/>
      <c r="M16" s="209" t="s">
        <v>2949</v>
      </c>
      <c r="N16" s="210"/>
      <c r="O16" s="224" t="str">
        <f aca="false">IFERROR(VLOOKUP(C16,'DL09. Học viên'!$A:$B,2,FALSE()),"")</f>
        <v>Vũ Thảo Nhi</v>
      </c>
      <c r="P16" s="224" t="str">
        <f aca="false">IFERROR(VLOOKUP(L16,'DL01. Nhân viên'!$A:$B,2,FALSE()),"")</f>
        <v/>
      </c>
      <c r="Q16" s="224" t="str">
        <f aca="false">IFERROR(VLOOKUP(N16,'DL01. Nhân viên'!$A:$B,2,FALSE()),"")</f>
        <v/>
      </c>
    </row>
    <row r="17" customFormat="false" ht="33.75" hidden="false" customHeight="true" outlineLevel="0" collapsed="false">
      <c r="A17" s="209" t="s">
        <v>2981</v>
      </c>
      <c r="B17" s="210" t="str">
        <f aca="false">IFERROR(HYPERLINK("#'DL06. Đăng ký'!A"&amp;MATCH("ENR-2026-013",'DL06. Đăng ký'!A:A,0),"ENR-2026-013"),"ENR-2026-013")</f>
        <v>ENR-2026-013</v>
      </c>
      <c r="C17" s="210" t="str">
        <f aca="false">IFERROR(HYPERLINK("#'DL06. Đăng ký'!A"&amp;MATCH("HV013",'DL09. Học viên'!A:A,0),"HV013"),"HV013")</f>
        <v>HV013</v>
      </c>
      <c r="D17" s="211" t="n">
        <v>46190.4166666667</v>
      </c>
      <c r="E17" s="209" t="s">
        <v>1078</v>
      </c>
      <c r="F17" s="219" t="n">
        <v>25000000</v>
      </c>
      <c r="G17" s="219" t="n">
        <v>0</v>
      </c>
      <c r="H17" s="220" t="n">
        <f aca="false">F17-IFERROR(G17,0)</f>
        <v>25000000</v>
      </c>
      <c r="I17" s="209" t="s">
        <v>2947</v>
      </c>
      <c r="J17" s="209" t="s">
        <v>2584</v>
      </c>
      <c r="K17" s="209" t="s">
        <v>2982</v>
      </c>
      <c r="L17" s="210"/>
      <c r="M17" s="209" t="s">
        <v>2949</v>
      </c>
      <c r="N17" s="210"/>
      <c r="O17" s="224" t="str">
        <f aca="false">IFERROR(VLOOKUP(C17,'DL09. Học viên'!$A:$B,2,FALSE()),"")</f>
        <v>Đinh Công Phú</v>
      </c>
      <c r="P17" s="224" t="str">
        <f aca="false">IFERROR(VLOOKUP(L17,'DL01. Nhân viên'!$A:$B,2,FALSE()),"")</f>
        <v/>
      </c>
      <c r="Q17" s="224" t="str">
        <f aca="false">IFERROR(VLOOKUP(N17,'DL01. Nhân viên'!$A:$B,2,FALSE()),"")</f>
        <v/>
      </c>
    </row>
    <row r="18" customFormat="false" ht="33.75" hidden="false" customHeight="true" outlineLevel="0" collapsed="false">
      <c r="A18" s="209" t="s">
        <v>2983</v>
      </c>
      <c r="B18" s="210" t="str">
        <f aca="false">IFERROR(HYPERLINK("#'DL06. Đăng ký'!A"&amp;MATCH("ENR-2026-014",'DL06. Đăng ký'!A:A,0),"ENR-2026-014"),"ENR-2026-014")</f>
        <v>ENR-2026-014</v>
      </c>
      <c r="C18" s="210" t="str">
        <f aca="false">IFERROR(HYPERLINK("#'DL06. Đăng ký'!A"&amp;MATCH("HV014",'DL09. Học viên'!A:A,0),"HV014"),"HV014")</f>
        <v>HV014</v>
      </c>
      <c r="D18" s="211" t="n">
        <v>46198.4166666667</v>
      </c>
      <c r="E18" s="209" t="s">
        <v>1078</v>
      </c>
      <c r="F18" s="219" t="n">
        <v>20000000</v>
      </c>
      <c r="G18" s="219" t="n">
        <v>0</v>
      </c>
      <c r="H18" s="220" t="n">
        <f aca="false">F18-IFERROR(G18,0)</f>
        <v>20000000</v>
      </c>
      <c r="I18" s="209" t="s">
        <v>2947</v>
      </c>
      <c r="J18" s="209" t="s">
        <v>2587</v>
      </c>
      <c r="K18" s="209" t="s">
        <v>2984</v>
      </c>
      <c r="L18" s="210"/>
      <c r="M18" s="209" t="s">
        <v>2949</v>
      </c>
      <c r="N18" s="210"/>
      <c r="O18" s="224" t="str">
        <f aca="false">IFERROR(VLOOKUP(C18,'DL09. Học viên'!$A:$B,2,FALSE()),"")</f>
        <v>Mai Xuân Quỳnh</v>
      </c>
      <c r="P18" s="224" t="str">
        <f aca="false">IFERROR(VLOOKUP(L18,'DL01. Nhân viên'!$A:$B,2,FALSE()),"")</f>
        <v/>
      </c>
      <c r="Q18" s="224" t="str">
        <f aca="false">IFERROR(VLOOKUP(N18,'DL01. Nhân viên'!$A:$B,2,FALSE()),"")</f>
        <v/>
      </c>
    </row>
    <row r="19" customFormat="false" ht="15" hidden="false" customHeight="true" outlineLevel="0" collapsed="false">
      <c r="A19" s="226"/>
      <c r="B19" s="226"/>
      <c r="C19" s="226"/>
      <c r="D19" s="227"/>
      <c r="E19" s="226"/>
      <c r="F19" s="228"/>
      <c r="G19" s="228"/>
      <c r="H19" s="228"/>
      <c r="I19" s="226"/>
      <c r="J19" s="226"/>
      <c r="K19" s="226"/>
      <c r="L19" s="226"/>
      <c r="M19" s="226"/>
      <c r="N19" s="226"/>
      <c r="O19" s="208"/>
      <c r="P19" s="208"/>
      <c r="Q19" s="208"/>
    </row>
    <row r="20" customFormat="false" ht="15" hidden="false" customHeight="true" outlineLevel="0" collapsed="false">
      <c r="A20" s="135"/>
      <c r="B20" s="135"/>
      <c r="C20" s="135"/>
      <c r="D20" s="189"/>
      <c r="E20" s="135"/>
      <c r="F20" s="229"/>
      <c r="G20" s="229"/>
      <c r="H20" s="229"/>
      <c r="I20" s="135"/>
      <c r="J20" s="135"/>
      <c r="K20" s="135"/>
      <c r="L20" s="135"/>
      <c r="M20" s="135"/>
      <c r="N20" s="135"/>
      <c r="O20" s="135"/>
      <c r="P20" s="135"/>
      <c r="Q20" s="135"/>
    </row>
    <row r="21" customFormat="false" ht="15.75" hidden="false" customHeight="true" outlineLevel="0" collapsed="false">
      <c r="A21" s="135"/>
      <c r="B21" s="135"/>
      <c r="C21" s="135"/>
      <c r="D21" s="189"/>
      <c r="E21" s="135"/>
      <c r="F21" s="229"/>
      <c r="G21" s="229"/>
      <c r="H21" s="229"/>
      <c r="I21" s="135"/>
      <c r="J21" s="135"/>
      <c r="K21" s="135"/>
      <c r="L21" s="135"/>
      <c r="M21" s="135"/>
      <c r="N21" s="135"/>
      <c r="O21" s="135"/>
      <c r="P21" s="135"/>
      <c r="Q21" s="135"/>
    </row>
    <row r="22" customFormat="false" ht="15.75" hidden="false" customHeight="true" outlineLevel="0" collapsed="false">
      <c r="A22" s="135"/>
      <c r="B22" s="135"/>
      <c r="C22" s="135"/>
      <c r="D22" s="189"/>
      <c r="E22" s="135"/>
      <c r="F22" s="229"/>
      <c r="G22" s="229"/>
      <c r="H22" s="229"/>
      <c r="I22" s="135"/>
      <c r="J22" s="135"/>
      <c r="K22" s="135"/>
      <c r="L22" s="135"/>
      <c r="M22" s="135"/>
      <c r="N22" s="135"/>
      <c r="O22" s="135"/>
      <c r="P22" s="135"/>
      <c r="Q22" s="135"/>
    </row>
    <row r="23" customFormat="false" ht="15.75" hidden="false" customHeight="true" outlineLevel="0" collapsed="false">
      <c r="A23" s="135"/>
      <c r="B23" s="135"/>
      <c r="C23" s="135"/>
      <c r="D23" s="189"/>
      <c r="E23" s="135"/>
      <c r="F23" s="229"/>
      <c r="G23" s="229"/>
      <c r="H23" s="229"/>
      <c r="I23" s="135"/>
      <c r="J23" s="135"/>
      <c r="K23" s="135"/>
      <c r="L23" s="135"/>
      <c r="M23" s="135"/>
      <c r="N23" s="135"/>
      <c r="O23" s="135"/>
      <c r="P23" s="135"/>
      <c r="Q23" s="135"/>
    </row>
    <row r="24" customFormat="false" ht="15.75" hidden="false" customHeight="true" outlineLevel="0" collapsed="false">
      <c r="A24" s="135"/>
      <c r="B24" s="135"/>
      <c r="C24" s="135"/>
      <c r="D24" s="189"/>
      <c r="E24" s="135"/>
      <c r="F24" s="229"/>
      <c r="G24" s="229"/>
      <c r="H24" s="229"/>
      <c r="I24" s="135"/>
      <c r="J24" s="135"/>
      <c r="K24" s="135"/>
      <c r="L24" s="135"/>
      <c r="M24" s="135"/>
      <c r="N24" s="135"/>
      <c r="O24" s="135"/>
      <c r="P24" s="135"/>
      <c r="Q24" s="135"/>
    </row>
    <row r="25" customFormat="false" ht="15.75" hidden="false" customHeight="true" outlineLevel="0" collapsed="false">
      <c r="A25" s="135"/>
      <c r="B25" s="135"/>
      <c r="C25" s="135"/>
      <c r="D25" s="189"/>
      <c r="E25" s="135"/>
      <c r="F25" s="229"/>
      <c r="G25" s="229"/>
      <c r="H25" s="229"/>
      <c r="I25" s="135"/>
      <c r="J25" s="135"/>
      <c r="K25" s="135"/>
      <c r="L25" s="135"/>
      <c r="M25" s="135"/>
      <c r="N25" s="135"/>
      <c r="O25" s="135"/>
      <c r="P25" s="135"/>
      <c r="Q25" s="135"/>
    </row>
    <row r="26" customFormat="false" ht="15.75" hidden="false" customHeight="true" outlineLevel="0" collapsed="false">
      <c r="A26" s="135"/>
      <c r="B26" s="135"/>
      <c r="C26" s="135"/>
      <c r="D26" s="189"/>
      <c r="E26" s="135"/>
      <c r="F26" s="229"/>
      <c r="G26" s="229"/>
      <c r="H26" s="229"/>
      <c r="I26" s="135"/>
      <c r="J26" s="135"/>
      <c r="K26" s="135"/>
      <c r="L26" s="135"/>
      <c r="M26" s="135"/>
      <c r="N26" s="135"/>
      <c r="O26" s="135"/>
      <c r="P26" s="135"/>
      <c r="Q26" s="135"/>
    </row>
    <row r="27" customFormat="false" ht="15.75" hidden="false" customHeight="true" outlineLevel="0" collapsed="false">
      <c r="A27" s="135"/>
      <c r="B27" s="135"/>
      <c r="C27" s="135"/>
      <c r="D27" s="189"/>
      <c r="E27" s="135"/>
      <c r="F27" s="229"/>
      <c r="G27" s="229"/>
      <c r="H27" s="229"/>
      <c r="I27" s="135"/>
      <c r="J27" s="135"/>
      <c r="K27" s="135"/>
      <c r="L27" s="135"/>
      <c r="M27" s="135"/>
      <c r="N27" s="135"/>
      <c r="O27" s="135"/>
      <c r="P27" s="135"/>
      <c r="Q27" s="135"/>
    </row>
    <row r="28" customFormat="false" ht="15.75" hidden="false" customHeight="true" outlineLevel="0" collapsed="false">
      <c r="A28" s="135"/>
      <c r="B28" s="135"/>
      <c r="C28" s="135"/>
      <c r="D28" s="189"/>
      <c r="E28" s="135"/>
      <c r="F28" s="229"/>
      <c r="G28" s="229"/>
      <c r="H28" s="229"/>
      <c r="I28" s="135"/>
      <c r="J28" s="135"/>
      <c r="K28" s="135"/>
      <c r="L28" s="135"/>
      <c r="M28" s="135"/>
      <c r="N28" s="135"/>
      <c r="O28" s="135"/>
      <c r="P28" s="135"/>
      <c r="Q28" s="135"/>
    </row>
    <row r="29" customFormat="false" ht="15.75" hidden="false" customHeight="true" outlineLevel="0" collapsed="false">
      <c r="A29" s="135"/>
      <c r="B29" s="135"/>
      <c r="C29" s="135"/>
      <c r="D29" s="189"/>
      <c r="E29" s="135"/>
      <c r="F29" s="229"/>
      <c r="G29" s="229"/>
      <c r="H29" s="229"/>
      <c r="I29" s="135"/>
      <c r="J29" s="135"/>
      <c r="K29" s="135"/>
      <c r="L29" s="135"/>
      <c r="M29" s="135"/>
      <c r="N29" s="135"/>
      <c r="O29" s="135"/>
      <c r="P29" s="135"/>
      <c r="Q29" s="135"/>
    </row>
    <row r="30" customFormat="false" ht="15.75" hidden="false" customHeight="true" outlineLevel="0" collapsed="false">
      <c r="A30" s="135"/>
      <c r="B30" s="135"/>
      <c r="C30" s="135"/>
      <c r="D30" s="189"/>
      <c r="E30" s="135"/>
      <c r="F30" s="229"/>
      <c r="G30" s="229"/>
      <c r="H30" s="229"/>
      <c r="I30" s="135"/>
      <c r="J30" s="135"/>
      <c r="K30" s="135"/>
      <c r="L30" s="135"/>
      <c r="M30" s="135"/>
      <c r="N30" s="135"/>
      <c r="O30" s="135"/>
      <c r="P30" s="135"/>
      <c r="Q30" s="135"/>
    </row>
    <row r="31" customFormat="false" ht="15.75" hidden="false" customHeight="true" outlineLevel="0" collapsed="false">
      <c r="A31" s="135"/>
      <c r="B31" s="135"/>
      <c r="C31" s="135"/>
      <c r="D31" s="189"/>
      <c r="E31" s="135"/>
      <c r="F31" s="229"/>
      <c r="G31" s="229"/>
      <c r="H31" s="229"/>
      <c r="I31" s="135"/>
      <c r="J31" s="135"/>
      <c r="K31" s="135"/>
      <c r="L31" s="135"/>
      <c r="M31" s="135"/>
      <c r="N31" s="135"/>
      <c r="O31" s="135"/>
      <c r="P31" s="135"/>
      <c r="Q31" s="135"/>
    </row>
    <row r="32" customFormat="false" ht="15.75" hidden="false" customHeight="true" outlineLevel="0" collapsed="false">
      <c r="A32" s="135"/>
      <c r="B32" s="135"/>
      <c r="C32" s="135"/>
      <c r="D32" s="189"/>
      <c r="E32" s="135"/>
      <c r="F32" s="229"/>
      <c r="G32" s="229"/>
      <c r="H32" s="229"/>
      <c r="I32" s="135"/>
      <c r="J32" s="135"/>
      <c r="K32" s="135"/>
      <c r="L32" s="135"/>
      <c r="M32" s="135"/>
      <c r="N32" s="135"/>
      <c r="O32" s="135"/>
      <c r="P32" s="135"/>
      <c r="Q32" s="135"/>
    </row>
    <row r="33" customFormat="false" ht="15.75" hidden="false" customHeight="true" outlineLevel="0" collapsed="false">
      <c r="A33" s="135"/>
      <c r="B33" s="135"/>
      <c r="C33" s="135"/>
      <c r="D33" s="189"/>
      <c r="E33" s="135"/>
      <c r="F33" s="229"/>
      <c r="G33" s="229"/>
      <c r="H33" s="229"/>
      <c r="I33" s="135"/>
      <c r="J33" s="135"/>
      <c r="K33" s="135"/>
      <c r="L33" s="135"/>
      <c r="M33" s="135"/>
      <c r="N33" s="135"/>
      <c r="O33" s="135"/>
      <c r="P33" s="135"/>
      <c r="Q33" s="135"/>
    </row>
    <row r="34" customFormat="false" ht="15.75" hidden="false" customHeight="true" outlineLevel="0" collapsed="false">
      <c r="A34" s="135"/>
      <c r="B34" s="135"/>
      <c r="C34" s="135"/>
      <c r="D34" s="189"/>
      <c r="E34" s="135"/>
      <c r="F34" s="229"/>
      <c r="G34" s="229"/>
      <c r="H34" s="229"/>
      <c r="I34" s="135"/>
      <c r="J34" s="135"/>
      <c r="K34" s="135"/>
      <c r="L34" s="135"/>
      <c r="M34" s="135"/>
      <c r="N34" s="135"/>
      <c r="O34" s="135"/>
      <c r="P34" s="135"/>
      <c r="Q34" s="135"/>
    </row>
    <row r="35" customFormat="false" ht="15.75" hidden="false" customHeight="true" outlineLevel="0" collapsed="false">
      <c r="A35" s="135"/>
      <c r="B35" s="135"/>
      <c r="C35" s="135"/>
      <c r="D35" s="189"/>
      <c r="E35" s="135"/>
      <c r="F35" s="229"/>
      <c r="G35" s="229"/>
      <c r="H35" s="229"/>
      <c r="I35" s="135"/>
      <c r="J35" s="135"/>
      <c r="K35" s="135"/>
      <c r="L35" s="135"/>
      <c r="M35" s="135"/>
      <c r="N35" s="135"/>
      <c r="O35" s="135"/>
      <c r="P35" s="135"/>
      <c r="Q35" s="135"/>
    </row>
    <row r="36" customFormat="false" ht="15.75" hidden="false" customHeight="true" outlineLevel="0" collapsed="false">
      <c r="A36" s="135"/>
      <c r="B36" s="135"/>
      <c r="C36" s="135"/>
      <c r="D36" s="189"/>
      <c r="E36" s="135"/>
      <c r="F36" s="229"/>
      <c r="G36" s="229"/>
      <c r="H36" s="229"/>
      <c r="I36" s="135"/>
      <c r="J36" s="135"/>
      <c r="K36" s="135"/>
      <c r="L36" s="135"/>
      <c r="M36" s="135"/>
      <c r="N36" s="135"/>
      <c r="O36" s="135"/>
      <c r="P36" s="135"/>
      <c r="Q36" s="135"/>
    </row>
    <row r="37" customFormat="false" ht="15.75" hidden="false" customHeight="true" outlineLevel="0" collapsed="false">
      <c r="A37" s="135"/>
      <c r="B37" s="135"/>
      <c r="C37" s="135"/>
      <c r="D37" s="189"/>
      <c r="E37" s="135"/>
      <c r="F37" s="229"/>
      <c r="G37" s="229"/>
      <c r="H37" s="229"/>
      <c r="I37" s="135"/>
      <c r="J37" s="135"/>
      <c r="K37" s="135"/>
      <c r="L37" s="135"/>
      <c r="M37" s="135"/>
      <c r="N37" s="135"/>
      <c r="O37" s="135"/>
      <c r="P37" s="135"/>
      <c r="Q37" s="135"/>
    </row>
    <row r="38" customFormat="false" ht="15.75" hidden="false" customHeight="true" outlineLevel="0" collapsed="false">
      <c r="A38" s="135"/>
      <c r="B38" s="135"/>
      <c r="C38" s="135"/>
      <c r="D38" s="189"/>
      <c r="E38" s="135"/>
      <c r="F38" s="229"/>
      <c r="G38" s="229"/>
      <c r="H38" s="229"/>
      <c r="I38" s="135"/>
      <c r="J38" s="135"/>
      <c r="K38" s="135"/>
      <c r="L38" s="135"/>
      <c r="M38" s="135"/>
      <c r="N38" s="135"/>
      <c r="O38" s="135"/>
      <c r="P38" s="135"/>
      <c r="Q38" s="135"/>
    </row>
    <row r="39" customFormat="false" ht="15.75" hidden="false" customHeight="true" outlineLevel="0" collapsed="false">
      <c r="A39" s="135"/>
      <c r="B39" s="135"/>
      <c r="C39" s="135"/>
      <c r="D39" s="189"/>
      <c r="E39" s="135"/>
      <c r="F39" s="229"/>
      <c r="G39" s="229"/>
      <c r="H39" s="229"/>
      <c r="I39" s="135"/>
      <c r="J39" s="135"/>
      <c r="K39" s="135"/>
      <c r="L39" s="135"/>
      <c r="M39" s="135"/>
      <c r="N39" s="135"/>
      <c r="O39" s="135"/>
      <c r="P39" s="135"/>
      <c r="Q39" s="135"/>
    </row>
    <row r="40" customFormat="false" ht="15.75" hidden="false" customHeight="true" outlineLevel="0" collapsed="false">
      <c r="A40" s="135"/>
      <c r="B40" s="135"/>
      <c r="C40" s="135"/>
      <c r="D40" s="189"/>
      <c r="E40" s="135"/>
      <c r="F40" s="229"/>
      <c r="G40" s="229"/>
      <c r="H40" s="229"/>
      <c r="I40" s="135"/>
      <c r="J40" s="135"/>
      <c r="K40" s="135"/>
      <c r="L40" s="135"/>
      <c r="M40" s="135"/>
      <c r="N40" s="135"/>
      <c r="O40" s="135"/>
      <c r="P40" s="135"/>
      <c r="Q40" s="135"/>
    </row>
    <row r="41" customFormat="false" ht="15.75" hidden="false" customHeight="true" outlineLevel="0" collapsed="false">
      <c r="A41" s="135"/>
      <c r="B41" s="135"/>
      <c r="C41" s="135"/>
      <c r="D41" s="189"/>
      <c r="E41" s="135"/>
      <c r="F41" s="229"/>
      <c r="G41" s="229"/>
      <c r="H41" s="229"/>
      <c r="I41" s="135"/>
      <c r="J41" s="135"/>
      <c r="K41" s="135"/>
      <c r="L41" s="135"/>
      <c r="M41" s="135"/>
      <c r="N41" s="135"/>
      <c r="O41" s="135"/>
      <c r="P41" s="135"/>
      <c r="Q41" s="135"/>
    </row>
    <row r="42" customFormat="false" ht="15.75" hidden="false" customHeight="true" outlineLevel="0" collapsed="false">
      <c r="A42" s="135"/>
      <c r="B42" s="135"/>
      <c r="C42" s="135"/>
      <c r="D42" s="189"/>
      <c r="E42" s="135"/>
      <c r="F42" s="229"/>
      <c r="G42" s="229"/>
      <c r="H42" s="229"/>
      <c r="I42" s="135"/>
      <c r="J42" s="135"/>
      <c r="K42" s="135"/>
      <c r="L42" s="135"/>
      <c r="M42" s="135"/>
      <c r="N42" s="135"/>
      <c r="O42" s="135"/>
      <c r="P42" s="135"/>
      <c r="Q42" s="135"/>
    </row>
    <row r="43" customFormat="false" ht="15.75" hidden="false" customHeight="true" outlineLevel="0" collapsed="false">
      <c r="A43" s="135"/>
      <c r="B43" s="135"/>
      <c r="C43" s="135"/>
      <c r="D43" s="189"/>
      <c r="E43" s="135"/>
      <c r="F43" s="229"/>
      <c r="G43" s="229"/>
      <c r="H43" s="229"/>
      <c r="I43" s="135"/>
      <c r="J43" s="135"/>
      <c r="K43" s="135"/>
      <c r="L43" s="135"/>
      <c r="M43" s="135"/>
      <c r="N43" s="135"/>
      <c r="O43" s="135"/>
      <c r="P43" s="135"/>
      <c r="Q43" s="135"/>
    </row>
    <row r="44" customFormat="false" ht="15.75" hidden="false" customHeight="true" outlineLevel="0" collapsed="false">
      <c r="A44" s="135"/>
      <c r="B44" s="135"/>
      <c r="C44" s="135"/>
      <c r="D44" s="189"/>
      <c r="E44" s="135"/>
      <c r="F44" s="229"/>
      <c r="G44" s="229"/>
      <c r="H44" s="229"/>
      <c r="I44" s="135"/>
      <c r="J44" s="135"/>
      <c r="K44" s="135"/>
      <c r="L44" s="135"/>
      <c r="M44" s="135"/>
      <c r="N44" s="135"/>
      <c r="O44" s="135"/>
      <c r="P44" s="135"/>
      <c r="Q44" s="135"/>
    </row>
    <row r="45" customFormat="false" ht="15.75" hidden="false" customHeight="true" outlineLevel="0" collapsed="false">
      <c r="A45" s="135"/>
      <c r="B45" s="135"/>
      <c r="C45" s="135"/>
      <c r="D45" s="189"/>
      <c r="E45" s="135"/>
      <c r="F45" s="229"/>
      <c r="G45" s="229"/>
      <c r="H45" s="229"/>
      <c r="I45" s="135"/>
      <c r="J45" s="135"/>
      <c r="K45" s="135"/>
      <c r="L45" s="135"/>
      <c r="M45" s="135"/>
      <c r="N45" s="135"/>
      <c r="O45" s="135"/>
      <c r="P45" s="135"/>
      <c r="Q45" s="135"/>
    </row>
    <row r="46" customFormat="false" ht="15.75" hidden="false" customHeight="true" outlineLevel="0" collapsed="false">
      <c r="A46" s="135"/>
      <c r="B46" s="135"/>
      <c r="C46" s="135"/>
      <c r="D46" s="189"/>
      <c r="E46" s="135"/>
      <c r="F46" s="229"/>
      <c r="G46" s="229"/>
      <c r="H46" s="229"/>
      <c r="I46" s="135"/>
      <c r="J46" s="135"/>
      <c r="K46" s="135"/>
      <c r="L46" s="135"/>
      <c r="M46" s="135"/>
      <c r="N46" s="135"/>
      <c r="O46" s="135"/>
      <c r="P46" s="135"/>
      <c r="Q46" s="135"/>
    </row>
    <row r="47" customFormat="false" ht="15.75" hidden="false" customHeight="true" outlineLevel="0" collapsed="false">
      <c r="A47" s="135"/>
      <c r="B47" s="135"/>
      <c r="C47" s="135"/>
      <c r="D47" s="189"/>
      <c r="E47" s="135"/>
      <c r="F47" s="229"/>
      <c r="G47" s="229"/>
      <c r="H47" s="229"/>
      <c r="I47" s="135"/>
      <c r="J47" s="135"/>
      <c r="K47" s="135"/>
      <c r="L47" s="135"/>
      <c r="M47" s="135"/>
      <c r="N47" s="135"/>
      <c r="O47" s="135"/>
      <c r="P47" s="135"/>
      <c r="Q47" s="135"/>
    </row>
    <row r="48" customFormat="false" ht="15.75" hidden="false" customHeight="true" outlineLevel="0" collapsed="false">
      <c r="A48" s="135"/>
      <c r="B48" s="135"/>
      <c r="C48" s="135"/>
      <c r="D48" s="189"/>
      <c r="E48" s="135"/>
      <c r="F48" s="229"/>
      <c r="G48" s="229"/>
      <c r="H48" s="229"/>
      <c r="I48" s="135"/>
      <c r="J48" s="135"/>
      <c r="K48" s="135"/>
      <c r="L48" s="135"/>
      <c r="M48" s="135"/>
      <c r="N48" s="135"/>
      <c r="O48" s="135"/>
      <c r="P48" s="135"/>
      <c r="Q48" s="135"/>
    </row>
    <row r="49" customFormat="false" ht="15.75" hidden="false" customHeight="true" outlineLevel="0" collapsed="false">
      <c r="A49" s="135"/>
      <c r="B49" s="135"/>
      <c r="C49" s="135"/>
      <c r="D49" s="189"/>
      <c r="E49" s="135"/>
      <c r="F49" s="229"/>
      <c r="G49" s="229"/>
      <c r="H49" s="229"/>
      <c r="I49" s="135"/>
      <c r="J49" s="135"/>
      <c r="K49" s="135"/>
      <c r="L49" s="135"/>
      <c r="M49" s="135"/>
      <c r="N49" s="135"/>
      <c r="O49" s="135"/>
      <c r="P49" s="135"/>
      <c r="Q49" s="135"/>
    </row>
    <row r="50" customFormat="false" ht="15.75" hidden="false" customHeight="true" outlineLevel="0" collapsed="false">
      <c r="A50" s="135"/>
      <c r="B50" s="135"/>
      <c r="C50" s="135"/>
      <c r="D50" s="189"/>
      <c r="E50" s="135"/>
      <c r="F50" s="229"/>
      <c r="G50" s="229"/>
      <c r="H50" s="229"/>
      <c r="I50" s="135"/>
      <c r="J50" s="135"/>
      <c r="K50" s="135"/>
      <c r="L50" s="135"/>
      <c r="M50" s="135"/>
      <c r="N50" s="135"/>
      <c r="O50" s="135"/>
      <c r="P50" s="135"/>
      <c r="Q50" s="135"/>
    </row>
    <row r="51" customFormat="false" ht="15.75" hidden="false" customHeight="true" outlineLevel="0" collapsed="false">
      <c r="A51" s="135"/>
      <c r="B51" s="135"/>
      <c r="C51" s="135"/>
      <c r="D51" s="189"/>
      <c r="E51" s="135"/>
      <c r="F51" s="229"/>
      <c r="G51" s="229"/>
      <c r="H51" s="229"/>
      <c r="I51" s="135"/>
      <c r="J51" s="135"/>
      <c r="K51" s="135"/>
      <c r="L51" s="135"/>
      <c r="M51" s="135"/>
      <c r="N51" s="135"/>
      <c r="O51" s="135"/>
      <c r="P51" s="135"/>
      <c r="Q51" s="135"/>
    </row>
    <row r="52" customFormat="false" ht="15.75" hidden="false" customHeight="true" outlineLevel="0" collapsed="false">
      <c r="A52" s="135"/>
      <c r="B52" s="135"/>
      <c r="C52" s="135"/>
      <c r="D52" s="189"/>
      <c r="E52" s="135"/>
      <c r="F52" s="229"/>
      <c r="G52" s="229"/>
      <c r="H52" s="229"/>
      <c r="I52" s="135"/>
      <c r="J52" s="135"/>
      <c r="K52" s="135"/>
      <c r="L52" s="135"/>
      <c r="M52" s="135"/>
      <c r="N52" s="135"/>
      <c r="O52" s="135"/>
      <c r="P52" s="135"/>
      <c r="Q52" s="135"/>
    </row>
    <row r="53" customFormat="false" ht="15.75" hidden="false" customHeight="true" outlineLevel="0" collapsed="false">
      <c r="A53" s="135"/>
      <c r="B53" s="135"/>
      <c r="C53" s="135"/>
      <c r="D53" s="189"/>
      <c r="E53" s="135"/>
      <c r="F53" s="229"/>
      <c r="G53" s="229"/>
      <c r="H53" s="229"/>
      <c r="I53" s="135"/>
      <c r="J53" s="135"/>
      <c r="K53" s="135"/>
      <c r="L53" s="135"/>
      <c r="M53" s="135"/>
      <c r="N53" s="135"/>
      <c r="O53" s="135"/>
      <c r="P53" s="135"/>
      <c r="Q53" s="135"/>
    </row>
    <row r="54" customFormat="false" ht="15.75" hidden="false" customHeight="true" outlineLevel="0" collapsed="false">
      <c r="A54" s="135"/>
      <c r="B54" s="135"/>
      <c r="C54" s="135"/>
      <c r="D54" s="189"/>
      <c r="E54" s="135"/>
      <c r="F54" s="229"/>
      <c r="G54" s="229"/>
      <c r="H54" s="229"/>
      <c r="I54" s="135"/>
      <c r="J54" s="135"/>
      <c r="K54" s="135"/>
      <c r="L54" s="135"/>
      <c r="M54" s="135"/>
      <c r="N54" s="135"/>
      <c r="O54" s="135"/>
      <c r="P54" s="135"/>
      <c r="Q54" s="135"/>
    </row>
    <row r="55" customFormat="false" ht="15.75" hidden="false" customHeight="true" outlineLevel="0" collapsed="false">
      <c r="A55" s="135"/>
      <c r="B55" s="135"/>
      <c r="C55" s="135"/>
      <c r="D55" s="189"/>
      <c r="E55" s="135"/>
      <c r="F55" s="229"/>
      <c r="G55" s="229"/>
      <c r="H55" s="229"/>
      <c r="I55" s="135"/>
      <c r="J55" s="135"/>
      <c r="K55" s="135"/>
      <c r="L55" s="135"/>
      <c r="M55" s="135"/>
      <c r="N55" s="135"/>
      <c r="O55" s="135"/>
      <c r="P55" s="135"/>
      <c r="Q55" s="135"/>
    </row>
    <row r="56" customFormat="false" ht="15.75" hidden="false" customHeight="true" outlineLevel="0" collapsed="false">
      <c r="A56" s="135"/>
      <c r="B56" s="135"/>
      <c r="C56" s="135"/>
      <c r="D56" s="189"/>
      <c r="E56" s="135"/>
      <c r="F56" s="229"/>
      <c r="G56" s="229"/>
      <c r="H56" s="229"/>
      <c r="I56" s="135"/>
      <c r="J56" s="135"/>
      <c r="K56" s="135"/>
      <c r="L56" s="135"/>
      <c r="M56" s="135"/>
      <c r="N56" s="135"/>
      <c r="O56" s="135"/>
      <c r="P56" s="135"/>
      <c r="Q56" s="135"/>
    </row>
    <row r="57" customFormat="false" ht="15.75" hidden="false" customHeight="true" outlineLevel="0" collapsed="false">
      <c r="A57" s="135"/>
      <c r="B57" s="135"/>
      <c r="C57" s="135"/>
      <c r="D57" s="189"/>
      <c r="E57" s="135"/>
      <c r="F57" s="229"/>
      <c r="G57" s="229"/>
      <c r="H57" s="229"/>
      <c r="I57" s="135"/>
      <c r="J57" s="135"/>
      <c r="K57" s="135"/>
      <c r="L57" s="135"/>
      <c r="M57" s="135"/>
      <c r="N57" s="135"/>
      <c r="O57" s="135"/>
      <c r="P57" s="135"/>
      <c r="Q57" s="135"/>
    </row>
    <row r="58" customFormat="false" ht="15.75" hidden="false" customHeight="true" outlineLevel="0" collapsed="false">
      <c r="A58" s="135"/>
      <c r="B58" s="135"/>
      <c r="C58" s="135"/>
      <c r="D58" s="189"/>
      <c r="E58" s="135"/>
      <c r="F58" s="229"/>
      <c r="G58" s="229"/>
      <c r="H58" s="229"/>
      <c r="I58" s="135"/>
      <c r="J58" s="135"/>
      <c r="K58" s="135"/>
      <c r="L58" s="135"/>
      <c r="M58" s="135"/>
      <c r="N58" s="135"/>
      <c r="O58" s="135"/>
      <c r="P58" s="135"/>
      <c r="Q58" s="135"/>
    </row>
    <row r="59" customFormat="false" ht="15.75" hidden="false" customHeight="true" outlineLevel="0" collapsed="false">
      <c r="A59" s="135"/>
      <c r="B59" s="135"/>
      <c r="C59" s="135"/>
      <c r="D59" s="189"/>
      <c r="E59" s="135"/>
      <c r="F59" s="229"/>
      <c r="G59" s="229"/>
      <c r="H59" s="229"/>
      <c r="I59" s="135"/>
      <c r="J59" s="135"/>
      <c r="K59" s="135"/>
      <c r="L59" s="135"/>
      <c r="M59" s="135"/>
      <c r="N59" s="135"/>
      <c r="O59" s="135"/>
      <c r="P59" s="135"/>
      <c r="Q59" s="135"/>
    </row>
    <row r="60" customFormat="false" ht="15.75" hidden="false" customHeight="true" outlineLevel="0" collapsed="false">
      <c r="A60" s="135"/>
      <c r="B60" s="135"/>
      <c r="C60" s="135"/>
      <c r="D60" s="189"/>
      <c r="E60" s="135"/>
      <c r="F60" s="229"/>
      <c r="G60" s="229"/>
      <c r="H60" s="229"/>
      <c r="I60" s="135"/>
      <c r="J60" s="135"/>
      <c r="K60" s="135"/>
      <c r="L60" s="135"/>
      <c r="M60" s="135"/>
      <c r="N60" s="135"/>
      <c r="O60" s="135"/>
      <c r="P60" s="135"/>
      <c r="Q60" s="135"/>
    </row>
    <row r="61" customFormat="false" ht="15.75" hidden="false" customHeight="true" outlineLevel="0" collapsed="false">
      <c r="A61" s="135"/>
      <c r="B61" s="135"/>
      <c r="C61" s="135"/>
      <c r="D61" s="189"/>
      <c r="E61" s="135"/>
      <c r="F61" s="229"/>
      <c r="G61" s="229"/>
      <c r="H61" s="229"/>
      <c r="I61" s="135"/>
      <c r="J61" s="135"/>
      <c r="K61" s="135"/>
      <c r="L61" s="135"/>
      <c r="M61" s="135"/>
      <c r="N61" s="135"/>
      <c r="O61" s="135"/>
      <c r="P61" s="135"/>
      <c r="Q61" s="135"/>
    </row>
    <row r="62" customFormat="false" ht="15.75" hidden="false" customHeight="true" outlineLevel="0" collapsed="false">
      <c r="A62" s="135"/>
      <c r="B62" s="135"/>
      <c r="C62" s="135"/>
      <c r="D62" s="189"/>
      <c r="E62" s="135"/>
      <c r="F62" s="229"/>
      <c r="G62" s="229"/>
      <c r="H62" s="229"/>
      <c r="I62" s="135"/>
      <c r="J62" s="135"/>
      <c r="K62" s="135"/>
      <c r="L62" s="135"/>
      <c r="M62" s="135"/>
      <c r="N62" s="135"/>
      <c r="O62" s="135"/>
      <c r="P62" s="135"/>
      <c r="Q62" s="135"/>
    </row>
    <row r="63" customFormat="false" ht="15.75" hidden="false" customHeight="true" outlineLevel="0" collapsed="false">
      <c r="A63" s="135"/>
      <c r="B63" s="135"/>
      <c r="C63" s="135"/>
      <c r="D63" s="189"/>
      <c r="E63" s="135"/>
      <c r="F63" s="229"/>
      <c r="G63" s="229"/>
      <c r="H63" s="229"/>
      <c r="I63" s="135"/>
      <c r="J63" s="135"/>
      <c r="K63" s="135"/>
      <c r="L63" s="135"/>
      <c r="M63" s="135"/>
      <c r="N63" s="135"/>
      <c r="O63" s="135"/>
      <c r="P63" s="135"/>
      <c r="Q63" s="135"/>
    </row>
    <row r="64" customFormat="false" ht="15.75" hidden="false" customHeight="true" outlineLevel="0" collapsed="false">
      <c r="A64" s="135"/>
      <c r="B64" s="135"/>
      <c r="C64" s="135"/>
      <c r="D64" s="189"/>
      <c r="E64" s="135"/>
      <c r="F64" s="229"/>
      <c r="G64" s="229"/>
      <c r="H64" s="229"/>
      <c r="I64" s="135"/>
      <c r="J64" s="135"/>
      <c r="K64" s="135"/>
      <c r="L64" s="135"/>
      <c r="M64" s="135"/>
      <c r="N64" s="135"/>
      <c r="O64" s="135"/>
      <c r="P64" s="135"/>
      <c r="Q64" s="135"/>
    </row>
    <row r="65" customFormat="false" ht="15.75" hidden="false" customHeight="true" outlineLevel="0" collapsed="false">
      <c r="A65" s="135"/>
      <c r="B65" s="135"/>
      <c r="C65" s="135"/>
      <c r="D65" s="189"/>
      <c r="E65" s="135"/>
      <c r="F65" s="229"/>
      <c r="G65" s="229"/>
      <c r="H65" s="229"/>
      <c r="I65" s="135"/>
      <c r="J65" s="135"/>
      <c r="K65" s="135"/>
      <c r="L65" s="135"/>
      <c r="M65" s="135"/>
      <c r="N65" s="135"/>
      <c r="O65" s="135"/>
      <c r="P65" s="135"/>
      <c r="Q65" s="135"/>
    </row>
    <row r="66" customFormat="false" ht="15.75" hidden="false" customHeight="true" outlineLevel="0" collapsed="false">
      <c r="A66" s="135"/>
      <c r="B66" s="135"/>
      <c r="C66" s="135"/>
      <c r="D66" s="189"/>
      <c r="E66" s="135"/>
      <c r="F66" s="229"/>
      <c r="G66" s="229"/>
      <c r="H66" s="229"/>
      <c r="I66" s="135"/>
      <c r="J66" s="135"/>
      <c r="K66" s="135"/>
      <c r="L66" s="135"/>
      <c r="M66" s="135"/>
      <c r="N66" s="135"/>
      <c r="O66" s="135"/>
      <c r="P66" s="135"/>
      <c r="Q66" s="135"/>
    </row>
    <row r="67" customFormat="false" ht="15.75" hidden="false" customHeight="true" outlineLevel="0" collapsed="false">
      <c r="A67" s="135"/>
      <c r="B67" s="135"/>
      <c r="C67" s="135"/>
      <c r="D67" s="189"/>
      <c r="E67" s="135"/>
      <c r="F67" s="229"/>
      <c r="G67" s="229"/>
      <c r="H67" s="229"/>
      <c r="I67" s="135"/>
      <c r="J67" s="135"/>
      <c r="K67" s="135"/>
      <c r="L67" s="135"/>
      <c r="M67" s="135"/>
      <c r="N67" s="135"/>
      <c r="O67" s="135"/>
      <c r="P67" s="135"/>
      <c r="Q67" s="135"/>
    </row>
    <row r="68" customFormat="false" ht="15.75" hidden="false" customHeight="true" outlineLevel="0" collapsed="false">
      <c r="A68" s="135"/>
      <c r="B68" s="135"/>
      <c r="C68" s="135"/>
      <c r="D68" s="189"/>
      <c r="E68" s="135"/>
      <c r="F68" s="229"/>
      <c r="G68" s="229"/>
      <c r="H68" s="229"/>
      <c r="I68" s="135"/>
      <c r="J68" s="135"/>
      <c r="K68" s="135"/>
      <c r="L68" s="135"/>
      <c r="M68" s="135"/>
      <c r="N68" s="135"/>
      <c r="O68" s="135"/>
      <c r="P68" s="135"/>
      <c r="Q68" s="135"/>
    </row>
    <row r="69" customFormat="false" ht="15.75" hidden="false" customHeight="true" outlineLevel="0" collapsed="false">
      <c r="A69" s="135"/>
      <c r="B69" s="135"/>
      <c r="C69" s="135"/>
      <c r="D69" s="189"/>
      <c r="E69" s="135"/>
      <c r="F69" s="229"/>
      <c r="G69" s="229"/>
      <c r="H69" s="229"/>
      <c r="I69" s="135"/>
      <c r="J69" s="135"/>
      <c r="K69" s="135"/>
      <c r="L69" s="135"/>
      <c r="M69" s="135"/>
      <c r="N69" s="135"/>
      <c r="O69" s="135"/>
      <c r="P69" s="135"/>
      <c r="Q69" s="135"/>
    </row>
    <row r="70" customFormat="false" ht="15.75" hidden="false" customHeight="true" outlineLevel="0" collapsed="false">
      <c r="A70" s="135"/>
      <c r="B70" s="135"/>
      <c r="C70" s="135"/>
      <c r="D70" s="189"/>
      <c r="E70" s="135"/>
      <c r="F70" s="229"/>
      <c r="G70" s="229"/>
      <c r="H70" s="229"/>
      <c r="I70" s="135"/>
      <c r="J70" s="135"/>
      <c r="K70" s="135"/>
      <c r="L70" s="135"/>
      <c r="M70" s="135"/>
      <c r="N70" s="135"/>
      <c r="O70" s="135"/>
      <c r="P70" s="135"/>
      <c r="Q70" s="135"/>
    </row>
    <row r="71" customFormat="false" ht="15.75" hidden="false" customHeight="true" outlineLevel="0" collapsed="false">
      <c r="A71" s="135"/>
      <c r="B71" s="135"/>
      <c r="C71" s="135"/>
      <c r="D71" s="189"/>
      <c r="E71" s="135"/>
      <c r="F71" s="229"/>
      <c r="G71" s="229"/>
      <c r="H71" s="229"/>
      <c r="I71" s="135"/>
      <c r="J71" s="135"/>
      <c r="K71" s="135"/>
      <c r="L71" s="135"/>
      <c r="M71" s="135"/>
      <c r="N71" s="135"/>
      <c r="O71" s="135"/>
      <c r="P71" s="135"/>
      <c r="Q71" s="135"/>
    </row>
    <row r="72" customFormat="false" ht="15.75" hidden="false" customHeight="true" outlineLevel="0" collapsed="false">
      <c r="A72" s="135"/>
      <c r="B72" s="135"/>
      <c r="C72" s="135"/>
      <c r="D72" s="189"/>
      <c r="E72" s="135"/>
      <c r="F72" s="229"/>
      <c r="G72" s="229"/>
      <c r="H72" s="229"/>
      <c r="I72" s="135"/>
      <c r="J72" s="135"/>
      <c r="K72" s="135"/>
      <c r="L72" s="135"/>
      <c r="M72" s="135"/>
      <c r="N72" s="135"/>
      <c r="O72" s="135"/>
      <c r="P72" s="135"/>
      <c r="Q72" s="135"/>
    </row>
    <row r="73" customFormat="false" ht="15.75" hidden="false" customHeight="true" outlineLevel="0" collapsed="false">
      <c r="A73" s="135"/>
      <c r="B73" s="135"/>
      <c r="C73" s="135"/>
      <c r="D73" s="189"/>
      <c r="E73" s="135"/>
      <c r="F73" s="229"/>
      <c r="G73" s="229"/>
      <c r="H73" s="229"/>
      <c r="I73" s="135"/>
      <c r="J73" s="135"/>
      <c r="K73" s="135"/>
      <c r="L73" s="135"/>
      <c r="M73" s="135"/>
      <c r="N73" s="135"/>
      <c r="O73" s="135"/>
      <c r="P73" s="135"/>
      <c r="Q73" s="135"/>
    </row>
    <row r="74" customFormat="false" ht="15.75" hidden="false" customHeight="true" outlineLevel="0" collapsed="false">
      <c r="A74" s="135"/>
      <c r="B74" s="135"/>
      <c r="C74" s="135"/>
      <c r="D74" s="189"/>
      <c r="E74" s="135"/>
      <c r="F74" s="229"/>
      <c r="G74" s="229"/>
      <c r="H74" s="229"/>
      <c r="I74" s="135"/>
      <c r="J74" s="135"/>
      <c r="K74" s="135"/>
      <c r="L74" s="135"/>
      <c r="M74" s="135"/>
      <c r="N74" s="135"/>
      <c r="O74" s="135"/>
      <c r="P74" s="135"/>
      <c r="Q74" s="135"/>
    </row>
    <row r="75" customFormat="false" ht="15.75" hidden="false" customHeight="true" outlineLevel="0" collapsed="false">
      <c r="A75" s="135"/>
      <c r="B75" s="135"/>
      <c r="C75" s="135"/>
      <c r="D75" s="189"/>
      <c r="E75" s="135"/>
      <c r="F75" s="229"/>
      <c r="G75" s="229"/>
      <c r="H75" s="229"/>
      <c r="I75" s="135"/>
      <c r="J75" s="135"/>
      <c r="K75" s="135"/>
      <c r="L75" s="135"/>
      <c r="M75" s="135"/>
      <c r="N75" s="135"/>
      <c r="O75" s="135"/>
      <c r="P75" s="135"/>
      <c r="Q75" s="135"/>
    </row>
    <row r="76" customFormat="false" ht="15.75" hidden="false" customHeight="true" outlineLevel="0" collapsed="false">
      <c r="A76" s="135"/>
      <c r="B76" s="135"/>
      <c r="C76" s="135"/>
      <c r="D76" s="189"/>
      <c r="E76" s="135"/>
      <c r="F76" s="229"/>
      <c r="G76" s="229"/>
      <c r="H76" s="229"/>
      <c r="I76" s="135"/>
      <c r="J76" s="135"/>
      <c r="K76" s="135"/>
      <c r="L76" s="135"/>
      <c r="M76" s="135"/>
      <c r="N76" s="135"/>
      <c r="O76" s="135"/>
      <c r="P76" s="135"/>
      <c r="Q76" s="135"/>
    </row>
    <row r="77" customFormat="false" ht="15.75" hidden="false" customHeight="true" outlineLevel="0" collapsed="false">
      <c r="A77" s="135"/>
      <c r="B77" s="135"/>
      <c r="C77" s="135"/>
      <c r="D77" s="189"/>
      <c r="E77" s="135"/>
      <c r="F77" s="229"/>
      <c r="G77" s="229"/>
      <c r="H77" s="229"/>
      <c r="I77" s="135"/>
      <c r="J77" s="135"/>
      <c r="K77" s="135"/>
      <c r="L77" s="135"/>
      <c r="M77" s="135"/>
      <c r="N77" s="135"/>
      <c r="O77" s="135"/>
      <c r="P77" s="135"/>
      <c r="Q77" s="135"/>
    </row>
    <row r="78" customFormat="false" ht="15.75" hidden="false" customHeight="true" outlineLevel="0" collapsed="false">
      <c r="A78" s="135"/>
      <c r="B78" s="135"/>
      <c r="C78" s="135"/>
      <c r="D78" s="189"/>
      <c r="E78" s="135"/>
      <c r="F78" s="229"/>
      <c r="G78" s="229"/>
      <c r="H78" s="229"/>
      <c r="I78" s="135"/>
      <c r="J78" s="135"/>
      <c r="K78" s="135"/>
      <c r="L78" s="135"/>
      <c r="M78" s="135"/>
      <c r="N78" s="135"/>
      <c r="O78" s="135"/>
      <c r="P78" s="135"/>
      <c r="Q78" s="135"/>
    </row>
    <row r="79" customFormat="false" ht="15.75" hidden="false" customHeight="true" outlineLevel="0" collapsed="false">
      <c r="A79" s="135"/>
      <c r="B79" s="135"/>
      <c r="C79" s="135"/>
      <c r="D79" s="189"/>
      <c r="E79" s="135"/>
      <c r="F79" s="229"/>
      <c r="G79" s="229"/>
      <c r="H79" s="229"/>
      <c r="I79" s="135"/>
      <c r="J79" s="135"/>
      <c r="K79" s="135"/>
      <c r="L79" s="135"/>
      <c r="M79" s="135"/>
      <c r="N79" s="135"/>
      <c r="O79" s="135"/>
      <c r="P79" s="135"/>
      <c r="Q79" s="135"/>
    </row>
    <row r="80" customFormat="false" ht="15.75" hidden="false" customHeight="true" outlineLevel="0" collapsed="false">
      <c r="A80" s="135"/>
      <c r="B80" s="135"/>
      <c r="C80" s="135"/>
      <c r="D80" s="189"/>
      <c r="E80" s="135"/>
      <c r="F80" s="229"/>
      <c r="G80" s="229"/>
      <c r="H80" s="229"/>
      <c r="I80" s="135"/>
      <c r="J80" s="135"/>
      <c r="K80" s="135"/>
      <c r="L80" s="135"/>
      <c r="M80" s="135"/>
      <c r="N80" s="135"/>
      <c r="O80" s="135"/>
      <c r="P80" s="135"/>
      <c r="Q80" s="135"/>
    </row>
    <row r="81" customFormat="false" ht="15.75" hidden="false" customHeight="true" outlineLevel="0" collapsed="false">
      <c r="A81" s="135"/>
      <c r="B81" s="135"/>
      <c r="C81" s="135"/>
      <c r="D81" s="189"/>
      <c r="E81" s="135"/>
      <c r="F81" s="229"/>
      <c r="G81" s="229"/>
      <c r="H81" s="229"/>
      <c r="I81" s="135"/>
      <c r="J81" s="135"/>
      <c r="K81" s="135"/>
      <c r="L81" s="135"/>
      <c r="M81" s="135"/>
      <c r="N81" s="135"/>
      <c r="O81" s="135"/>
      <c r="P81" s="135"/>
      <c r="Q81" s="135"/>
    </row>
    <row r="82" customFormat="false" ht="15.75" hidden="false" customHeight="true" outlineLevel="0" collapsed="false">
      <c r="A82" s="135"/>
      <c r="B82" s="135"/>
      <c r="C82" s="135"/>
      <c r="D82" s="189"/>
      <c r="E82" s="135"/>
      <c r="F82" s="229"/>
      <c r="G82" s="229"/>
      <c r="H82" s="229"/>
      <c r="I82" s="135"/>
      <c r="J82" s="135"/>
      <c r="K82" s="135"/>
      <c r="L82" s="135"/>
      <c r="M82" s="135"/>
      <c r="N82" s="135"/>
      <c r="O82" s="135"/>
      <c r="P82" s="135"/>
      <c r="Q82" s="135"/>
    </row>
    <row r="83" customFormat="false" ht="15.75" hidden="false" customHeight="true" outlineLevel="0" collapsed="false">
      <c r="A83" s="135"/>
      <c r="B83" s="135"/>
      <c r="C83" s="135"/>
      <c r="D83" s="189"/>
      <c r="E83" s="135"/>
      <c r="F83" s="229"/>
      <c r="G83" s="229"/>
      <c r="H83" s="229"/>
      <c r="I83" s="135"/>
      <c r="J83" s="135"/>
      <c r="K83" s="135"/>
      <c r="L83" s="135"/>
      <c r="M83" s="135"/>
      <c r="N83" s="135"/>
      <c r="O83" s="135"/>
      <c r="P83" s="135"/>
      <c r="Q83" s="135"/>
    </row>
    <row r="84" customFormat="false" ht="15.75" hidden="false" customHeight="true" outlineLevel="0" collapsed="false">
      <c r="A84" s="135"/>
      <c r="B84" s="135"/>
      <c r="C84" s="135"/>
      <c r="D84" s="189"/>
      <c r="E84" s="135"/>
      <c r="F84" s="229"/>
      <c r="G84" s="229"/>
      <c r="H84" s="229"/>
      <c r="I84" s="135"/>
      <c r="J84" s="135"/>
      <c r="K84" s="135"/>
      <c r="L84" s="135"/>
      <c r="M84" s="135"/>
      <c r="N84" s="135"/>
      <c r="O84" s="135"/>
      <c r="P84" s="135"/>
      <c r="Q84" s="135"/>
    </row>
    <row r="85" customFormat="false" ht="15.75" hidden="false" customHeight="true" outlineLevel="0" collapsed="false">
      <c r="A85" s="135"/>
      <c r="B85" s="135"/>
      <c r="C85" s="135"/>
      <c r="D85" s="189"/>
      <c r="E85" s="135"/>
      <c r="F85" s="229"/>
      <c r="G85" s="229"/>
      <c r="H85" s="229"/>
      <c r="I85" s="135"/>
      <c r="J85" s="135"/>
      <c r="K85" s="135"/>
      <c r="L85" s="135"/>
      <c r="M85" s="135"/>
      <c r="N85" s="135"/>
      <c r="O85" s="135"/>
      <c r="P85" s="135"/>
      <c r="Q85" s="135"/>
    </row>
    <row r="86" customFormat="false" ht="15.75" hidden="false" customHeight="true" outlineLevel="0" collapsed="false">
      <c r="A86" s="135"/>
      <c r="B86" s="135"/>
      <c r="C86" s="135"/>
      <c r="D86" s="189"/>
      <c r="E86" s="135"/>
      <c r="F86" s="229"/>
      <c r="G86" s="229"/>
      <c r="H86" s="229"/>
      <c r="I86" s="135"/>
      <c r="J86" s="135"/>
      <c r="K86" s="135"/>
      <c r="L86" s="135"/>
      <c r="M86" s="135"/>
      <c r="N86" s="135"/>
      <c r="O86" s="135"/>
      <c r="P86" s="135"/>
      <c r="Q86" s="135"/>
    </row>
    <row r="87" customFormat="false" ht="15.75" hidden="false" customHeight="true" outlineLevel="0" collapsed="false">
      <c r="A87" s="135"/>
      <c r="B87" s="135"/>
      <c r="C87" s="135"/>
      <c r="D87" s="189"/>
      <c r="E87" s="135"/>
      <c r="F87" s="229"/>
      <c r="G87" s="229"/>
      <c r="H87" s="229"/>
      <c r="I87" s="135"/>
      <c r="J87" s="135"/>
      <c r="K87" s="135"/>
      <c r="L87" s="135"/>
      <c r="M87" s="135"/>
      <c r="N87" s="135"/>
      <c r="O87" s="135"/>
      <c r="P87" s="135"/>
      <c r="Q87" s="135"/>
    </row>
    <row r="88" customFormat="false" ht="15.75" hidden="false" customHeight="true" outlineLevel="0" collapsed="false">
      <c r="A88" s="135"/>
      <c r="B88" s="135"/>
      <c r="C88" s="135"/>
      <c r="D88" s="189"/>
      <c r="E88" s="135"/>
      <c r="F88" s="229"/>
      <c r="G88" s="229"/>
      <c r="H88" s="229"/>
      <c r="I88" s="135"/>
      <c r="J88" s="135"/>
      <c r="K88" s="135"/>
      <c r="L88" s="135"/>
      <c r="M88" s="135"/>
      <c r="N88" s="135"/>
      <c r="O88" s="135"/>
      <c r="P88" s="135"/>
      <c r="Q88" s="135"/>
    </row>
    <row r="89" customFormat="false" ht="15.75" hidden="false" customHeight="true" outlineLevel="0" collapsed="false">
      <c r="A89" s="135"/>
      <c r="B89" s="135"/>
      <c r="C89" s="135"/>
      <c r="D89" s="189"/>
      <c r="E89" s="135"/>
      <c r="F89" s="229"/>
      <c r="G89" s="229"/>
      <c r="H89" s="229"/>
      <c r="I89" s="135"/>
      <c r="J89" s="135"/>
      <c r="K89" s="135"/>
      <c r="L89" s="135"/>
      <c r="M89" s="135"/>
      <c r="N89" s="135"/>
      <c r="O89" s="135"/>
      <c r="P89" s="135"/>
      <c r="Q89" s="135"/>
    </row>
    <row r="90" customFormat="false" ht="15.75" hidden="false" customHeight="true" outlineLevel="0" collapsed="false">
      <c r="A90" s="135"/>
      <c r="B90" s="135"/>
      <c r="C90" s="135"/>
      <c r="D90" s="189"/>
      <c r="E90" s="135"/>
      <c r="F90" s="229"/>
      <c r="G90" s="229"/>
      <c r="H90" s="229"/>
      <c r="I90" s="135"/>
      <c r="J90" s="135"/>
      <c r="K90" s="135"/>
      <c r="L90" s="135"/>
      <c r="M90" s="135"/>
      <c r="N90" s="135"/>
      <c r="O90" s="135"/>
      <c r="P90" s="135"/>
      <c r="Q90" s="135"/>
    </row>
    <row r="91" customFormat="false" ht="15.75" hidden="false" customHeight="true" outlineLevel="0" collapsed="false">
      <c r="A91" s="135"/>
      <c r="B91" s="135"/>
      <c r="C91" s="135"/>
      <c r="D91" s="189"/>
      <c r="E91" s="135"/>
      <c r="F91" s="229"/>
      <c r="G91" s="229"/>
      <c r="H91" s="229"/>
      <c r="I91" s="135"/>
      <c r="J91" s="135"/>
      <c r="K91" s="135"/>
      <c r="L91" s="135"/>
      <c r="M91" s="135"/>
      <c r="N91" s="135"/>
      <c r="O91" s="135"/>
      <c r="P91" s="135"/>
      <c r="Q91" s="135"/>
    </row>
    <row r="92" customFormat="false" ht="15.75" hidden="false" customHeight="true" outlineLevel="0" collapsed="false">
      <c r="A92" s="135"/>
      <c r="B92" s="135"/>
      <c r="C92" s="135"/>
      <c r="D92" s="189"/>
      <c r="E92" s="135"/>
      <c r="F92" s="229"/>
      <c r="G92" s="229"/>
      <c r="H92" s="229"/>
      <c r="I92" s="135"/>
      <c r="J92" s="135"/>
      <c r="K92" s="135"/>
      <c r="L92" s="135"/>
      <c r="M92" s="135"/>
      <c r="N92" s="135"/>
      <c r="O92" s="135"/>
      <c r="P92" s="135"/>
      <c r="Q92" s="135"/>
    </row>
    <row r="93" customFormat="false" ht="15.75" hidden="false" customHeight="true" outlineLevel="0" collapsed="false">
      <c r="A93" s="135"/>
      <c r="B93" s="135"/>
      <c r="C93" s="135"/>
      <c r="D93" s="189"/>
      <c r="E93" s="135"/>
      <c r="F93" s="229"/>
      <c r="G93" s="229"/>
      <c r="H93" s="229"/>
      <c r="I93" s="135"/>
      <c r="J93" s="135"/>
      <c r="K93" s="135"/>
      <c r="L93" s="135"/>
      <c r="M93" s="135"/>
      <c r="N93" s="135"/>
      <c r="O93" s="135"/>
      <c r="P93" s="135"/>
      <c r="Q93" s="135"/>
    </row>
    <row r="94" customFormat="false" ht="15.75" hidden="false" customHeight="true" outlineLevel="0" collapsed="false">
      <c r="A94" s="135"/>
      <c r="B94" s="135"/>
      <c r="C94" s="135"/>
      <c r="D94" s="189"/>
      <c r="E94" s="135"/>
      <c r="F94" s="229"/>
      <c r="G94" s="229"/>
      <c r="H94" s="229"/>
      <c r="I94" s="135"/>
      <c r="J94" s="135"/>
      <c r="K94" s="135"/>
      <c r="L94" s="135"/>
      <c r="M94" s="135"/>
      <c r="N94" s="135"/>
      <c r="O94" s="135"/>
      <c r="P94" s="135"/>
      <c r="Q94" s="135"/>
    </row>
    <row r="95" customFormat="false" ht="15.75" hidden="false" customHeight="true" outlineLevel="0" collapsed="false">
      <c r="A95" s="135"/>
      <c r="B95" s="135"/>
      <c r="C95" s="135"/>
      <c r="D95" s="189"/>
      <c r="E95" s="135"/>
      <c r="F95" s="229"/>
      <c r="G95" s="229"/>
      <c r="H95" s="229"/>
      <c r="I95" s="135"/>
      <c r="J95" s="135"/>
      <c r="K95" s="135"/>
      <c r="L95" s="135"/>
      <c r="M95" s="135"/>
      <c r="N95" s="135"/>
      <c r="O95" s="135"/>
      <c r="P95" s="135"/>
      <c r="Q95" s="135"/>
    </row>
    <row r="96" customFormat="false" ht="15.75" hidden="false" customHeight="true" outlineLevel="0" collapsed="false">
      <c r="A96" s="135"/>
      <c r="B96" s="135"/>
      <c r="C96" s="135"/>
      <c r="D96" s="189"/>
      <c r="E96" s="135"/>
      <c r="F96" s="229"/>
      <c r="G96" s="229"/>
      <c r="H96" s="229"/>
      <c r="I96" s="135"/>
      <c r="J96" s="135"/>
      <c r="K96" s="135"/>
      <c r="L96" s="135"/>
      <c r="M96" s="135"/>
      <c r="N96" s="135"/>
      <c r="O96" s="135"/>
      <c r="P96" s="135"/>
      <c r="Q96" s="135"/>
    </row>
    <row r="97" customFormat="false" ht="15.75" hidden="false" customHeight="true" outlineLevel="0" collapsed="false">
      <c r="A97" s="135"/>
      <c r="B97" s="135"/>
      <c r="C97" s="135"/>
      <c r="D97" s="189"/>
      <c r="E97" s="135"/>
      <c r="F97" s="229"/>
      <c r="G97" s="229"/>
      <c r="H97" s="229"/>
      <c r="I97" s="135"/>
      <c r="J97" s="135"/>
      <c r="K97" s="135"/>
      <c r="L97" s="135"/>
      <c r="M97" s="135"/>
      <c r="N97" s="135"/>
      <c r="O97" s="135"/>
      <c r="P97" s="135"/>
      <c r="Q97" s="135"/>
    </row>
    <row r="98" customFormat="false" ht="15.75" hidden="false" customHeight="true" outlineLevel="0" collapsed="false">
      <c r="A98" s="135"/>
      <c r="B98" s="135"/>
      <c r="C98" s="135"/>
      <c r="D98" s="189"/>
      <c r="E98" s="135"/>
      <c r="F98" s="229"/>
      <c r="G98" s="229"/>
      <c r="H98" s="229"/>
      <c r="I98" s="135"/>
      <c r="J98" s="135"/>
      <c r="K98" s="135"/>
      <c r="L98" s="135"/>
      <c r="M98" s="135"/>
      <c r="N98" s="135"/>
      <c r="O98" s="135"/>
      <c r="P98" s="135"/>
      <c r="Q98" s="135"/>
    </row>
    <row r="99" customFormat="false" ht="15.75" hidden="false" customHeight="true" outlineLevel="0" collapsed="false">
      <c r="A99" s="135"/>
      <c r="B99" s="135"/>
      <c r="C99" s="135"/>
      <c r="D99" s="189"/>
      <c r="E99" s="135"/>
      <c r="F99" s="229"/>
      <c r="G99" s="229"/>
      <c r="H99" s="229"/>
      <c r="I99" s="135"/>
      <c r="J99" s="135"/>
      <c r="K99" s="135"/>
      <c r="L99" s="135"/>
      <c r="M99" s="135"/>
      <c r="N99" s="135"/>
      <c r="O99" s="135"/>
      <c r="P99" s="135"/>
      <c r="Q99" s="135"/>
    </row>
    <row r="100" customFormat="false" ht="15.75" hidden="false" customHeight="true" outlineLevel="0" collapsed="false">
      <c r="A100" s="135"/>
      <c r="B100" s="135"/>
      <c r="C100" s="135"/>
      <c r="D100" s="189"/>
      <c r="E100" s="135"/>
      <c r="F100" s="229"/>
      <c r="G100" s="229"/>
      <c r="H100" s="229"/>
      <c r="I100" s="135"/>
      <c r="J100" s="135"/>
      <c r="K100" s="135"/>
      <c r="L100" s="135"/>
      <c r="M100" s="135"/>
      <c r="N100" s="135"/>
      <c r="O100" s="135"/>
      <c r="P100" s="135"/>
      <c r="Q100" s="135"/>
    </row>
    <row r="101" customFormat="false" ht="15.75" hidden="false" customHeight="true" outlineLevel="0" collapsed="false">
      <c r="A101" s="135"/>
      <c r="B101" s="135"/>
      <c r="C101" s="135"/>
      <c r="D101" s="189"/>
      <c r="E101" s="135"/>
      <c r="F101" s="229"/>
      <c r="G101" s="229"/>
      <c r="H101" s="229"/>
      <c r="I101" s="135"/>
      <c r="J101" s="135"/>
      <c r="K101" s="135"/>
      <c r="L101" s="135"/>
      <c r="M101" s="135"/>
      <c r="N101" s="135"/>
      <c r="O101" s="135"/>
      <c r="P101" s="135"/>
      <c r="Q101" s="135"/>
    </row>
    <row r="102" customFormat="false" ht="15.75" hidden="false" customHeight="true" outlineLevel="0" collapsed="false">
      <c r="A102" s="135"/>
      <c r="B102" s="135"/>
      <c r="C102" s="135"/>
      <c r="D102" s="189"/>
      <c r="E102" s="135"/>
      <c r="F102" s="229"/>
      <c r="G102" s="229"/>
      <c r="H102" s="229"/>
      <c r="I102" s="135"/>
      <c r="J102" s="135"/>
      <c r="K102" s="135"/>
      <c r="L102" s="135"/>
      <c r="M102" s="135"/>
      <c r="N102" s="135"/>
      <c r="O102" s="135"/>
      <c r="P102" s="135"/>
      <c r="Q102" s="135"/>
    </row>
    <row r="103" customFormat="false" ht="15.75" hidden="false" customHeight="true" outlineLevel="0" collapsed="false">
      <c r="A103" s="135"/>
      <c r="B103" s="135"/>
      <c r="C103" s="135"/>
      <c r="D103" s="189"/>
      <c r="E103" s="135"/>
      <c r="F103" s="229"/>
      <c r="G103" s="229"/>
      <c r="H103" s="229"/>
      <c r="I103" s="135"/>
      <c r="J103" s="135"/>
      <c r="K103" s="135"/>
      <c r="L103" s="135"/>
      <c r="M103" s="135"/>
      <c r="N103" s="135"/>
      <c r="O103" s="135"/>
      <c r="P103" s="135"/>
      <c r="Q103" s="135"/>
    </row>
    <row r="104" customFormat="false" ht="15.75" hidden="false" customHeight="true" outlineLevel="0" collapsed="false">
      <c r="A104" s="135"/>
      <c r="B104" s="135"/>
      <c r="C104" s="135"/>
      <c r="D104" s="189"/>
      <c r="E104" s="135"/>
      <c r="F104" s="229"/>
      <c r="G104" s="229"/>
      <c r="H104" s="229"/>
      <c r="I104" s="135"/>
      <c r="J104" s="135"/>
      <c r="K104" s="135"/>
      <c r="L104" s="135"/>
      <c r="M104" s="135"/>
      <c r="N104" s="135"/>
      <c r="O104" s="135"/>
      <c r="P104" s="135"/>
      <c r="Q104" s="135"/>
    </row>
    <row r="105" customFormat="false" ht="15.75" hidden="false" customHeight="true" outlineLevel="0" collapsed="false">
      <c r="A105" s="135"/>
      <c r="B105" s="135"/>
      <c r="C105" s="135"/>
      <c r="D105" s="189"/>
      <c r="E105" s="135"/>
      <c r="F105" s="229"/>
      <c r="G105" s="229"/>
      <c r="H105" s="229"/>
      <c r="I105" s="135"/>
      <c r="J105" s="135"/>
      <c r="K105" s="135"/>
      <c r="L105" s="135"/>
      <c r="M105" s="135"/>
      <c r="N105" s="135"/>
      <c r="O105" s="135"/>
      <c r="P105" s="135"/>
      <c r="Q105" s="135"/>
    </row>
    <row r="106" customFormat="false" ht="15.75" hidden="false" customHeight="true" outlineLevel="0" collapsed="false">
      <c r="A106" s="135"/>
      <c r="B106" s="135"/>
      <c r="C106" s="135"/>
      <c r="D106" s="189"/>
      <c r="E106" s="135"/>
      <c r="F106" s="229"/>
      <c r="G106" s="229"/>
      <c r="H106" s="229"/>
      <c r="I106" s="135"/>
      <c r="J106" s="135"/>
      <c r="K106" s="135"/>
      <c r="L106" s="135"/>
      <c r="M106" s="135"/>
      <c r="N106" s="135"/>
      <c r="O106" s="135"/>
      <c r="P106" s="135"/>
      <c r="Q106" s="135"/>
    </row>
    <row r="107" customFormat="false" ht="15.75" hidden="false" customHeight="true" outlineLevel="0" collapsed="false">
      <c r="A107" s="135"/>
      <c r="B107" s="135"/>
      <c r="C107" s="135"/>
      <c r="D107" s="189"/>
      <c r="E107" s="135"/>
      <c r="F107" s="229"/>
      <c r="G107" s="229"/>
      <c r="H107" s="229"/>
      <c r="I107" s="135"/>
      <c r="J107" s="135"/>
      <c r="K107" s="135"/>
      <c r="L107" s="135"/>
      <c r="M107" s="135"/>
      <c r="N107" s="135"/>
      <c r="O107" s="135"/>
      <c r="P107" s="135"/>
      <c r="Q107" s="135"/>
    </row>
    <row r="108" customFormat="false" ht="15.75" hidden="false" customHeight="true" outlineLevel="0" collapsed="false">
      <c r="A108" s="135"/>
      <c r="B108" s="135"/>
      <c r="C108" s="135"/>
      <c r="D108" s="189"/>
      <c r="E108" s="135"/>
      <c r="F108" s="229"/>
      <c r="G108" s="229"/>
      <c r="H108" s="229"/>
      <c r="I108" s="135"/>
      <c r="J108" s="135"/>
      <c r="K108" s="135"/>
      <c r="L108" s="135"/>
      <c r="M108" s="135"/>
      <c r="N108" s="135"/>
      <c r="O108" s="135"/>
      <c r="P108" s="135"/>
      <c r="Q108" s="135"/>
    </row>
    <row r="109" customFormat="false" ht="15.75" hidden="false" customHeight="true" outlineLevel="0" collapsed="false">
      <c r="A109" s="135"/>
      <c r="B109" s="135"/>
      <c r="C109" s="135"/>
      <c r="D109" s="189"/>
      <c r="E109" s="135"/>
      <c r="F109" s="229"/>
      <c r="G109" s="229"/>
      <c r="H109" s="229"/>
      <c r="I109" s="135"/>
      <c r="J109" s="135"/>
      <c r="K109" s="135"/>
      <c r="L109" s="135"/>
      <c r="M109" s="135"/>
      <c r="N109" s="135"/>
      <c r="O109" s="135"/>
      <c r="P109" s="135"/>
      <c r="Q109" s="135"/>
    </row>
    <row r="110" customFormat="false" ht="15.75" hidden="false" customHeight="true" outlineLevel="0" collapsed="false">
      <c r="A110" s="135"/>
      <c r="B110" s="135"/>
      <c r="C110" s="135"/>
      <c r="D110" s="189"/>
      <c r="E110" s="135"/>
      <c r="F110" s="229"/>
      <c r="G110" s="229"/>
      <c r="H110" s="229"/>
      <c r="I110" s="135"/>
      <c r="J110" s="135"/>
      <c r="K110" s="135"/>
      <c r="L110" s="135"/>
      <c r="M110" s="135"/>
      <c r="N110" s="135"/>
      <c r="O110" s="135"/>
      <c r="P110" s="135"/>
      <c r="Q110" s="135"/>
    </row>
    <row r="111" customFormat="false" ht="15.75" hidden="false" customHeight="true" outlineLevel="0" collapsed="false">
      <c r="A111" s="135"/>
      <c r="B111" s="135"/>
      <c r="C111" s="135"/>
      <c r="D111" s="189"/>
      <c r="E111" s="135"/>
      <c r="F111" s="229"/>
      <c r="G111" s="229"/>
      <c r="H111" s="229"/>
      <c r="I111" s="135"/>
      <c r="J111" s="135"/>
      <c r="K111" s="135"/>
      <c r="L111" s="135"/>
      <c r="M111" s="135"/>
      <c r="N111" s="135"/>
      <c r="O111" s="135"/>
      <c r="P111" s="135"/>
      <c r="Q111" s="135"/>
    </row>
    <row r="112" customFormat="false" ht="15.75" hidden="false" customHeight="true" outlineLevel="0" collapsed="false">
      <c r="A112" s="135"/>
      <c r="B112" s="135"/>
      <c r="C112" s="135"/>
      <c r="D112" s="189"/>
      <c r="E112" s="135"/>
      <c r="F112" s="229"/>
      <c r="G112" s="229"/>
      <c r="H112" s="229"/>
      <c r="I112" s="135"/>
      <c r="J112" s="135"/>
      <c r="K112" s="135"/>
      <c r="L112" s="135"/>
      <c r="M112" s="135"/>
      <c r="N112" s="135"/>
      <c r="O112" s="135"/>
      <c r="P112" s="135"/>
      <c r="Q112" s="135"/>
    </row>
    <row r="113" customFormat="false" ht="15.75" hidden="false" customHeight="true" outlineLevel="0" collapsed="false">
      <c r="A113" s="135"/>
      <c r="B113" s="135"/>
      <c r="C113" s="135"/>
      <c r="D113" s="189"/>
      <c r="E113" s="135"/>
      <c r="F113" s="229"/>
      <c r="G113" s="229"/>
      <c r="H113" s="229"/>
      <c r="I113" s="135"/>
      <c r="J113" s="135"/>
      <c r="K113" s="135"/>
      <c r="L113" s="135"/>
      <c r="M113" s="135"/>
      <c r="N113" s="135"/>
      <c r="O113" s="135"/>
      <c r="P113" s="135"/>
      <c r="Q113" s="135"/>
    </row>
    <row r="114" customFormat="false" ht="15.75" hidden="false" customHeight="true" outlineLevel="0" collapsed="false">
      <c r="A114" s="135"/>
      <c r="B114" s="135"/>
      <c r="C114" s="135"/>
      <c r="D114" s="189"/>
      <c r="E114" s="135"/>
      <c r="F114" s="229"/>
      <c r="G114" s="229"/>
      <c r="H114" s="229"/>
      <c r="I114" s="135"/>
      <c r="J114" s="135"/>
      <c r="K114" s="135"/>
      <c r="L114" s="135"/>
      <c r="M114" s="135"/>
      <c r="N114" s="135"/>
      <c r="O114" s="135"/>
      <c r="P114" s="135"/>
      <c r="Q114" s="135"/>
    </row>
    <row r="115" customFormat="false" ht="15.75" hidden="false" customHeight="true" outlineLevel="0" collapsed="false">
      <c r="A115" s="135"/>
      <c r="B115" s="135"/>
      <c r="C115" s="135"/>
      <c r="D115" s="189"/>
      <c r="E115" s="135"/>
      <c r="F115" s="229"/>
      <c r="G115" s="229"/>
      <c r="H115" s="229"/>
      <c r="I115" s="135"/>
      <c r="J115" s="135"/>
      <c r="K115" s="135"/>
      <c r="L115" s="135"/>
      <c r="M115" s="135"/>
      <c r="N115" s="135"/>
      <c r="O115" s="135"/>
      <c r="P115" s="135"/>
      <c r="Q115" s="135"/>
    </row>
    <row r="116" customFormat="false" ht="15.75" hidden="false" customHeight="true" outlineLevel="0" collapsed="false">
      <c r="A116" s="135"/>
      <c r="B116" s="135"/>
      <c r="C116" s="135"/>
      <c r="D116" s="189"/>
      <c r="E116" s="135"/>
      <c r="F116" s="229"/>
      <c r="G116" s="229"/>
      <c r="H116" s="229"/>
      <c r="I116" s="135"/>
      <c r="J116" s="135"/>
      <c r="K116" s="135"/>
      <c r="L116" s="135"/>
      <c r="M116" s="135"/>
      <c r="N116" s="135"/>
      <c r="O116" s="135"/>
      <c r="P116" s="135"/>
      <c r="Q116" s="135"/>
    </row>
    <row r="117" customFormat="false" ht="15.75" hidden="false" customHeight="true" outlineLevel="0" collapsed="false">
      <c r="A117" s="135"/>
      <c r="B117" s="135"/>
      <c r="C117" s="135"/>
      <c r="D117" s="189"/>
      <c r="E117" s="135"/>
      <c r="F117" s="229"/>
      <c r="G117" s="229"/>
      <c r="H117" s="229"/>
      <c r="I117" s="135"/>
      <c r="J117" s="135"/>
      <c r="K117" s="135"/>
      <c r="L117" s="135"/>
      <c r="M117" s="135"/>
      <c r="N117" s="135"/>
      <c r="O117" s="135"/>
      <c r="P117" s="135"/>
      <c r="Q117" s="135"/>
    </row>
    <row r="118" customFormat="false" ht="15.75" hidden="false" customHeight="true" outlineLevel="0" collapsed="false">
      <c r="A118" s="135"/>
      <c r="B118" s="135"/>
      <c r="C118" s="135"/>
      <c r="D118" s="189"/>
      <c r="E118" s="135"/>
      <c r="F118" s="229"/>
      <c r="G118" s="229"/>
      <c r="H118" s="229"/>
      <c r="I118" s="135"/>
      <c r="J118" s="135"/>
      <c r="K118" s="135"/>
      <c r="L118" s="135"/>
      <c r="M118" s="135"/>
      <c r="N118" s="135"/>
      <c r="O118" s="135"/>
      <c r="P118" s="135"/>
      <c r="Q118" s="135"/>
    </row>
    <row r="119" customFormat="false" ht="15.75" hidden="false" customHeight="true" outlineLevel="0" collapsed="false">
      <c r="A119" s="135"/>
      <c r="B119" s="135"/>
      <c r="C119" s="135"/>
      <c r="D119" s="189"/>
      <c r="E119" s="135"/>
      <c r="F119" s="229"/>
      <c r="G119" s="229"/>
      <c r="H119" s="229"/>
      <c r="I119" s="135"/>
      <c r="J119" s="135"/>
      <c r="K119" s="135"/>
      <c r="L119" s="135"/>
      <c r="M119" s="135"/>
      <c r="N119" s="135"/>
      <c r="O119" s="135"/>
      <c r="P119" s="135"/>
      <c r="Q119" s="135"/>
    </row>
    <row r="120" customFormat="false" ht="15.75" hidden="false" customHeight="true" outlineLevel="0" collapsed="false">
      <c r="A120" s="135"/>
      <c r="B120" s="135"/>
      <c r="C120" s="135"/>
      <c r="D120" s="189"/>
      <c r="E120" s="135"/>
      <c r="F120" s="229"/>
      <c r="G120" s="229"/>
      <c r="H120" s="229"/>
      <c r="I120" s="135"/>
      <c r="J120" s="135"/>
      <c r="K120" s="135"/>
      <c r="L120" s="135"/>
      <c r="M120" s="135"/>
      <c r="N120" s="135"/>
      <c r="O120" s="135"/>
      <c r="P120" s="135"/>
      <c r="Q120" s="135"/>
    </row>
    <row r="121" customFormat="false" ht="15.75" hidden="false" customHeight="true" outlineLevel="0" collapsed="false">
      <c r="A121" s="135"/>
      <c r="B121" s="135"/>
      <c r="C121" s="135"/>
      <c r="D121" s="189"/>
      <c r="E121" s="135"/>
      <c r="F121" s="229"/>
      <c r="G121" s="229"/>
      <c r="H121" s="229"/>
      <c r="I121" s="135"/>
      <c r="J121" s="135"/>
      <c r="K121" s="135"/>
      <c r="L121" s="135"/>
      <c r="M121" s="135"/>
      <c r="N121" s="135"/>
      <c r="O121" s="135"/>
      <c r="P121" s="135"/>
      <c r="Q121" s="135"/>
    </row>
    <row r="122" customFormat="false" ht="15.75" hidden="false" customHeight="true" outlineLevel="0" collapsed="false">
      <c r="A122" s="135"/>
      <c r="B122" s="135"/>
      <c r="C122" s="135"/>
      <c r="D122" s="189"/>
      <c r="E122" s="135"/>
      <c r="F122" s="229"/>
      <c r="G122" s="229"/>
      <c r="H122" s="229"/>
      <c r="I122" s="135"/>
      <c r="J122" s="135"/>
      <c r="K122" s="135"/>
      <c r="L122" s="135"/>
      <c r="M122" s="135"/>
      <c r="N122" s="135"/>
      <c r="O122" s="135"/>
      <c r="P122" s="135"/>
      <c r="Q122" s="135"/>
    </row>
    <row r="123" customFormat="false" ht="15.75" hidden="false" customHeight="true" outlineLevel="0" collapsed="false">
      <c r="A123" s="135"/>
      <c r="B123" s="135"/>
      <c r="C123" s="135"/>
      <c r="D123" s="189"/>
      <c r="E123" s="135"/>
      <c r="F123" s="229"/>
      <c r="G123" s="229"/>
      <c r="H123" s="229"/>
      <c r="I123" s="135"/>
      <c r="J123" s="135"/>
      <c r="K123" s="135"/>
      <c r="L123" s="135"/>
      <c r="M123" s="135"/>
      <c r="N123" s="135"/>
      <c r="O123" s="135"/>
      <c r="P123" s="135"/>
      <c r="Q123" s="135"/>
    </row>
    <row r="124" customFormat="false" ht="15.75" hidden="false" customHeight="true" outlineLevel="0" collapsed="false">
      <c r="A124" s="135"/>
      <c r="B124" s="135"/>
      <c r="C124" s="135"/>
      <c r="D124" s="189"/>
      <c r="E124" s="135"/>
      <c r="F124" s="229"/>
      <c r="G124" s="229"/>
      <c r="H124" s="229"/>
      <c r="I124" s="135"/>
      <c r="J124" s="135"/>
      <c r="K124" s="135"/>
      <c r="L124" s="135"/>
      <c r="M124" s="135"/>
      <c r="N124" s="135"/>
      <c r="O124" s="135"/>
      <c r="P124" s="135"/>
      <c r="Q124" s="135"/>
    </row>
    <row r="125" customFormat="false" ht="15.75" hidden="false" customHeight="true" outlineLevel="0" collapsed="false">
      <c r="A125" s="135"/>
      <c r="B125" s="135"/>
      <c r="C125" s="135"/>
      <c r="D125" s="189"/>
      <c r="E125" s="135"/>
      <c r="F125" s="229"/>
      <c r="G125" s="229"/>
      <c r="H125" s="229"/>
      <c r="I125" s="135"/>
      <c r="J125" s="135"/>
      <c r="K125" s="135"/>
      <c r="L125" s="135"/>
      <c r="M125" s="135"/>
      <c r="N125" s="135"/>
      <c r="O125" s="135"/>
      <c r="P125" s="135"/>
      <c r="Q125" s="135"/>
    </row>
    <row r="126" customFormat="false" ht="15.75" hidden="false" customHeight="true" outlineLevel="0" collapsed="false">
      <c r="A126" s="135"/>
      <c r="B126" s="135"/>
      <c r="C126" s="135"/>
      <c r="D126" s="189"/>
      <c r="E126" s="135"/>
      <c r="F126" s="229"/>
      <c r="G126" s="229"/>
      <c r="H126" s="229"/>
      <c r="I126" s="135"/>
      <c r="J126" s="135"/>
      <c r="K126" s="135"/>
      <c r="L126" s="135"/>
      <c r="M126" s="135"/>
      <c r="N126" s="135"/>
      <c r="O126" s="135"/>
      <c r="P126" s="135"/>
      <c r="Q126" s="135"/>
    </row>
    <row r="127" customFormat="false" ht="15.75" hidden="false" customHeight="true" outlineLevel="0" collapsed="false">
      <c r="A127" s="135"/>
      <c r="B127" s="135"/>
      <c r="C127" s="135"/>
      <c r="D127" s="189"/>
      <c r="E127" s="135"/>
      <c r="F127" s="229"/>
      <c r="G127" s="229"/>
      <c r="H127" s="229"/>
      <c r="I127" s="135"/>
      <c r="J127" s="135"/>
      <c r="K127" s="135"/>
      <c r="L127" s="135"/>
      <c r="M127" s="135"/>
      <c r="N127" s="135"/>
      <c r="O127" s="135"/>
      <c r="P127" s="135"/>
      <c r="Q127" s="135"/>
    </row>
    <row r="128" customFormat="false" ht="15.75" hidden="false" customHeight="true" outlineLevel="0" collapsed="false">
      <c r="A128" s="135"/>
      <c r="B128" s="135"/>
      <c r="C128" s="135"/>
      <c r="D128" s="189"/>
      <c r="E128" s="135"/>
      <c r="F128" s="229"/>
      <c r="G128" s="229"/>
      <c r="H128" s="229"/>
      <c r="I128" s="135"/>
      <c r="J128" s="135"/>
      <c r="K128" s="135"/>
      <c r="L128" s="135"/>
      <c r="M128" s="135"/>
      <c r="N128" s="135"/>
      <c r="O128" s="135"/>
      <c r="P128" s="135"/>
      <c r="Q128" s="135"/>
    </row>
    <row r="129" customFormat="false" ht="15.75" hidden="false" customHeight="true" outlineLevel="0" collapsed="false">
      <c r="A129" s="135"/>
      <c r="B129" s="135"/>
      <c r="C129" s="135"/>
      <c r="D129" s="189"/>
      <c r="E129" s="135"/>
      <c r="F129" s="229"/>
      <c r="G129" s="229"/>
      <c r="H129" s="229"/>
      <c r="I129" s="135"/>
      <c r="J129" s="135"/>
      <c r="K129" s="135"/>
      <c r="L129" s="135"/>
      <c r="M129" s="135"/>
      <c r="N129" s="135"/>
      <c r="O129" s="135"/>
      <c r="P129" s="135"/>
      <c r="Q129" s="135"/>
    </row>
    <row r="130" customFormat="false" ht="15.75" hidden="false" customHeight="true" outlineLevel="0" collapsed="false">
      <c r="A130" s="135"/>
      <c r="B130" s="135"/>
      <c r="C130" s="135"/>
      <c r="D130" s="189"/>
      <c r="E130" s="135"/>
      <c r="F130" s="229"/>
      <c r="G130" s="229"/>
      <c r="H130" s="229"/>
      <c r="I130" s="135"/>
      <c r="J130" s="135"/>
      <c r="K130" s="135"/>
      <c r="L130" s="135"/>
      <c r="M130" s="135"/>
      <c r="N130" s="135"/>
      <c r="O130" s="135"/>
      <c r="P130" s="135"/>
      <c r="Q130" s="135"/>
    </row>
    <row r="131" customFormat="false" ht="15.75" hidden="false" customHeight="true" outlineLevel="0" collapsed="false">
      <c r="A131" s="135"/>
      <c r="B131" s="135"/>
      <c r="C131" s="135"/>
      <c r="D131" s="189"/>
      <c r="E131" s="135"/>
      <c r="F131" s="229"/>
      <c r="G131" s="229"/>
      <c r="H131" s="229"/>
      <c r="I131" s="135"/>
      <c r="J131" s="135"/>
      <c r="K131" s="135"/>
      <c r="L131" s="135"/>
      <c r="M131" s="135"/>
      <c r="N131" s="135"/>
      <c r="O131" s="135"/>
      <c r="P131" s="135"/>
      <c r="Q131" s="135"/>
    </row>
    <row r="132" customFormat="false" ht="15.75" hidden="false" customHeight="true" outlineLevel="0" collapsed="false">
      <c r="A132" s="135"/>
      <c r="B132" s="135"/>
      <c r="C132" s="135"/>
      <c r="D132" s="189"/>
      <c r="E132" s="135"/>
      <c r="F132" s="229"/>
      <c r="G132" s="229"/>
      <c r="H132" s="229"/>
      <c r="I132" s="135"/>
      <c r="J132" s="135"/>
      <c r="K132" s="135"/>
      <c r="L132" s="135"/>
      <c r="M132" s="135"/>
      <c r="N132" s="135"/>
      <c r="O132" s="135"/>
      <c r="P132" s="135"/>
      <c r="Q132" s="135"/>
    </row>
    <row r="133" customFormat="false" ht="15.75" hidden="false" customHeight="true" outlineLevel="0" collapsed="false">
      <c r="A133" s="135"/>
      <c r="B133" s="135"/>
      <c r="C133" s="135"/>
      <c r="D133" s="189"/>
      <c r="E133" s="135"/>
      <c r="F133" s="229"/>
      <c r="G133" s="229"/>
      <c r="H133" s="229"/>
      <c r="I133" s="135"/>
      <c r="J133" s="135"/>
      <c r="K133" s="135"/>
      <c r="L133" s="135"/>
      <c r="M133" s="135"/>
      <c r="N133" s="135"/>
      <c r="O133" s="135"/>
      <c r="P133" s="135"/>
      <c r="Q133" s="135"/>
    </row>
    <row r="134" customFormat="false" ht="15.75" hidden="false" customHeight="true" outlineLevel="0" collapsed="false">
      <c r="A134" s="135"/>
      <c r="B134" s="135"/>
      <c r="C134" s="135"/>
      <c r="D134" s="189"/>
      <c r="E134" s="135"/>
      <c r="F134" s="229"/>
      <c r="G134" s="229"/>
      <c r="H134" s="229"/>
      <c r="I134" s="135"/>
      <c r="J134" s="135"/>
      <c r="K134" s="135"/>
      <c r="L134" s="135"/>
      <c r="M134" s="135"/>
      <c r="N134" s="135"/>
      <c r="O134" s="135"/>
      <c r="P134" s="135"/>
      <c r="Q134" s="135"/>
    </row>
    <row r="135" customFormat="false" ht="15.75" hidden="false" customHeight="true" outlineLevel="0" collapsed="false">
      <c r="A135" s="135"/>
      <c r="B135" s="135"/>
      <c r="C135" s="135"/>
      <c r="D135" s="189"/>
      <c r="E135" s="135"/>
      <c r="F135" s="229"/>
      <c r="G135" s="229"/>
      <c r="H135" s="229"/>
      <c r="I135" s="135"/>
      <c r="J135" s="135"/>
      <c r="K135" s="135"/>
      <c r="L135" s="135"/>
      <c r="M135" s="135"/>
      <c r="N135" s="135"/>
      <c r="O135" s="135"/>
      <c r="P135" s="135"/>
      <c r="Q135" s="135"/>
    </row>
    <row r="136" customFormat="false" ht="15.75" hidden="false" customHeight="true" outlineLevel="0" collapsed="false">
      <c r="A136" s="135"/>
      <c r="B136" s="135"/>
      <c r="C136" s="135"/>
      <c r="D136" s="189"/>
      <c r="E136" s="135"/>
      <c r="F136" s="229"/>
      <c r="G136" s="229"/>
      <c r="H136" s="229"/>
      <c r="I136" s="135"/>
      <c r="J136" s="135"/>
      <c r="K136" s="135"/>
      <c r="L136" s="135"/>
      <c r="M136" s="135"/>
      <c r="N136" s="135"/>
      <c r="O136" s="135"/>
      <c r="P136" s="135"/>
      <c r="Q136" s="135"/>
    </row>
    <row r="137" customFormat="false" ht="15.75" hidden="false" customHeight="true" outlineLevel="0" collapsed="false">
      <c r="A137" s="135"/>
      <c r="B137" s="135"/>
      <c r="C137" s="135"/>
      <c r="D137" s="189"/>
      <c r="E137" s="135"/>
      <c r="F137" s="229"/>
      <c r="G137" s="229"/>
      <c r="H137" s="229"/>
      <c r="I137" s="135"/>
      <c r="J137" s="135"/>
      <c r="K137" s="135"/>
      <c r="L137" s="135"/>
      <c r="M137" s="135"/>
      <c r="N137" s="135"/>
      <c r="O137" s="135"/>
      <c r="P137" s="135"/>
      <c r="Q137" s="135"/>
    </row>
    <row r="138" customFormat="false" ht="15.75" hidden="false" customHeight="true" outlineLevel="0" collapsed="false">
      <c r="A138" s="135"/>
      <c r="B138" s="135"/>
      <c r="C138" s="135"/>
      <c r="D138" s="189"/>
      <c r="E138" s="135"/>
      <c r="F138" s="229"/>
      <c r="G138" s="229"/>
      <c r="H138" s="229"/>
      <c r="I138" s="135"/>
      <c r="J138" s="135"/>
      <c r="K138" s="135"/>
      <c r="L138" s="135"/>
      <c r="M138" s="135"/>
      <c r="N138" s="135"/>
      <c r="O138" s="135"/>
      <c r="P138" s="135"/>
      <c r="Q138" s="135"/>
    </row>
    <row r="139" customFormat="false" ht="15.75" hidden="false" customHeight="true" outlineLevel="0" collapsed="false">
      <c r="A139" s="135"/>
      <c r="B139" s="135"/>
      <c r="C139" s="135"/>
      <c r="D139" s="189"/>
      <c r="E139" s="135"/>
      <c r="F139" s="229"/>
      <c r="G139" s="229"/>
      <c r="H139" s="229"/>
      <c r="I139" s="135"/>
      <c r="J139" s="135"/>
      <c r="K139" s="135"/>
      <c r="L139" s="135"/>
      <c r="M139" s="135"/>
      <c r="N139" s="135"/>
      <c r="O139" s="135"/>
      <c r="P139" s="135"/>
      <c r="Q139" s="135"/>
    </row>
    <row r="140" customFormat="false" ht="15.75" hidden="false" customHeight="true" outlineLevel="0" collapsed="false">
      <c r="A140" s="135"/>
      <c r="B140" s="135"/>
      <c r="C140" s="135"/>
      <c r="D140" s="189"/>
      <c r="E140" s="135"/>
      <c r="F140" s="229"/>
      <c r="G140" s="229"/>
      <c r="H140" s="229"/>
      <c r="I140" s="135"/>
      <c r="J140" s="135"/>
      <c r="K140" s="135"/>
      <c r="L140" s="135"/>
      <c r="M140" s="135"/>
      <c r="N140" s="135"/>
      <c r="O140" s="135"/>
      <c r="P140" s="135"/>
      <c r="Q140" s="135"/>
    </row>
    <row r="141" customFormat="false" ht="15.75" hidden="false" customHeight="true" outlineLevel="0" collapsed="false">
      <c r="A141" s="135"/>
      <c r="B141" s="135"/>
      <c r="C141" s="135"/>
      <c r="D141" s="189"/>
      <c r="E141" s="135"/>
      <c r="F141" s="229"/>
      <c r="G141" s="229"/>
      <c r="H141" s="229"/>
      <c r="I141" s="135"/>
      <c r="J141" s="135"/>
      <c r="K141" s="135"/>
      <c r="L141" s="135"/>
      <c r="M141" s="135"/>
      <c r="N141" s="135"/>
      <c r="O141" s="135"/>
      <c r="P141" s="135"/>
      <c r="Q141" s="135"/>
    </row>
    <row r="142" customFormat="false" ht="15.75" hidden="false" customHeight="true" outlineLevel="0" collapsed="false">
      <c r="A142" s="135"/>
      <c r="B142" s="135"/>
      <c r="C142" s="135"/>
      <c r="D142" s="189"/>
      <c r="E142" s="135"/>
      <c r="F142" s="229"/>
      <c r="G142" s="229"/>
      <c r="H142" s="229"/>
      <c r="I142" s="135"/>
      <c r="J142" s="135"/>
      <c r="K142" s="135"/>
      <c r="L142" s="135"/>
      <c r="M142" s="135"/>
      <c r="N142" s="135"/>
      <c r="O142" s="135"/>
      <c r="P142" s="135"/>
      <c r="Q142" s="135"/>
    </row>
    <row r="143" customFormat="false" ht="15.75" hidden="false" customHeight="true" outlineLevel="0" collapsed="false">
      <c r="A143" s="135"/>
      <c r="B143" s="135"/>
      <c r="C143" s="135"/>
      <c r="D143" s="189"/>
      <c r="E143" s="135"/>
      <c r="F143" s="229"/>
      <c r="G143" s="229"/>
      <c r="H143" s="229"/>
      <c r="I143" s="135"/>
      <c r="J143" s="135"/>
      <c r="K143" s="135"/>
      <c r="L143" s="135"/>
      <c r="M143" s="135"/>
      <c r="N143" s="135"/>
      <c r="O143" s="135"/>
      <c r="P143" s="135"/>
      <c r="Q143" s="135"/>
    </row>
    <row r="144" customFormat="false" ht="15.75" hidden="false" customHeight="true" outlineLevel="0" collapsed="false">
      <c r="A144" s="135"/>
      <c r="B144" s="135"/>
      <c r="C144" s="135"/>
      <c r="D144" s="189"/>
      <c r="E144" s="135"/>
      <c r="F144" s="229"/>
      <c r="G144" s="229"/>
      <c r="H144" s="229"/>
      <c r="I144" s="135"/>
      <c r="J144" s="135"/>
      <c r="K144" s="135"/>
      <c r="L144" s="135"/>
      <c r="M144" s="135"/>
      <c r="N144" s="135"/>
      <c r="O144" s="135"/>
      <c r="P144" s="135"/>
      <c r="Q144" s="135"/>
    </row>
    <row r="145" customFormat="false" ht="15.75" hidden="false" customHeight="true" outlineLevel="0" collapsed="false">
      <c r="A145" s="135"/>
      <c r="B145" s="135"/>
      <c r="C145" s="135"/>
      <c r="D145" s="189"/>
      <c r="E145" s="135"/>
      <c r="F145" s="229"/>
      <c r="G145" s="229"/>
      <c r="H145" s="229"/>
      <c r="I145" s="135"/>
      <c r="J145" s="135"/>
      <c r="K145" s="135"/>
      <c r="L145" s="135"/>
      <c r="M145" s="135"/>
      <c r="N145" s="135"/>
      <c r="O145" s="135"/>
      <c r="P145" s="135"/>
      <c r="Q145" s="135"/>
    </row>
    <row r="146" customFormat="false" ht="15.75" hidden="false" customHeight="true" outlineLevel="0" collapsed="false">
      <c r="A146" s="135"/>
      <c r="B146" s="135"/>
      <c r="C146" s="135"/>
      <c r="D146" s="189"/>
      <c r="E146" s="135"/>
      <c r="F146" s="229"/>
      <c r="G146" s="229"/>
      <c r="H146" s="229"/>
      <c r="I146" s="135"/>
      <c r="J146" s="135"/>
      <c r="K146" s="135"/>
      <c r="L146" s="135"/>
      <c r="M146" s="135"/>
      <c r="N146" s="135"/>
      <c r="O146" s="135"/>
      <c r="P146" s="135"/>
      <c r="Q146" s="135"/>
    </row>
    <row r="147" customFormat="false" ht="15.75" hidden="false" customHeight="true" outlineLevel="0" collapsed="false">
      <c r="A147" s="135"/>
      <c r="B147" s="135"/>
      <c r="C147" s="135"/>
      <c r="D147" s="189"/>
      <c r="E147" s="135"/>
      <c r="F147" s="229"/>
      <c r="G147" s="229"/>
      <c r="H147" s="229"/>
      <c r="I147" s="135"/>
      <c r="J147" s="135"/>
      <c r="K147" s="135"/>
      <c r="L147" s="135"/>
      <c r="M147" s="135"/>
      <c r="N147" s="135"/>
      <c r="O147" s="135"/>
      <c r="P147" s="135"/>
      <c r="Q147" s="135"/>
    </row>
    <row r="148" customFormat="false" ht="15.75" hidden="false" customHeight="true" outlineLevel="0" collapsed="false">
      <c r="A148" s="135"/>
      <c r="B148" s="135"/>
      <c r="C148" s="135"/>
      <c r="D148" s="189"/>
      <c r="E148" s="135"/>
      <c r="F148" s="229"/>
      <c r="G148" s="229"/>
      <c r="H148" s="229"/>
      <c r="I148" s="135"/>
      <c r="J148" s="135"/>
      <c r="K148" s="135"/>
      <c r="L148" s="135"/>
      <c r="M148" s="135"/>
      <c r="N148" s="135"/>
      <c r="O148" s="135"/>
      <c r="P148" s="135"/>
      <c r="Q148" s="135"/>
    </row>
    <row r="149" customFormat="false" ht="15.75" hidden="false" customHeight="true" outlineLevel="0" collapsed="false">
      <c r="A149" s="135"/>
      <c r="B149" s="135"/>
      <c r="C149" s="135"/>
      <c r="D149" s="189"/>
      <c r="E149" s="135"/>
      <c r="F149" s="229"/>
      <c r="G149" s="229"/>
      <c r="H149" s="229"/>
      <c r="I149" s="135"/>
      <c r="J149" s="135"/>
      <c r="K149" s="135"/>
      <c r="L149" s="135"/>
      <c r="M149" s="135"/>
      <c r="N149" s="135"/>
      <c r="O149" s="135"/>
      <c r="P149" s="135"/>
      <c r="Q149" s="135"/>
    </row>
    <row r="150" customFormat="false" ht="15.75" hidden="false" customHeight="true" outlineLevel="0" collapsed="false">
      <c r="A150" s="135"/>
      <c r="B150" s="135"/>
      <c r="C150" s="135"/>
      <c r="D150" s="189"/>
      <c r="E150" s="135"/>
      <c r="F150" s="229"/>
      <c r="G150" s="229"/>
      <c r="H150" s="229"/>
      <c r="I150" s="135"/>
      <c r="J150" s="135"/>
      <c r="K150" s="135"/>
      <c r="L150" s="135"/>
      <c r="M150" s="135"/>
      <c r="N150" s="135"/>
      <c r="O150" s="135"/>
      <c r="P150" s="135"/>
      <c r="Q150" s="135"/>
    </row>
    <row r="151" customFormat="false" ht="15.75" hidden="false" customHeight="true" outlineLevel="0" collapsed="false">
      <c r="A151" s="135"/>
      <c r="B151" s="135"/>
      <c r="C151" s="135"/>
      <c r="D151" s="189"/>
      <c r="E151" s="135"/>
      <c r="F151" s="229"/>
      <c r="G151" s="229"/>
      <c r="H151" s="229"/>
      <c r="I151" s="135"/>
      <c r="J151" s="135"/>
      <c r="K151" s="135"/>
      <c r="L151" s="135"/>
      <c r="M151" s="135"/>
      <c r="N151" s="135"/>
      <c r="O151" s="135"/>
      <c r="P151" s="135"/>
      <c r="Q151" s="135"/>
    </row>
    <row r="152" customFormat="false" ht="15.75" hidden="false" customHeight="true" outlineLevel="0" collapsed="false">
      <c r="A152" s="135"/>
      <c r="B152" s="135"/>
      <c r="C152" s="135"/>
      <c r="D152" s="189"/>
      <c r="E152" s="135"/>
      <c r="F152" s="229"/>
      <c r="G152" s="229"/>
      <c r="H152" s="229"/>
      <c r="I152" s="135"/>
      <c r="J152" s="135"/>
      <c r="K152" s="135"/>
      <c r="L152" s="135"/>
      <c r="M152" s="135"/>
      <c r="N152" s="135"/>
      <c r="O152" s="135"/>
      <c r="P152" s="135"/>
      <c r="Q152" s="135"/>
    </row>
    <row r="153" customFormat="false" ht="15.75" hidden="false" customHeight="true" outlineLevel="0" collapsed="false">
      <c r="A153" s="135"/>
      <c r="B153" s="135"/>
      <c r="C153" s="135"/>
      <c r="D153" s="189"/>
      <c r="E153" s="135"/>
      <c r="F153" s="229"/>
      <c r="G153" s="229"/>
      <c r="H153" s="229"/>
      <c r="I153" s="135"/>
      <c r="J153" s="135"/>
      <c r="K153" s="135"/>
      <c r="L153" s="135"/>
      <c r="M153" s="135"/>
      <c r="N153" s="135"/>
      <c r="O153" s="135"/>
      <c r="P153" s="135"/>
      <c r="Q153" s="135"/>
    </row>
    <row r="154" customFormat="false" ht="15.75" hidden="false" customHeight="true" outlineLevel="0" collapsed="false">
      <c r="A154" s="135"/>
      <c r="B154" s="135"/>
      <c r="C154" s="135"/>
      <c r="D154" s="189"/>
      <c r="E154" s="135"/>
      <c r="F154" s="229"/>
      <c r="G154" s="229"/>
      <c r="H154" s="229"/>
      <c r="I154" s="135"/>
      <c r="J154" s="135"/>
      <c r="K154" s="135"/>
      <c r="L154" s="135"/>
      <c r="M154" s="135"/>
      <c r="N154" s="135"/>
      <c r="O154" s="135"/>
      <c r="P154" s="135"/>
      <c r="Q154" s="135"/>
    </row>
    <row r="155" customFormat="false" ht="15.75" hidden="false" customHeight="true" outlineLevel="0" collapsed="false">
      <c r="A155" s="135"/>
      <c r="B155" s="135"/>
      <c r="C155" s="135"/>
      <c r="D155" s="189"/>
      <c r="E155" s="135"/>
      <c r="F155" s="229"/>
      <c r="G155" s="229"/>
      <c r="H155" s="229"/>
      <c r="I155" s="135"/>
      <c r="J155" s="135"/>
      <c r="K155" s="135"/>
      <c r="L155" s="135"/>
      <c r="M155" s="135"/>
      <c r="N155" s="135"/>
      <c r="O155" s="135"/>
      <c r="P155" s="135"/>
      <c r="Q155" s="135"/>
    </row>
    <row r="156" customFormat="false" ht="15.75" hidden="false" customHeight="true" outlineLevel="0" collapsed="false">
      <c r="A156" s="135"/>
      <c r="B156" s="135"/>
      <c r="C156" s="135"/>
      <c r="D156" s="189"/>
      <c r="E156" s="135"/>
      <c r="F156" s="229"/>
      <c r="G156" s="229"/>
      <c r="H156" s="229"/>
      <c r="I156" s="135"/>
      <c r="J156" s="135"/>
      <c r="K156" s="135"/>
      <c r="L156" s="135"/>
      <c r="M156" s="135"/>
      <c r="N156" s="135"/>
      <c r="O156" s="135"/>
      <c r="P156" s="135"/>
      <c r="Q156" s="135"/>
    </row>
    <row r="157" customFormat="false" ht="15.75" hidden="false" customHeight="true" outlineLevel="0" collapsed="false">
      <c r="A157" s="135"/>
      <c r="B157" s="135"/>
      <c r="C157" s="135"/>
      <c r="D157" s="189"/>
      <c r="E157" s="135"/>
      <c r="F157" s="229"/>
      <c r="G157" s="229"/>
      <c r="H157" s="229"/>
      <c r="I157" s="135"/>
      <c r="J157" s="135"/>
      <c r="K157" s="135"/>
      <c r="L157" s="135"/>
      <c r="M157" s="135"/>
      <c r="N157" s="135"/>
      <c r="O157" s="135"/>
      <c r="P157" s="135"/>
      <c r="Q157" s="135"/>
    </row>
    <row r="158" customFormat="false" ht="15.75" hidden="false" customHeight="true" outlineLevel="0" collapsed="false">
      <c r="A158" s="135"/>
      <c r="B158" s="135"/>
      <c r="C158" s="135"/>
      <c r="D158" s="189"/>
      <c r="E158" s="135"/>
      <c r="F158" s="229"/>
      <c r="G158" s="229"/>
      <c r="H158" s="229"/>
      <c r="I158" s="135"/>
      <c r="J158" s="135"/>
      <c r="K158" s="135"/>
      <c r="L158" s="135"/>
      <c r="M158" s="135"/>
      <c r="N158" s="135"/>
      <c r="O158" s="135"/>
      <c r="P158" s="135"/>
      <c r="Q158" s="135"/>
    </row>
    <row r="159" customFormat="false" ht="15.75" hidden="false" customHeight="true" outlineLevel="0" collapsed="false">
      <c r="A159" s="135"/>
      <c r="B159" s="135"/>
      <c r="C159" s="135"/>
      <c r="D159" s="189"/>
      <c r="E159" s="135"/>
      <c r="F159" s="229"/>
      <c r="G159" s="229"/>
      <c r="H159" s="229"/>
      <c r="I159" s="135"/>
      <c r="J159" s="135"/>
      <c r="K159" s="135"/>
      <c r="L159" s="135"/>
      <c r="M159" s="135"/>
      <c r="N159" s="135"/>
      <c r="O159" s="135"/>
      <c r="P159" s="135"/>
      <c r="Q159" s="135"/>
    </row>
    <row r="160" customFormat="false" ht="15.75" hidden="false" customHeight="true" outlineLevel="0" collapsed="false">
      <c r="A160" s="135"/>
      <c r="B160" s="135"/>
      <c r="C160" s="135"/>
      <c r="D160" s="189"/>
      <c r="E160" s="135"/>
      <c r="F160" s="229"/>
      <c r="G160" s="229"/>
      <c r="H160" s="229"/>
      <c r="I160" s="135"/>
      <c r="J160" s="135"/>
      <c r="K160" s="135"/>
      <c r="L160" s="135"/>
      <c r="M160" s="135"/>
      <c r="N160" s="135"/>
      <c r="O160" s="135"/>
      <c r="P160" s="135"/>
      <c r="Q160" s="135"/>
    </row>
    <row r="161" customFormat="false" ht="15.75" hidden="false" customHeight="true" outlineLevel="0" collapsed="false">
      <c r="A161" s="135"/>
      <c r="B161" s="135"/>
      <c r="C161" s="135"/>
      <c r="D161" s="189"/>
      <c r="E161" s="135"/>
      <c r="F161" s="229"/>
      <c r="G161" s="229"/>
      <c r="H161" s="229"/>
      <c r="I161" s="135"/>
      <c r="J161" s="135"/>
      <c r="K161" s="135"/>
      <c r="L161" s="135"/>
      <c r="M161" s="135"/>
      <c r="N161" s="135"/>
      <c r="O161" s="135"/>
      <c r="P161" s="135"/>
      <c r="Q161" s="135"/>
    </row>
    <row r="162" customFormat="false" ht="15.75" hidden="false" customHeight="true" outlineLevel="0" collapsed="false">
      <c r="A162" s="135"/>
      <c r="B162" s="135"/>
      <c r="C162" s="135"/>
      <c r="D162" s="189"/>
      <c r="E162" s="135"/>
      <c r="F162" s="229"/>
      <c r="G162" s="229"/>
      <c r="H162" s="229"/>
      <c r="I162" s="135"/>
      <c r="J162" s="135"/>
      <c r="K162" s="135"/>
      <c r="L162" s="135"/>
      <c r="M162" s="135"/>
      <c r="N162" s="135"/>
      <c r="O162" s="135"/>
      <c r="P162" s="135"/>
      <c r="Q162" s="135"/>
    </row>
    <row r="163" customFormat="false" ht="15.75" hidden="false" customHeight="true" outlineLevel="0" collapsed="false">
      <c r="A163" s="135"/>
      <c r="B163" s="135"/>
      <c r="C163" s="135"/>
      <c r="D163" s="189"/>
      <c r="E163" s="135"/>
      <c r="F163" s="229"/>
      <c r="G163" s="229"/>
      <c r="H163" s="229"/>
      <c r="I163" s="135"/>
      <c r="J163" s="135"/>
      <c r="K163" s="135"/>
      <c r="L163" s="135"/>
      <c r="M163" s="135"/>
      <c r="N163" s="135"/>
      <c r="O163" s="135"/>
      <c r="P163" s="135"/>
      <c r="Q163" s="135"/>
    </row>
    <row r="164" customFormat="false" ht="15.75" hidden="false" customHeight="true" outlineLevel="0" collapsed="false">
      <c r="A164" s="135"/>
      <c r="B164" s="135"/>
      <c r="C164" s="135"/>
      <c r="D164" s="189"/>
      <c r="E164" s="135"/>
      <c r="F164" s="229"/>
      <c r="G164" s="229"/>
      <c r="H164" s="229"/>
      <c r="I164" s="135"/>
      <c r="J164" s="135"/>
      <c r="K164" s="135"/>
      <c r="L164" s="135"/>
      <c r="M164" s="135"/>
      <c r="N164" s="135"/>
      <c r="O164" s="135"/>
      <c r="P164" s="135"/>
      <c r="Q164" s="135"/>
    </row>
    <row r="165" customFormat="false" ht="15.75" hidden="false" customHeight="true" outlineLevel="0" collapsed="false">
      <c r="A165" s="135"/>
      <c r="B165" s="135"/>
      <c r="C165" s="135"/>
      <c r="D165" s="189"/>
      <c r="E165" s="135"/>
      <c r="F165" s="229"/>
      <c r="G165" s="229"/>
      <c r="H165" s="229"/>
      <c r="I165" s="135"/>
      <c r="J165" s="135"/>
      <c r="K165" s="135"/>
      <c r="L165" s="135"/>
      <c r="M165" s="135"/>
      <c r="N165" s="135"/>
      <c r="O165" s="135"/>
      <c r="P165" s="135"/>
      <c r="Q165" s="135"/>
    </row>
    <row r="166" customFormat="false" ht="15.75" hidden="false" customHeight="true" outlineLevel="0" collapsed="false">
      <c r="A166" s="135"/>
      <c r="B166" s="135"/>
      <c r="C166" s="135"/>
      <c r="D166" s="189"/>
      <c r="E166" s="135"/>
      <c r="F166" s="229"/>
      <c r="G166" s="229"/>
      <c r="H166" s="229"/>
      <c r="I166" s="135"/>
      <c r="J166" s="135"/>
      <c r="K166" s="135"/>
      <c r="L166" s="135"/>
      <c r="M166" s="135"/>
      <c r="N166" s="135"/>
      <c r="O166" s="135"/>
      <c r="P166" s="135"/>
      <c r="Q166" s="135"/>
    </row>
    <row r="167" customFormat="false" ht="15.75" hidden="false" customHeight="true" outlineLevel="0" collapsed="false">
      <c r="A167" s="135"/>
      <c r="B167" s="135"/>
      <c r="C167" s="135"/>
      <c r="D167" s="189"/>
      <c r="E167" s="135"/>
      <c r="F167" s="229"/>
      <c r="G167" s="229"/>
      <c r="H167" s="229"/>
      <c r="I167" s="135"/>
      <c r="J167" s="135"/>
      <c r="K167" s="135"/>
      <c r="L167" s="135"/>
      <c r="M167" s="135"/>
      <c r="N167" s="135"/>
      <c r="O167" s="135"/>
      <c r="P167" s="135"/>
      <c r="Q167" s="135"/>
    </row>
    <row r="168" customFormat="false" ht="15.75" hidden="false" customHeight="true" outlineLevel="0" collapsed="false">
      <c r="A168" s="135"/>
      <c r="B168" s="135"/>
      <c r="C168" s="135"/>
      <c r="D168" s="189"/>
      <c r="E168" s="135"/>
      <c r="F168" s="229"/>
      <c r="G168" s="229"/>
      <c r="H168" s="229"/>
      <c r="I168" s="135"/>
      <c r="J168" s="135"/>
      <c r="K168" s="135"/>
      <c r="L168" s="135"/>
      <c r="M168" s="135"/>
      <c r="N168" s="135"/>
      <c r="O168" s="135"/>
      <c r="P168" s="135"/>
      <c r="Q168" s="135"/>
    </row>
    <row r="169" customFormat="false" ht="15.75" hidden="false" customHeight="true" outlineLevel="0" collapsed="false">
      <c r="A169" s="135"/>
      <c r="B169" s="135"/>
      <c r="C169" s="135"/>
      <c r="D169" s="189"/>
      <c r="E169" s="135"/>
      <c r="F169" s="229"/>
      <c r="G169" s="229"/>
      <c r="H169" s="229"/>
      <c r="I169" s="135"/>
      <c r="J169" s="135"/>
      <c r="K169" s="135"/>
      <c r="L169" s="135"/>
      <c r="M169" s="135"/>
      <c r="N169" s="135"/>
      <c r="O169" s="135"/>
      <c r="P169" s="135"/>
      <c r="Q169" s="135"/>
    </row>
    <row r="170" customFormat="false" ht="15.75" hidden="false" customHeight="true" outlineLevel="0" collapsed="false">
      <c r="A170" s="135"/>
      <c r="B170" s="135"/>
      <c r="C170" s="135"/>
      <c r="D170" s="189"/>
      <c r="E170" s="135"/>
      <c r="F170" s="229"/>
      <c r="G170" s="229"/>
      <c r="H170" s="229"/>
      <c r="I170" s="135"/>
      <c r="J170" s="135"/>
      <c r="K170" s="135"/>
      <c r="L170" s="135"/>
      <c r="M170" s="135"/>
      <c r="N170" s="135"/>
      <c r="O170" s="135"/>
      <c r="P170" s="135"/>
      <c r="Q170" s="135"/>
    </row>
    <row r="171" customFormat="false" ht="15.75" hidden="false" customHeight="true" outlineLevel="0" collapsed="false">
      <c r="A171" s="135"/>
      <c r="B171" s="135"/>
      <c r="C171" s="135"/>
      <c r="D171" s="189"/>
      <c r="E171" s="135"/>
      <c r="F171" s="229"/>
      <c r="G171" s="229"/>
      <c r="H171" s="229"/>
      <c r="I171" s="135"/>
      <c r="J171" s="135"/>
      <c r="K171" s="135"/>
      <c r="L171" s="135"/>
      <c r="M171" s="135"/>
      <c r="N171" s="135"/>
      <c r="O171" s="135"/>
      <c r="P171" s="135"/>
      <c r="Q171" s="135"/>
    </row>
    <row r="172" customFormat="false" ht="15.75" hidden="false" customHeight="true" outlineLevel="0" collapsed="false">
      <c r="A172" s="135"/>
      <c r="B172" s="135"/>
      <c r="C172" s="135"/>
      <c r="D172" s="189"/>
      <c r="E172" s="135"/>
      <c r="F172" s="229"/>
      <c r="G172" s="229"/>
      <c r="H172" s="229"/>
      <c r="I172" s="135"/>
      <c r="J172" s="135"/>
      <c r="K172" s="135"/>
      <c r="L172" s="135"/>
      <c r="M172" s="135"/>
      <c r="N172" s="135"/>
      <c r="O172" s="135"/>
      <c r="P172" s="135"/>
      <c r="Q172" s="135"/>
    </row>
    <row r="173" customFormat="false" ht="15.75" hidden="false" customHeight="true" outlineLevel="0" collapsed="false">
      <c r="A173" s="135"/>
      <c r="B173" s="135"/>
      <c r="C173" s="135"/>
      <c r="D173" s="189"/>
      <c r="E173" s="135"/>
      <c r="F173" s="229"/>
      <c r="G173" s="229"/>
      <c r="H173" s="229"/>
      <c r="I173" s="135"/>
      <c r="J173" s="135"/>
      <c r="K173" s="135"/>
      <c r="L173" s="135"/>
      <c r="M173" s="135"/>
      <c r="N173" s="135"/>
      <c r="O173" s="135"/>
      <c r="P173" s="135"/>
      <c r="Q173" s="135"/>
    </row>
    <row r="174" customFormat="false" ht="15.75" hidden="false" customHeight="true" outlineLevel="0" collapsed="false">
      <c r="A174" s="135"/>
      <c r="B174" s="135"/>
      <c r="C174" s="135"/>
      <c r="D174" s="189"/>
      <c r="E174" s="135"/>
      <c r="F174" s="229"/>
      <c r="G174" s="229"/>
      <c r="H174" s="229"/>
      <c r="I174" s="135"/>
      <c r="J174" s="135"/>
      <c r="K174" s="135"/>
      <c r="L174" s="135"/>
      <c r="M174" s="135"/>
      <c r="N174" s="135"/>
      <c r="O174" s="135"/>
      <c r="P174" s="135"/>
      <c r="Q174" s="135"/>
    </row>
    <row r="175" customFormat="false" ht="15.75" hidden="false" customHeight="true" outlineLevel="0" collapsed="false">
      <c r="A175" s="135"/>
      <c r="B175" s="135"/>
      <c r="C175" s="135"/>
      <c r="D175" s="189"/>
      <c r="E175" s="135"/>
      <c r="F175" s="229"/>
      <c r="G175" s="229"/>
      <c r="H175" s="229"/>
      <c r="I175" s="135"/>
      <c r="J175" s="135"/>
      <c r="K175" s="135"/>
      <c r="L175" s="135"/>
      <c r="M175" s="135"/>
      <c r="N175" s="135"/>
      <c r="O175" s="135"/>
      <c r="P175" s="135"/>
      <c r="Q175" s="135"/>
    </row>
    <row r="176" customFormat="false" ht="15.75" hidden="false" customHeight="true" outlineLevel="0" collapsed="false">
      <c r="A176" s="135"/>
      <c r="B176" s="135"/>
      <c r="C176" s="135"/>
      <c r="D176" s="189"/>
      <c r="E176" s="135"/>
      <c r="F176" s="229"/>
      <c r="G176" s="229"/>
      <c r="H176" s="229"/>
      <c r="I176" s="135"/>
      <c r="J176" s="135"/>
      <c r="K176" s="135"/>
      <c r="L176" s="135"/>
      <c r="M176" s="135"/>
      <c r="N176" s="135"/>
      <c r="O176" s="135"/>
      <c r="P176" s="135"/>
      <c r="Q176" s="135"/>
    </row>
    <row r="177" customFormat="false" ht="15.75" hidden="false" customHeight="true" outlineLevel="0" collapsed="false">
      <c r="A177" s="135"/>
      <c r="B177" s="135"/>
      <c r="C177" s="135"/>
      <c r="D177" s="189"/>
      <c r="E177" s="135"/>
      <c r="F177" s="229"/>
      <c r="G177" s="229"/>
      <c r="H177" s="229"/>
      <c r="I177" s="135"/>
      <c r="J177" s="135"/>
      <c r="K177" s="135"/>
      <c r="L177" s="135"/>
      <c r="M177" s="135"/>
      <c r="N177" s="135"/>
      <c r="O177" s="135"/>
      <c r="P177" s="135"/>
      <c r="Q177" s="135"/>
    </row>
    <row r="178" customFormat="false" ht="15.75" hidden="false" customHeight="true" outlineLevel="0" collapsed="false">
      <c r="A178" s="135"/>
      <c r="B178" s="135"/>
      <c r="C178" s="135"/>
      <c r="D178" s="189"/>
      <c r="E178" s="135"/>
      <c r="F178" s="229"/>
      <c r="G178" s="229"/>
      <c r="H178" s="229"/>
      <c r="I178" s="135"/>
      <c r="J178" s="135"/>
      <c r="K178" s="135"/>
      <c r="L178" s="135"/>
      <c r="M178" s="135"/>
      <c r="N178" s="135"/>
      <c r="O178" s="135"/>
      <c r="P178" s="135"/>
      <c r="Q178" s="135"/>
    </row>
    <row r="179" customFormat="false" ht="15.75" hidden="false" customHeight="true" outlineLevel="0" collapsed="false">
      <c r="A179" s="135"/>
      <c r="B179" s="135"/>
      <c r="C179" s="135"/>
      <c r="D179" s="189"/>
      <c r="E179" s="135"/>
      <c r="F179" s="229"/>
      <c r="G179" s="229"/>
      <c r="H179" s="229"/>
      <c r="I179" s="135"/>
      <c r="J179" s="135"/>
      <c r="K179" s="135"/>
      <c r="L179" s="135"/>
      <c r="M179" s="135"/>
      <c r="N179" s="135"/>
      <c r="O179" s="135"/>
      <c r="P179" s="135"/>
      <c r="Q179" s="135"/>
    </row>
    <row r="180" customFormat="false" ht="15.75" hidden="false" customHeight="true" outlineLevel="0" collapsed="false">
      <c r="A180" s="135"/>
      <c r="B180" s="135"/>
      <c r="C180" s="135"/>
      <c r="D180" s="189"/>
      <c r="E180" s="135"/>
      <c r="F180" s="229"/>
      <c r="G180" s="229"/>
      <c r="H180" s="229"/>
      <c r="I180" s="135"/>
      <c r="J180" s="135"/>
      <c r="K180" s="135"/>
      <c r="L180" s="135"/>
      <c r="M180" s="135"/>
      <c r="N180" s="135"/>
      <c r="O180" s="135"/>
      <c r="P180" s="135"/>
      <c r="Q180" s="135"/>
    </row>
    <row r="181" customFormat="false" ht="15.75" hidden="false" customHeight="true" outlineLevel="0" collapsed="false">
      <c r="A181" s="135"/>
      <c r="B181" s="135"/>
      <c r="C181" s="135"/>
      <c r="D181" s="189"/>
      <c r="E181" s="135"/>
      <c r="F181" s="229"/>
      <c r="G181" s="229"/>
      <c r="H181" s="229"/>
      <c r="I181" s="135"/>
      <c r="J181" s="135"/>
      <c r="K181" s="135"/>
      <c r="L181" s="135"/>
      <c r="M181" s="135"/>
      <c r="N181" s="135"/>
      <c r="O181" s="135"/>
      <c r="P181" s="135"/>
      <c r="Q181" s="135"/>
    </row>
    <row r="182" customFormat="false" ht="15.75" hidden="false" customHeight="true" outlineLevel="0" collapsed="false">
      <c r="A182" s="135"/>
      <c r="B182" s="135"/>
      <c r="C182" s="135"/>
      <c r="D182" s="189"/>
      <c r="E182" s="135"/>
      <c r="F182" s="229"/>
      <c r="G182" s="229"/>
      <c r="H182" s="229"/>
      <c r="I182" s="135"/>
      <c r="J182" s="135"/>
      <c r="K182" s="135"/>
      <c r="L182" s="135"/>
      <c r="M182" s="135"/>
      <c r="N182" s="135"/>
      <c r="O182" s="135"/>
      <c r="P182" s="135"/>
      <c r="Q182" s="135"/>
    </row>
    <row r="183" customFormat="false" ht="15.75" hidden="false" customHeight="true" outlineLevel="0" collapsed="false">
      <c r="A183" s="135"/>
      <c r="B183" s="135"/>
      <c r="C183" s="135"/>
      <c r="D183" s="189"/>
      <c r="E183" s="135"/>
      <c r="F183" s="229"/>
      <c r="G183" s="229"/>
      <c r="H183" s="229"/>
      <c r="I183" s="135"/>
      <c r="J183" s="135"/>
      <c r="K183" s="135"/>
      <c r="L183" s="135"/>
      <c r="M183" s="135"/>
      <c r="N183" s="135"/>
      <c r="O183" s="135"/>
      <c r="P183" s="135"/>
      <c r="Q183" s="135"/>
    </row>
    <row r="184" customFormat="false" ht="15.75" hidden="false" customHeight="true" outlineLevel="0" collapsed="false">
      <c r="A184" s="135"/>
      <c r="B184" s="135"/>
      <c r="C184" s="135"/>
      <c r="D184" s="189"/>
      <c r="E184" s="135"/>
      <c r="F184" s="229"/>
      <c r="G184" s="229"/>
      <c r="H184" s="229"/>
      <c r="I184" s="135"/>
      <c r="J184" s="135"/>
      <c r="K184" s="135"/>
      <c r="L184" s="135"/>
      <c r="M184" s="135"/>
      <c r="N184" s="135"/>
      <c r="O184" s="135"/>
      <c r="P184" s="135"/>
      <c r="Q184" s="135"/>
    </row>
    <row r="185" customFormat="false" ht="15.75" hidden="false" customHeight="true" outlineLevel="0" collapsed="false">
      <c r="A185" s="135"/>
      <c r="B185" s="135"/>
      <c r="C185" s="135"/>
      <c r="D185" s="189"/>
      <c r="E185" s="135"/>
      <c r="F185" s="229"/>
      <c r="G185" s="229"/>
      <c r="H185" s="229"/>
      <c r="I185" s="135"/>
      <c r="J185" s="135"/>
      <c r="K185" s="135"/>
      <c r="L185" s="135"/>
      <c r="M185" s="135"/>
      <c r="N185" s="135"/>
      <c r="O185" s="135"/>
      <c r="P185" s="135"/>
      <c r="Q185" s="135"/>
    </row>
    <row r="186" customFormat="false" ht="15.75" hidden="false" customHeight="true" outlineLevel="0" collapsed="false">
      <c r="A186" s="135"/>
      <c r="B186" s="135"/>
      <c r="C186" s="135"/>
      <c r="D186" s="189"/>
      <c r="E186" s="135"/>
      <c r="F186" s="229"/>
      <c r="G186" s="229"/>
      <c r="H186" s="229"/>
      <c r="I186" s="135"/>
      <c r="J186" s="135"/>
      <c r="K186" s="135"/>
      <c r="L186" s="135"/>
      <c r="M186" s="135"/>
      <c r="N186" s="135"/>
      <c r="O186" s="135"/>
      <c r="P186" s="135"/>
      <c r="Q186" s="135"/>
    </row>
    <row r="187" customFormat="false" ht="15.75" hidden="false" customHeight="true" outlineLevel="0" collapsed="false">
      <c r="A187" s="135"/>
      <c r="B187" s="135"/>
      <c r="C187" s="135"/>
      <c r="D187" s="189"/>
      <c r="E187" s="135"/>
      <c r="F187" s="229"/>
      <c r="G187" s="229"/>
      <c r="H187" s="229"/>
      <c r="I187" s="135"/>
      <c r="J187" s="135"/>
      <c r="K187" s="135"/>
      <c r="L187" s="135"/>
      <c r="M187" s="135"/>
      <c r="N187" s="135"/>
      <c r="O187" s="135"/>
      <c r="P187" s="135"/>
      <c r="Q187" s="135"/>
    </row>
    <row r="188" customFormat="false" ht="15.75" hidden="false" customHeight="true" outlineLevel="0" collapsed="false">
      <c r="A188" s="135"/>
      <c r="B188" s="135"/>
      <c r="C188" s="135"/>
      <c r="D188" s="189"/>
      <c r="E188" s="135"/>
      <c r="F188" s="229"/>
      <c r="G188" s="229"/>
      <c r="H188" s="229"/>
      <c r="I188" s="135"/>
      <c r="J188" s="135"/>
      <c r="K188" s="135"/>
      <c r="L188" s="135"/>
      <c r="M188" s="135"/>
      <c r="N188" s="135"/>
      <c r="O188" s="135"/>
      <c r="P188" s="135"/>
      <c r="Q188" s="135"/>
    </row>
    <row r="189" customFormat="false" ht="15.75" hidden="false" customHeight="true" outlineLevel="0" collapsed="false">
      <c r="A189" s="135"/>
      <c r="B189" s="135"/>
      <c r="C189" s="135"/>
      <c r="D189" s="189"/>
      <c r="E189" s="135"/>
      <c r="F189" s="229"/>
      <c r="G189" s="229"/>
      <c r="H189" s="229"/>
      <c r="I189" s="135"/>
      <c r="J189" s="135"/>
      <c r="K189" s="135"/>
      <c r="L189" s="135"/>
      <c r="M189" s="135"/>
      <c r="N189" s="135"/>
      <c r="O189" s="135"/>
      <c r="P189" s="135"/>
      <c r="Q189" s="135"/>
    </row>
    <row r="190" customFormat="false" ht="15.75" hidden="false" customHeight="true" outlineLevel="0" collapsed="false">
      <c r="A190" s="135"/>
      <c r="B190" s="135"/>
      <c r="C190" s="135"/>
      <c r="D190" s="189"/>
      <c r="E190" s="135"/>
      <c r="F190" s="229"/>
      <c r="G190" s="229"/>
      <c r="H190" s="229"/>
      <c r="I190" s="135"/>
      <c r="J190" s="135"/>
      <c r="K190" s="135"/>
      <c r="L190" s="135"/>
      <c r="M190" s="135"/>
      <c r="N190" s="135"/>
      <c r="O190" s="135"/>
      <c r="P190" s="135"/>
      <c r="Q190" s="135"/>
    </row>
    <row r="191" customFormat="false" ht="15.75" hidden="false" customHeight="true" outlineLevel="0" collapsed="false">
      <c r="A191" s="135"/>
      <c r="B191" s="135"/>
      <c r="C191" s="135"/>
      <c r="D191" s="189"/>
      <c r="E191" s="135"/>
      <c r="F191" s="229"/>
      <c r="G191" s="229"/>
      <c r="H191" s="229"/>
      <c r="I191" s="135"/>
      <c r="J191" s="135"/>
      <c r="K191" s="135"/>
      <c r="L191" s="135"/>
      <c r="M191" s="135"/>
      <c r="N191" s="135"/>
      <c r="O191" s="135"/>
      <c r="P191" s="135"/>
      <c r="Q191" s="135"/>
    </row>
    <row r="192" customFormat="false" ht="15.75" hidden="false" customHeight="true" outlineLevel="0" collapsed="false">
      <c r="A192" s="135"/>
      <c r="B192" s="135"/>
      <c r="C192" s="135"/>
      <c r="D192" s="189"/>
      <c r="E192" s="135"/>
      <c r="F192" s="229"/>
      <c r="G192" s="229"/>
      <c r="H192" s="229"/>
      <c r="I192" s="135"/>
      <c r="J192" s="135"/>
      <c r="K192" s="135"/>
      <c r="L192" s="135"/>
      <c r="M192" s="135"/>
      <c r="N192" s="135"/>
      <c r="O192" s="135"/>
      <c r="P192" s="135"/>
      <c r="Q192" s="135"/>
    </row>
    <row r="193" customFormat="false" ht="15.75" hidden="false" customHeight="true" outlineLevel="0" collapsed="false">
      <c r="A193" s="135"/>
      <c r="B193" s="135"/>
      <c r="C193" s="135"/>
      <c r="D193" s="189"/>
      <c r="E193" s="135"/>
      <c r="F193" s="229"/>
      <c r="G193" s="229"/>
      <c r="H193" s="229"/>
      <c r="I193" s="135"/>
      <c r="J193" s="135"/>
      <c r="K193" s="135"/>
      <c r="L193" s="135"/>
      <c r="M193" s="135"/>
      <c r="N193" s="135"/>
      <c r="O193" s="135"/>
      <c r="P193" s="135"/>
      <c r="Q193" s="135"/>
    </row>
    <row r="194" customFormat="false" ht="15.75" hidden="false" customHeight="true" outlineLevel="0" collapsed="false">
      <c r="A194" s="135"/>
      <c r="B194" s="135"/>
      <c r="C194" s="135"/>
      <c r="D194" s="189"/>
      <c r="E194" s="135"/>
      <c r="F194" s="229"/>
      <c r="G194" s="229"/>
      <c r="H194" s="229"/>
      <c r="I194" s="135"/>
      <c r="J194" s="135"/>
      <c r="K194" s="135"/>
      <c r="L194" s="135"/>
      <c r="M194" s="135"/>
      <c r="N194" s="135"/>
      <c r="O194" s="135"/>
      <c r="P194" s="135"/>
      <c r="Q194" s="135"/>
    </row>
    <row r="195" customFormat="false" ht="15.75" hidden="false" customHeight="true" outlineLevel="0" collapsed="false">
      <c r="A195" s="135"/>
      <c r="B195" s="135"/>
      <c r="C195" s="135"/>
      <c r="D195" s="189"/>
      <c r="E195" s="135"/>
      <c r="F195" s="229"/>
      <c r="G195" s="229"/>
      <c r="H195" s="229"/>
      <c r="I195" s="135"/>
      <c r="J195" s="135"/>
      <c r="K195" s="135"/>
      <c r="L195" s="135"/>
      <c r="M195" s="135"/>
      <c r="N195" s="135"/>
      <c r="O195" s="135"/>
      <c r="P195" s="135"/>
      <c r="Q195" s="135"/>
    </row>
    <row r="196" customFormat="false" ht="15.75" hidden="false" customHeight="true" outlineLevel="0" collapsed="false">
      <c r="A196" s="135"/>
      <c r="B196" s="135"/>
      <c r="C196" s="135"/>
      <c r="D196" s="189"/>
      <c r="E196" s="135"/>
      <c r="F196" s="229"/>
      <c r="G196" s="229"/>
      <c r="H196" s="229"/>
      <c r="I196" s="135"/>
      <c r="J196" s="135"/>
      <c r="K196" s="135"/>
      <c r="L196" s="135"/>
      <c r="M196" s="135"/>
      <c r="N196" s="135"/>
      <c r="O196" s="135"/>
      <c r="P196" s="135"/>
      <c r="Q196" s="135"/>
    </row>
    <row r="197" customFormat="false" ht="15.75" hidden="false" customHeight="true" outlineLevel="0" collapsed="false">
      <c r="A197" s="135"/>
      <c r="B197" s="135"/>
      <c r="C197" s="135"/>
      <c r="D197" s="189"/>
      <c r="E197" s="135"/>
      <c r="F197" s="229"/>
      <c r="G197" s="229"/>
      <c r="H197" s="229"/>
      <c r="I197" s="135"/>
      <c r="J197" s="135"/>
      <c r="K197" s="135"/>
      <c r="L197" s="135"/>
      <c r="M197" s="135"/>
      <c r="N197" s="135"/>
      <c r="O197" s="135"/>
      <c r="P197" s="135"/>
      <c r="Q197" s="135"/>
    </row>
    <row r="198" customFormat="false" ht="15.75" hidden="false" customHeight="true" outlineLevel="0" collapsed="false">
      <c r="A198" s="135"/>
      <c r="B198" s="135"/>
      <c r="C198" s="135"/>
      <c r="D198" s="189"/>
      <c r="E198" s="135"/>
      <c r="F198" s="229"/>
      <c r="G198" s="229"/>
      <c r="H198" s="229"/>
      <c r="I198" s="135"/>
      <c r="J198" s="135"/>
      <c r="K198" s="135"/>
      <c r="L198" s="135"/>
      <c r="M198" s="135"/>
      <c r="N198" s="135"/>
      <c r="O198" s="135"/>
      <c r="P198" s="135"/>
      <c r="Q198" s="135"/>
    </row>
    <row r="199" customFormat="false" ht="15.75" hidden="false" customHeight="true" outlineLevel="0" collapsed="false">
      <c r="A199" s="135"/>
      <c r="B199" s="135"/>
      <c r="C199" s="135"/>
      <c r="D199" s="189"/>
      <c r="E199" s="135"/>
      <c r="F199" s="229"/>
      <c r="G199" s="229"/>
      <c r="H199" s="229"/>
      <c r="I199" s="135"/>
      <c r="J199" s="135"/>
      <c r="K199" s="135"/>
      <c r="L199" s="135"/>
      <c r="M199" s="135"/>
      <c r="N199" s="135"/>
      <c r="O199" s="135"/>
      <c r="P199" s="135"/>
      <c r="Q199" s="135"/>
    </row>
    <row r="200" customFormat="false" ht="15.75" hidden="false" customHeight="true" outlineLevel="0" collapsed="false">
      <c r="A200" s="135"/>
      <c r="B200" s="135"/>
      <c r="C200" s="135"/>
      <c r="D200" s="189"/>
      <c r="E200" s="135"/>
      <c r="F200" s="229"/>
      <c r="G200" s="229"/>
      <c r="H200" s="229"/>
      <c r="I200" s="135"/>
      <c r="J200" s="135"/>
      <c r="K200" s="135"/>
      <c r="L200" s="135"/>
      <c r="M200" s="135"/>
      <c r="N200" s="135"/>
      <c r="O200" s="135"/>
      <c r="P200" s="135"/>
      <c r="Q200" s="135"/>
    </row>
    <row r="201" customFormat="false" ht="15.75" hidden="false" customHeight="true" outlineLevel="0" collapsed="false">
      <c r="A201" s="135"/>
      <c r="B201" s="135"/>
      <c r="C201" s="135"/>
      <c r="D201" s="189"/>
      <c r="E201" s="135"/>
      <c r="F201" s="229"/>
      <c r="G201" s="229"/>
      <c r="H201" s="229"/>
      <c r="I201" s="135"/>
      <c r="J201" s="135"/>
      <c r="K201" s="135"/>
      <c r="L201" s="135"/>
      <c r="M201" s="135"/>
      <c r="N201" s="135"/>
      <c r="O201" s="135"/>
      <c r="P201" s="135"/>
      <c r="Q201" s="135"/>
    </row>
    <row r="202" customFormat="false" ht="15.75" hidden="false" customHeight="true" outlineLevel="0" collapsed="false">
      <c r="A202" s="135"/>
      <c r="B202" s="135"/>
      <c r="C202" s="135"/>
      <c r="D202" s="189"/>
      <c r="E202" s="135"/>
      <c r="F202" s="229"/>
      <c r="G202" s="229"/>
      <c r="H202" s="229"/>
      <c r="I202" s="135"/>
      <c r="J202" s="135"/>
      <c r="K202" s="135"/>
      <c r="L202" s="135"/>
      <c r="M202" s="135"/>
      <c r="N202" s="135"/>
      <c r="O202" s="135"/>
      <c r="P202" s="135"/>
      <c r="Q202" s="135"/>
    </row>
    <row r="203" customFormat="false" ht="15.75" hidden="false" customHeight="true" outlineLevel="0" collapsed="false">
      <c r="A203" s="135"/>
      <c r="B203" s="135"/>
      <c r="C203" s="135"/>
      <c r="D203" s="189"/>
      <c r="E203" s="135"/>
      <c r="F203" s="229"/>
      <c r="G203" s="229"/>
      <c r="H203" s="229"/>
      <c r="I203" s="135"/>
      <c r="J203" s="135"/>
      <c r="K203" s="135"/>
      <c r="L203" s="135"/>
      <c r="M203" s="135"/>
      <c r="N203" s="135"/>
      <c r="O203" s="135"/>
      <c r="P203" s="135"/>
      <c r="Q203" s="135"/>
    </row>
    <row r="204" customFormat="false" ht="15.75" hidden="false" customHeight="true" outlineLevel="0" collapsed="false">
      <c r="A204" s="135"/>
      <c r="B204" s="135"/>
      <c r="C204" s="135"/>
      <c r="D204" s="189"/>
      <c r="E204" s="135"/>
      <c r="F204" s="229"/>
      <c r="G204" s="229"/>
      <c r="H204" s="229"/>
      <c r="I204" s="135"/>
      <c r="J204" s="135"/>
      <c r="K204" s="135"/>
      <c r="L204" s="135"/>
      <c r="M204" s="135"/>
      <c r="N204" s="135"/>
      <c r="O204" s="135"/>
      <c r="P204" s="135"/>
      <c r="Q204" s="135"/>
    </row>
    <row r="205" customFormat="false" ht="15.75" hidden="false" customHeight="true" outlineLevel="0" collapsed="false">
      <c r="A205" s="135"/>
      <c r="B205" s="135"/>
      <c r="C205" s="135"/>
      <c r="D205" s="189"/>
      <c r="E205" s="135"/>
      <c r="F205" s="229"/>
      <c r="G205" s="229"/>
      <c r="H205" s="229"/>
      <c r="I205" s="135"/>
      <c r="J205" s="135"/>
      <c r="K205" s="135"/>
      <c r="L205" s="135"/>
      <c r="M205" s="135"/>
      <c r="N205" s="135"/>
      <c r="O205" s="135"/>
      <c r="P205" s="135"/>
      <c r="Q205" s="135"/>
    </row>
    <row r="206" customFormat="false" ht="15.75" hidden="false" customHeight="true" outlineLevel="0" collapsed="false">
      <c r="A206" s="135"/>
      <c r="B206" s="135"/>
      <c r="C206" s="135"/>
      <c r="D206" s="189"/>
      <c r="E206" s="135"/>
      <c r="F206" s="229"/>
      <c r="G206" s="229"/>
      <c r="H206" s="229"/>
      <c r="I206" s="135"/>
      <c r="J206" s="135"/>
      <c r="K206" s="135"/>
      <c r="L206" s="135"/>
      <c r="M206" s="135"/>
      <c r="N206" s="135"/>
      <c r="O206" s="135"/>
      <c r="P206" s="135"/>
      <c r="Q206" s="135"/>
    </row>
    <row r="207" customFormat="false" ht="15.75" hidden="false" customHeight="true" outlineLevel="0" collapsed="false">
      <c r="A207" s="135"/>
      <c r="B207" s="135"/>
      <c r="C207" s="135"/>
      <c r="D207" s="189"/>
      <c r="E207" s="135"/>
      <c r="F207" s="229"/>
      <c r="G207" s="229"/>
      <c r="H207" s="229"/>
      <c r="I207" s="135"/>
      <c r="J207" s="135"/>
      <c r="K207" s="135"/>
      <c r="L207" s="135"/>
      <c r="M207" s="135"/>
      <c r="N207" s="135"/>
      <c r="O207" s="135"/>
      <c r="P207" s="135"/>
      <c r="Q207" s="135"/>
    </row>
    <row r="208" customFormat="false" ht="15.75" hidden="false" customHeight="true" outlineLevel="0" collapsed="false">
      <c r="A208" s="135"/>
      <c r="B208" s="135"/>
      <c r="C208" s="135"/>
      <c r="D208" s="189"/>
      <c r="E208" s="135"/>
      <c r="F208" s="229"/>
      <c r="G208" s="229"/>
      <c r="H208" s="229"/>
      <c r="I208" s="135"/>
      <c r="J208" s="135"/>
      <c r="K208" s="135"/>
      <c r="L208" s="135"/>
      <c r="M208" s="135"/>
      <c r="N208" s="135"/>
      <c r="O208" s="135"/>
      <c r="P208" s="135"/>
      <c r="Q208" s="135"/>
    </row>
    <row r="209" customFormat="false" ht="15.75" hidden="false" customHeight="true" outlineLevel="0" collapsed="false">
      <c r="A209" s="135"/>
      <c r="B209" s="135"/>
      <c r="C209" s="135"/>
      <c r="D209" s="189"/>
      <c r="E209" s="135"/>
      <c r="F209" s="229"/>
      <c r="G209" s="229"/>
      <c r="H209" s="229"/>
      <c r="I209" s="135"/>
      <c r="J209" s="135"/>
      <c r="K209" s="135"/>
      <c r="L209" s="135"/>
      <c r="M209" s="135"/>
      <c r="N209" s="135"/>
      <c r="O209" s="135"/>
      <c r="P209" s="135"/>
      <c r="Q209" s="135"/>
    </row>
    <row r="210" customFormat="false" ht="15.75" hidden="false" customHeight="true" outlineLevel="0" collapsed="false">
      <c r="A210" s="135"/>
      <c r="B210" s="135"/>
      <c r="C210" s="135"/>
      <c r="D210" s="189"/>
      <c r="E210" s="135"/>
      <c r="F210" s="229"/>
      <c r="G210" s="229"/>
      <c r="H210" s="229"/>
      <c r="I210" s="135"/>
      <c r="J210" s="135"/>
      <c r="K210" s="135"/>
      <c r="L210" s="135"/>
      <c r="M210" s="135"/>
      <c r="N210" s="135"/>
      <c r="O210" s="135"/>
      <c r="P210" s="135"/>
      <c r="Q210" s="135"/>
    </row>
    <row r="211" customFormat="false" ht="15.75" hidden="false" customHeight="true" outlineLevel="0" collapsed="false">
      <c r="A211" s="135"/>
      <c r="B211" s="135"/>
      <c r="C211" s="135"/>
      <c r="D211" s="189"/>
      <c r="E211" s="135"/>
      <c r="F211" s="229"/>
      <c r="G211" s="229"/>
      <c r="H211" s="229"/>
      <c r="I211" s="135"/>
      <c r="J211" s="135"/>
      <c r="K211" s="135"/>
      <c r="L211" s="135"/>
      <c r="M211" s="135"/>
      <c r="N211" s="135"/>
      <c r="O211" s="135"/>
      <c r="P211" s="135"/>
      <c r="Q211" s="135"/>
    </row>
    <row r="212" customFormat="false" ht="15.75" hidden="false" customHeight="true" outlineLevel="0" collapsed="false">
      <c r="A212" s="135"/>
      <c r="B212" s="135"/>
      <c r="C212" s="135"/>
      <c r="D212" s="189"/>
      <c r="E212" s="135"/>
      <c r="F212" s="229"/>
      <c r="G212" s="229"/>
      <c r="H212" s="229"/>
      <c r="I212" s="135"/>
      <c r="J212" s="135"/>
      <c r="K212" s="135"/>
      <c r="L212" s="135"/>
      <c r="M212" s="135"/>
      <c r="N212" s="135"/>
      <c r="O212" s="135"/>
      <c r="P212" s="135"/>
      <c r="Q212" s="135"/>
    </row>
    <row r="213" customFormat="false" ht="15.75" hidden="false" customHeight="true" outlineLevel="0" collapsed="false">
      <c r="A213" s="135"/>
      <c r="B213" s="135"/>
      <c r="C213" s="135"/>
      <c r="D213" s="189"/>
      <c r="E213" s="135"/>
      <c r="F213" s="229"/>
      <c r="G213" s="229"/>
      <c r="H213" s="229"/>
      <c r="I213" s="135"/>
      <c r="J213" s="135"/>
      <c r="K213" s="135"/>
      <c r="L213" s="135"/>
      <c r="M213" s="135"/>
      <c r="N213" s="135"/>
      <c r="O213" s="135"/>
      <c r="P213" s="135"/>
      <c r="Q213" s="135"/>
    </row>
    <row r="214" customFormat="false" ht="15.75" hidden="false" customHeight="true" outlineLevel="0" collapsed="false">
      <c r="A214" s="135"/>
      <c r="B214" s="135"/>
      <c r="C214" s="135"/>
      <c r="D214" s="189"/>
      <c r="E214" s="135"/>
      <c r="F214" s="229"/>
      <c r="G214" s="229"/>
      <c r="H214" s="229"/>
      <c r="I214" s="135"/>
      <c r="J214" s="135"/>
      <c r="K214" s="135"/>
      <c r="L214" s="135"/>
      <c r="M214" s="135"/>
      <c r="N214" s="135"/>
      <c r="O214" s="135"/>
      <c r="P214" s="135"/>
      <c r="Q214" s="135"/>
    </row>
    <row r="215" customFormat="false" ht="15.75" hidden="false" customHeight="true" outlineLevel="0" collapsed="false">
      <c r="A215" s="135"/>
      <c r="B215" s="135"/>
      <c r="C215" s="135"/>
      <c r="D215" s="189"/>
      <c r="E215" s="135"/>
      <c r="F215" s="229"/>
      <c r="G215" s="229"/>
      <c r="H215" s="229"/>
      <c r="I215" s="135"/>
      <c r="J215" s="135"/>
      <c r="K215" s="135"/>
      <c r="L215" s="135"/>
      <c r="M215" s="135"/>
      <c r="N215" s="135"/>
      <c r="O215" s="135"/>
      <c r="P215" s="135"/>
      <c r="Q215" s="135"/>
    </row>
    <row r="216" customFormat="false" ht="15.75" hidden="false" customHeight="true" outlineLevel="0" collapsed="false">
      <c r="A216" s="135"/>
      <c r="B216" s="135"/>
      <c r="C216" s="135"/>
      <c r="D216" s="189"/>
      <c r="E216" s="135"/>
      <c r="F216" s="229"/>
      <c r="G216" s="229"/>
      <c r="H216" s="229"/>
      <c r="I216" s="135"/>
      <c r="J216" s="135"/>
      <c r="K216" s="135"/>
      <c r="L216" s="135"/>
      <c r="M216" s="135"/>
      <c r="N216" s="135"/>
      <c r="O216" s="135"/>
      <c r="P216" s="135"/>
      <c r="Q216" s="135"/>
    </row>
    <row r="217" customFormat="false" ht="15.75" hidden="false" customHeight="true" outlineLevel="0" collapsed="false">
      <c r="A217" s="135"/>
      <c r="B217" s="135"/>
      <c r="C217" s="135"/>
      <c r="D217" s="189"/>
      <c r="E217" s="135"/>
      <c r="F217" s="229"/>
      <c r="G217" s="229"/>
      <c r="H217" s="229"/>
      <c r="I217" s="135"/>
      <c r="J217" s="135"/>
      <c r="K217" s="135"/>
      <c r="L217" s="135"/>
      <c r="M217" s="135"/>
      <c r="N217" s="135"/>
      <c r="O217" s="135"/>
      <c r="P217" s="135"/>
      <c r="Q217" s="135"/>
    </row>
    <row r="218" customFormat="false" ht="15.75" hidden="false" customHeight="true" outlineLevel="0" collapsed="false">
      <c r="A218" s="135"/>
      <c r="B218" s="135"/>
      <c r="C218" s="135"/>
      <c r="D218" s="189"/>
      <c r="E218" s="135"/>
      <c r="F218" s="229"/>
      <c r="G218" s="229"/>
      <c r="H218" s="229"/>
      <c r="I218" s="135"/>
      <c r="J218" s="135"/>
      <c r="K218" s="135"/>
      <c r="L218" s="135"/>
      <c r="M218" s="135"/>
      <c r="N218" s="135"/>
      <c r="O218" s="135"/>
      <c r="P218" s="135"/>
      <c r="Q218" s="135"/>
    </row>
    <row r="219" customFormat="false" ht="15.75" hidden="false" customHeight="true" outlineLevel="0" collapsed="false">
      <c r="A219" s="135"/>
      <c r="B219" s="135"/>
      <c r="C219" s="135"/>
      <c r="D219" s="189"/>
      <c r="E219" s="135"/>
      <c r="F219" s="229"/>
      <c r="G219" s="229"/>
      <c r="H219" s="229"/>
      <c r="I219" s="135"/>
      <c r="J219" s="135"/>
      <c r="K219" s="135"/>
      <c r="L219" s="135"/>
      <c r="M219" s="135"/>
      <c r="N219" s="135"/>
      <c r="O219" s="135"/>
      <c r="P219" s="135"/>
      <c r="Q219" s="135"/>
    </row>
    <row r="220" customFormat="false" ht="15.75" hidden="false" customHeight="true" outlineLevel="0" collapsed="false">
      <c r="A220" s="135"/>
      <c r="B220" s="135"/>
      <c r="C220" s="135"/>
      <c r="D220" s="189"/>
      <c r="E220" s="135"/>
      <c r="F220" s="229"/>
      <c r="G220" s="229"/>
      <c r="H220" s="229"/>
      <c r="I220" s="135"/>
      <c r="J220" s="135"/>
      <c r="K220" s="135"/>
      <c r="L220" s="135"/>
      <c r="M220" s="135"/>
      <c r="N220" s="135"/>
      <c r="O220" s="135"/>
      <c r="P220" s="135"/>
      <c r="Q220" s="135"/>
    </row>
    <row r="221" customFormat="false" ht="15.75" hidden="false" customHeight="true" outlineLevel="0" collapsed="false">
      <c r="A221" s="135"/>
      <c r="B221" s="135"/>
      <c r="C221" s="135"/>
      <c r="D221" s="189"/>
      <c r="E221" s="135"/>
      <c r="F221" s="229"/>
      <c r="G221" s="229"/>
      <c r="H221" s="229"/>
      <c r="I221" s="135"/>
      <c r="J221" s="135"/>
      <c r="K221" s="135"/>
      <c r="L221" s="135"/>
      <c r="M221" s="135"/>
      <c r="N221" s="135"/>
      <c r="O221" s="135"/>
      <c r="P221" s="135"/>
      <c r="Q221" s="135"/>
    </row>
    <row r="222" customFormat="false" ht="15.75" hidden="false" customHeight="true" outlineLevel="0" collapsed="false">
      <c r="A222" s="135"/>
      <c r="B222" s="135"/>
      <c r="C222" s="135"/>
      <c r="D222" s="189"/>
      <c r="E222" s="135"/>
      <c r="F222" s="229"/>
      <c r="G222" s="229"/>
      <c r="H222" s="229"/>
      <c r="I222" s="135"/>
      <c r="J222" s="135"/>
      <c r="K222" s="135"/>
      <c r="L222" s="135"/>
      <c r="M222" s="135"/>
      <c r="N222" s="135"/>
      <c r="O222" s="135"/>
      <c r="P222" s="135"/>
      <c r="Q222" s="135"/>
    </row>
    <row r="223" customFormat="false" ht="15.75" hidden="false" customHeight="true" outlineLevel="0" collapsed="false">
      <c r="A223" s="135"/>
      <c r="B223" s="135"/>
      <c r="C223" s="135"/>
      <c r="D223" s="189"/>
      <c r="E223" s="135"/>
      <c r="F223" s="229"/>
      <c r="G223" s="229"/>
      <c r="H223" s="229"/>
      <c r="I223" s="135"/>
      <c r="J223" s="135"/>
      <c r="K223" s="135"/>
      <c r="L223" s="135"/>
      <c r="M223" s="135"/>
      <c r="N223" s="135"/>
      <c r="O223" s="135"/>
      <c r="P223" s="135"/>
      <c r="Q223" s="135"/>
    </row>
    <row r="224" customFormat="false" ht="15.75" hidden="false" customHeight="true" outlineLevel="0" collapsed="false">
      <c r="A224" s="135"/>
      <c r="B224" s="135"/>
      <c r="C224" s="135"/>
      <c r="D224" s="189"/>
      <c r="E224" s="135"/>
      <c r="F224" s="229"/>
      <c r="G224" s="229"/>
      <c r="H224" s="229"/>
      <c r="I224" s="135"/>
      <c r="J224" s="135"/>
      <c r="K224" s="135"/>
      <c r="L224" s="135"/>
      <c r="M224" s="135"/>
      <c r="N224" s="135"/>
      <c r="O224" s="135"/>
      <c r="P224" s="135"/>
      <c r="Q224" s="135"/>
    </row>
    <row r="225" customFormat="false" ht="15.75" hidden="false" customHeight="true" outlineLevel="0" collapsed="false">
      <c r="A225" s="135"/>
      <c r="B225" s="135"/>
      <c r="C225" s="135"/>
      <c r="D225" s="189"/>
      <c r="E225" s="135"/>
      <c r="F225" s="229"/>
      <c r="G225" s="229"/>
      <c r="H225" s="229"/>
      <c r="I225" s="135"/>
      <c r="J225" s="135"/>
      <c r="K225" s="135"/>
      <c r="L225" s="135"/>
      <c r="M225" s="135"/>
      <c r="N225" s="135"/>
      <c r="O225" s="135"/>
      <c r="P225" s="135"/>
      <c r="Q225" s="135"/>
    </row>
    <row r="226" customFormat="false" ht="15.75" hidden="false" customHeight="true" outlineLevel="0" collapsed="false">
      <c r="A226" s="135"/>
      <c r="B226" s="135"/>
      <c r="C226" s="135"/>
      <c r="D226" s="189"/>
      <c r="E226" s="135"/>
      <c r="F226" s="229"/>
      <c r="G226" s="229"/>
      <c r="H226" s="229"/>
      <c r="I226" s="135"/>
      <c r="J226" s="135"/>
      <c r="K226" s="135"/>
      <c r="L226" s="135"/>
      <c r="M226" s="135"/>
      <c r="N226" s="135"/>
      <c r="O226" s="135"/>
      <c r="P226" s="135"/>
      <c r="Q226" s="135"/>
    </row>
    <row r="227" customFormat="false" ht="15.75" hidden="false" customHeight="true" outlineLevel="0" collapsed="false">
      <c r="A227" s="135"/>
      <c r="B227" s="135"/>
      <c r="C227" s="135"/>
      <c r="D227" s="189"/>
      <c r="E227" s="135"/>
      <c r="F227" s="229"/>
      <c r="G227" s="229"/>
      <c r="H227" s="229"/>
      <c r="I227" s="135"/>
      <c r="J227" s="135"/>
      <c r="K227" s="135"/>
      <c r="L227" s="135"/>
      <c r="M227" s="135"/>
      <c r="N227" s="135"/>
      <c r="O227" s="135"/>
      <c r="P227" s="135"/>
      <c r="Q227" s="135"/>
    </row>
    <row r="228" customFormat="false" ht="15.75" hidden="false" customHeight="true" outlineLevel="0" collapsed="false">
      <c r="A228" s="135"/>
      <c r="B228" s="135"/>
      <c r="C228" s="135"/>
      <c r="D228" s="189"/>
      <c r="E228" s="135"/>
      <c r="F228" s="229"/>
      <c r="G228" s="229"/>
      <c r="H228" s="229"/>
      <c r="I228" s="135"/>
      <c r="J228" s="135"/>
      <c r="K228" s="135"/>
      <c r="L228" s="135"/>
      <c r="M228" s="135"/>
      <c r="N228" s="135"/>
      <c r="O228" s="135"/>
      <c r="P228" s="135"/>
      <c r="Q228" s="135"/>
    </row>
    <row r="229" customFormat="false" ht="15.75" hidden="false" customHeight="true" outlineLevel="0" collapsed="false">
      <c r="A229" s="135"/>
      <c r="B229" s="135"/>
      <c r="C229" s="135"/>
      <c r="D229" s="189"/>
      <c r="E229" s="135"/>
      <c r="F229" s="229"/>
      <c r="G229" s="229"/>
      <c r="H229" s="229"/>
      <c r="I229" s="135"/>
      <c r="J229" s="135"/>
      <c r="K229" s="135"/>
      <c r="L229" s="135"/>
      <c r="M229" s="135"/>
      <c r="N229" s="135"/>
      <c r="O229" s="135"/>
      <c r="P229" s="135"/>
      <c r="Q229" s="135"/>
    </row>
    <row r="230" customFormat="false" ht="15.75" hidden="false" customHeight="true" outlineLevel="0" collapsed="false">
      <c r="A230" s="135"/>
      <c r="B230" s="135"/>
      <c r="C230" s="135"/>
      <c r="D230" s="189"/>
      <c r="E230" s="135"/>
      <c r="F230" s="229"/>
      <c r="G230" s="229"/>
      <c r="H230" s="229"/>
      <c r="I230" s="135"/>
      <c r="J230" s="135"/>
      <c r="K230" s="135"/>
      <c r="L230" s="135"/>
      <c r="M230" s="135"/>
      <c r="N230" s="135"/>
      <c r="O230" s="135"/>
      <c r="P230" s="135"/>
      <c r="Q230" s="135"/>
    </row>
    <row r="231" customFormat="false" ht="15.75" hidden="false" customHeight="true" outlineLevel="0" collapsed="false">
      <c r="A231" s="135"/>
      <c r="B231" s="135"/>
      <c r="C231" s="135"/>
      <c r="D231" s="189"/>
      <c r="E231" s="135"/>
      <c r="F231" s="229"/>
      <c r="G231" s="229"/>
      <c r="H231" s="229"/>
      <c r="I231" s="135"/>
      <c r="J231" s="135"/>
      <c r="K231" s="135"/>
      <c r="L231" s="135"/>
      <c r="M231" s="135"/>
      <c r="N231" s="135"/>
      <c r="O231" s="135"/>
      <c r="P231" s="135"/>
      <c r="Q231" s="135"/>
    </row>
    <row r="232" customFormat="false" ht="15.75" hidden="false" customHeight="true" outlineLevel="0" collapsed="false">
      <c r="A232" s="135"/>
      <c r="B232" s="135"/>
      <c r="C232" s="135"/>
      <c r="D232" s="189"/>
      <c r="E232" s="135"/>
      <c r="F232" s="229"/>
      <c r="G232" s="229"/>
      <c r="H232" s="229"/>
      <c r="I232" s="135"/>
      <c r="J232" s="135"/>
      <c r="K232" s="135"/>
      <c r="L232" s="135"/>
      <c r="M232" s="135"/>
      <c r="N232" s="135"/>
      <c r="O232" s="135"/>
      <c r="P232" s="135"/>
      <c r="Q232" s="135"/>
    </row>
    <row r="233" customFormat="false" ht="15.75" hidden="false" customHeight="true" outlineLevel="0" collapsed="false">
      <c r="A233" s="135"/>
      <c r="B233" s="135"/>
      <c r="C233" s="135"/>
      <c r="D233" s="189"/>
      <c r="E233" s="135"/>
      <c r="F233" s="229"/>
      <c r="G233" s="229"/>
      <c r="H233" s="229"/>
      <c r="I233" s="135"/>
      <c r="J233" s="135"/>
      <c r="K233" s="135"/>
      <c r="L233" s="135"/>
      <c r="M233" s="135"/>
      <c r="N233" s="135"/>
      <c r="O233" s="135"/>
      <c r="P233" s="135"/>
      <c r="Q233" s="135"/>
    </row>
    <row r="234" customFormat="false" ht="15.75" hidden="false" customHeight="true" outlineLevel="0" collapsed="false">
      <c r="A234" s="135"/>
      <c r="B234" s="135"/>
      <c r="C234" s="135"/>
      <c r="D234" s="189"/>
      <c r="E234" s="135"/>
      <c r="F234" s="229"/>
      <c r="G234" s="229"/>
      <c r="H234" s="229"/>
      <c r="I234" s="135"/>
      <c r="J234" s="135"/>
      <c r="K234" s="135"/>
      <c r="L234" s="135"/>
      <c r="M234" s="135"/>
      <c r="N234" s="135"/>
      <c r="O234" s="135"/>
      <c r="P234" s="135"/>
      <c r="Q234" s="135"/>
    </row>
    <row r="235" customFormat="false" ht="15.75" hidden="false" customHeight="true" outlineLevel="0" collapsed="false">
      <c r="A235" s="135"/>
      <c r="B235" s="135"/>
      <c r="C235" s="135"/>
      <c r="D235" s="189"/>
      <c r="E235" s="135"/>
      <c r="F235" s="229"/>
      <c r="G235" s="229"/>
      <c r="H235" s="229"/>
      <c r="I235" s="135"/>
      <c r="J235" s="135"/>
      <c r="K235" s="135"/>
      <c r="L235" s="135"/>
      <c r="M235" s="135"/>
      <c r="N235" s="135"/>
      <c r="O235" s="135"/>
      <c r="P235" s="135"/>
      <c r="Q235" s="135"/>
    </row>
    <row r="236" customFormat="false" ht="15.75" hidden="false" customHeight="true" outlineLevel="0" collapsed="false">
      <c r="A236" s="135"/>
      <c r="B236" s="135"/>
      <c r="C236" s="135"/>
      <c r="D236" s="189"/>
      <c r="E236" s="135"/>
      <c r="F236" s="229"/>
      <c r="G236" s="229"/>
      <c r="H236" s="229"/>
      <c r="I236" s="135"/>
      <c r="J236" s="135"/>
      <c r="K236" s="135"/>
      <c r="L236" s="135"/>
      <c r="M236" s="135"/>
      <c r="N236" s="135"/>
      <c r="O236" s="135"/>
      <c r="P236" s="135"/>
      <c r="Q236" s="135"/>
    </row>
    <row r="237" customFormat="false" ht="15.75" hidden="false" customHeight="true" outlineLevel="0" collapsed="false">
      <c r="A237" s="135"/>
      <c r="B237" s="135"/>
      <c r="C237" s="135"/>
      <c r="D237" s="189"/>
      <c r="E237" s="135"/>
      <c r="F237" s="229"/>
      <c r="G237" s="229"/>
      <c r="H237" s="229"/>
      <c r="I237" s="135"/>
      <c r="J237" s="135"/>
      <c r="K237" s="135"/>
      <c r="L237" s="135"/>
      <c r="M237" s="135"/>
      <c r="N237" s="135"/>
      <c r="O237" s="135"/>
      <c r="P237" s="135"/>
      <c r="Q237" s="135"/>
    </row>
    <row r="238" customFormat="false" ht="15.75" hidden="false" customHeight="true" outlineLevel="0" collapsed="false">
      <c r="A238" s="135"/>
      <c r="B238" s="135"/>
      <c r="C238" s="135"/>
      <c r="D238" s="189"/>
      <c r="E238" s="135"/>
      <c r="F238" s="229"/>
      <c r="G238" s="229"/>
      <c r="H238" s="229"/>
      <c r="I238" s="135"/>
      <c r="J238" s="135"/>
      <c r="K238" s="135"/>
      <c r="L238" s="135"/>
      <c r="M238" s="135"/>
      <c r="N238" s="135"/>
      <c r="O238" s="135"/>
      <c r="P238" s="135"/>
      <c r="Q238" s="135"/>
    </row>
    <row r="239" customFormat="false" ht="15.75" hidden="false" customHeight="true" outlineLevel="0" collapsed="false">
      <c r="A239" s="135"/>
      <c r="B239" s="135"/>
      <c r="C239" s="135"/>
      <c r="D239" s="189"/>
      <c r="E239" s="135"/>
      <c r="F239" s="229"/>
      <c r="G239" s="229"/>
      <c r="H239" s="229"/>
      <c r="I239" s="135"/>
      <c r="J239" s="135"/>
      <c r="K239" s="135"/>
      <c r="L239" s="135"/>
      <c r="M239" s="135"/>
      <c r="N239" s="135"/>
      <c r="O239" s="135"/>
      <c r="P239" s="135"/>
      <c r="Q239" s="135"/>
    </row>
    <row r="240" customFormat="false" ht="15.75" hidden="false" customHeight="true" outlineLevel="0" collapsed="false">
      <c r="A240" s="135"/>
      <c r="B240" s="135"/>
      <c r="C240" s="135"/>
      <c r="D240" s="189"/>
      <c r="E240" s="135"/>
      <c r="F240" s="229"/>
      <c r="G240" s="229"/>
      <c r="H240" s="229"/>
      <c r="I240" s="135"/>
      <c r="J240" s="135"/>
      <c r="K240" s="135"/>
      <c r="L240" s="135"/>
      <c r="M240" s="135"/>
      <c r="N240" s="135"/>
      <c r="O240" s="135"/>
      <c r="P240" s="135"/>
      <c r="Q240" s="135"/>
    </row>
    <row r="241" customFormat="false" ht="15.75" hidden="false" customHeight="true" outlineLevel="0" collapsed="false">
      <c r="A241" s="135"/>
      <c r="B241" s="135"/>
      <c r="C241" s="135"/>
      <c r="D241" s="189"/>
      <c r="E241" s="135"/>
      <c r="F241" s="229"/>
      <c r="G241" s="229"/>
      <c r="H241" s="229"/>
      <c r="I241" s="135"/>
      <c r="J241" s="135"/>
      <c r="K241" s="135"/>
      <c r="L241" s="135"/>
      <c r="M241" s="135"/>
      <c r="N241" s="135"/>
      <c r="O241" s="135"/>
      <c r="P241" s="135"/>
      <c r="Q241" s="135"/>
    </row>
    <row r="242" customFormat="false" ht="15.75" hidden="false" customHeight="true" outlineLevel="0" collapsed="false">
      <c r="A242" s="135"/>
      <c r="B242" s="135"/>
      <c r="C242" s="135"/>
      <c r="D242" s="189"/>
      <c r="E242" s="135"/>
      <c r="F242" s="229"/>
      <c r="G242" s="229"/>
      <c r="H242" s="229"/>
      <c r="I242" s="135"/>
      <c r="J242" s="135"/>
      <c r="K242" s="135"/>
      <c r="L242" s="135"/>
      <c r="M242" s="135"/>
      <c r="N242" s="135"/>
      <c r="O242" s="135"/>
      <c r="P242" s="135"/>
      <c r="Q242" s="135"/>
    </row>
    <row r="243" customFormat="false" ht="15.75" hidden="false" customHeight="true" outlineLevel="0" collapsed="false">
      <c r="A243" s="135"/>
      <c r="B243" s="135"/>
      <c r="C243" s="135"/>
      <c r="D243" s="189"/>
      <c r="E243" s="135"/>
      <c r="F243" s="229"/>
      <c r="G243" s="229"/>
      <c r="H243" s="229"/>
      <c r="I243" s="135"/>
      <c r="J243" s="135"/>
      <c r="K243" s="135"/>
      <c r="L243" s="135"/>
      <c r="M243" s="135"/>
      <c r="N243" s="135"/>
      <c r="O243" s="135"/>
      <c r="P243" s="135"/>
      <c r="Q243" s="135"/>
    </row>
    <row r="244" customFormat="false" ht="15.75" hidden="false" customHeight="true" outlineLevel="0" collapsed="false">
      <c r="A244" s="135"/>
      <c r="B244" s="135"/>
      <c r="C244" s="135"/>
      <c r="D244" s="189"/>
      <c r="E244" s="135"/>
      <c r="F244" s="229"/>
      <c r="G244" s="229"/>
      <c r="H244" s="229"/>
      <c r="I244" s="135"/>
      <c r="J244" s="135"/>
      <c r="K244" s="135"/>
      <c r="L244" s="135"/>
      <c r="M244" s="135"/>
      <c r="N244" s="135"/>
      <c r="O244" s="135"/>
      <c r="P244" s="135"/>
      <c r="Q244" s="135"/>
    </row>
    <row r="245" customFormat="false" ht="15.75" hidden="false" customHeight="true" outlineLevel="0" collapsed="false">
      <c r="A245" s="135"/>
      <c r="B245" s="135"/>
      <c r="C245" s="135"/>
      <c r="D245" s="189"/>
      <c r="E245" s="135"/>
      <c r="F245" s="229"/>
      <c r="G245" s="229"/>
      <c r="H245" s="229"/>
      <c r="I245" s="135"/>
      <c r="J245" s="135"/>
      <c r="K245" s="135"/>
      <c r="L245" s="135"/>
      <c r="M245" s="135"/>
      <c r="N245" s="135"/>
      <c r="O245" s="135"/>
      <c r="P245" s="135"/>
      <c r="Q245" s="135"/>
    </row>
    <row r="246" customFormat="false" ht="15.75" hidden="false" customHeight="true" outlineLevel="0" collapsed="false">
      <c r="A246" s="135"/>
      <c r="B246" s="135"/>
      <c r="C246" s="135"/>
      <c r="D246" s="189"/>
      <c r="E246" s="135"/>
      <c r="F246" s="229"/>
      <c r="G246" s="229"/>
      <c r="H246" s="229"/>
      <c r="I246" s="135"/>
      <c r="J246" s="135"/>
      <c r="K246" s="135"/>
      <c r="L246" s="135"/>
      <c r="M246" s="135"/>
      <c r="N246" s="135"/>
      <c r="O246" s="135"/>
      <c r="P246" s="135"/>
      <c r="Q246" s="135"/>
    </row>
    <row r="247" customFormat="false" ht="15.75" hidden="false" customHeight="true" outlineLevel="0" collapsed="false">
      <c r="A247" s="135"/>
      <c r="B247" s="135"/>
      <c r="C247" s="135"/>
      <c r="D247" s="189"/>
      <c r="E247" s="135"/>
      <c r="F247" s="229"/>
      <c r="G247" s="229"/>
      <c r="H247" s="229"/>
      <c r="I247" s="135"/>
      <c r="J247" s="135"/>
      <c r="K247" s="135"/>
      <c r="L247" s="135"/>
      <c r="M247" s="135"/>
      <c r="N247" s="135"/>
      <c r="O247" s="135"/>
      <c r="P247" s="135"/>
      <c r="Q247" s="135"/>
    </row>
    <row r="248" customFormat="false" ht="15.75" hidden="false" customHeight="true" outlineLevel="0" collapsed="false">
      <c r="A248" s="135"/>
      <c r="B248" s="135"/>
      <c r="C248" s="135"/>
      <c r="D248" s="189"/>
      <c r="E248" s="135"/>
      <c r="F248" s="229"/>
      <c r="G248" s="229"/>
      <c r="H248" s="229"/>
      <c r="I248" s="135"/>
      <c r="J248" s="135"/>
      <c r="K248" s="135"/>
      <c r="L248" s="135"/>
      <c r="M248" s="135"/>
      <c r="N248" s="135"/>
      <c r="O248" s="135"/>
      <c r="P248" s="135"/>
      <c r="Q248" s="135"/>
    </row>
    <row r="249" customFormat="false" ht="15.75" hidden="false" customHeight="true" outlineLevel="0" collapsed="false">
      <c r="A249" s="135"/>
      <c r="B249" s="135"/>
      <c r="C249" s="135"/>
      <c r="D249" s="189"/>
      <c r="E249" s="135"/>
      <c r="F249" s="229"/>
      <c r="G249" s="229"/>
      <c r="H249" s="229"/>
      <c r="I249" s="135"/>
      <c r="J249" s="135"/>
      <c r="K249" s="135"/>
      <c r="L249" s="135"/>
      <c r="M249" s="135"/>
      <c r="N249" s="135"/>
      <c r="O249" s="135"/>
      <c r="P249" s="135"/>
      <c r="Q249" s="135"/>
    </row>
    <row r="250" customFormat="false" ht="15.75" hidden="false" customHeight="true" outlineLevel="0" collapsed="false">
      <c r="A250" s="135"/>
      <c r="B250" s="135"/>
      <c r="C250" s="135"/>
      <c r="D250" s="189"/>
      <c r="E250" s="135"/>
      <c r="F250" s="229"/>
      <c r="G250" s="229"/>
      <c r="H250" s="229"/>
      <c r="I250" s="135"/>
      <c r="J250" s="135"/>
      <c r="K250" s="135"/>
      <c r="L250" s="135"/>
      <c r="M250" s="135"/>
      <c r="N250" s="135"/>
      <c r="O250" s="135"/>
      <c r="P250" s="135"/>
      <c r="Q250" s="135"/>
    </row>
    <row r="251" customFormat="false" ht="15.75" hidden="false" customHeight="true" outlineLevel="0" collapsed="false">
      <c r="A251" s="135"/>
      <c r="B251" s="135"/>
      <c r="C251" s="135"/>
      <c r="D251" s="189"/>
      <c r="E251" s="135"/>
      <c r="F251" s="229"/>
      <c r="G251" s="229"/>
      <c r="H251" s="229"/>
      <c r="I251" s="135"/>
      <c r="J251" s="135"/>
      <c r="K251" s="135"/>
      <c r="L251" s="135"/>
      <c r="M251" s="135"/>
      <c r="N251" s="135"/>
      <c r="O251" s="135"/>
      <c r="P251" s="135"/>
      <c r="Q251" s="135"/>
    </row>
    <row r="252" customFormat="false" ht="15.75" hidden="false" customHeight="true" outlineLevel="0" collapsed="false">
      <c r="A252" s="135"/>
      <c r="B252" s="135"/>
      <c r="C252" s="135"/>
      <c r="D252" s="189"/>
      <c r="E252" s="135"/>
      <c r="F252" s="229"/>
      <c r="G252" s="229"/>
      <c r="H252" s="229"/>
      <c r="I252" s="135"/>
      <c r="J252" s="135"/>
      <c r="K252" s="135"/>
      <c r="L252" s="135"/>
      <c r="M252" s="135"/>
      <c r="N252" s="135"/>
      <c r="O252" s="135"/>
      <c r="P252" s="135"/>
      <c r="Q252" s="135"/>
    </row>
    <row r="253" customFormat="false" ht="15.75" hidden="false" customHeight="true" outlineLevel="0" collapsed="false">
      <c r="A253" s="135"/>
      <c r="B253" s="135"/>
      <c r="C253" s="135"/>
      <c r="D253" s="189"/>
      <c r="E253" s="135"/>
      <c r="F253" s="229"/>
      <c r="G253" s="229"/>
      <c r="H253" s="229"/>
      <c r="I253" s="135"/>
      <c r="J253" s="135"/>
      <c r="K253" s="135"/>
      <c r="L253" s="135"/>
      <c r="M253" s="135"/>
      <c r="N253" s="135"/>
      <c r="O253" s="135"/>
      <c r="P253" s="135"/>
      <c r="Q253" s="135"/>
    </row>
    <row r="254" customFormat="false" ht="15.75" hidden="false" customHeight="true" outlineLevel="0" collapsed="false">
      <c r="A254" s="135"/>
      <c r="B254" s="135"/>
      <c r="C254" s="135"/>
      <c r="D254" s="189"/>
      <c r="E254" s="135"/>
      <c r="F254" s="229"/>
      <c r="G254" s="229"/>
      <c r="H254" s="229"/>
      <c r="I254" s="135"/>
      <c r="J254" s="135"/>
      <c r="K254" s="135"/>
      <c r="L254" s="135"/>
      <c r="M254" s="135"/>
      <c r="N254" s="135"/>
      <c r="O254" s="135"/>
      <c r="P254" s="135"/>
      <c r="Q254" s="135"/>
    </row>
    <row r="255" customFormat="false" ht="15.75" hidden="false" customHeight="true" outlineLevel="0" collapsed="false">
      <c r="A255" s="135"/>
      <c r="B255" s="135"/>
      <c r="C255" s="135"/>
      <c r="D255" s="189"/>
      <c r="E255" s="135"/>
      <c r="F255" s="229"/>
      <c r="G255" s="229"/>
      <c r="H255" s="229"/>
      <c r="I255" s="135"/>
      <c r="J255" s="135"/>
      <c r="K255" s="135"/>
      <c r="L255" s="135"/>
      <c r="M255" s="135"/>
      <c r="N255" s="135"/>
      <c r="O255" s="135"/>
      <c r="P255" s="135"/>
      <c r="Q255" s="135"/>
    </row>
    <row r="256" customFormat="false" ht="15.75" hidden="false" customHeight="true" outlineLevel="0" collapsed="false">
      <c r="A256" s="135"/>
      <c r="B256" s="135"/>
      <c r="C256" s="135"/>
      <c r="D256" s="189"/>
      <c r="E256" s="135"/>
      <c r="F256" s="229"/>
      <c r="G256" s="229"/>
      <c r="H256" s="229"/>
      <c r="I256" s="135"/>
      <c r="J256" s="135"/>
      <c r="K256" s="135"/>
      <c r="L256" s="135"/>
      <c r="M256" s="135"/>
      <c r="N256" s="135"/>
      <c r="O256" s="135"/>
      <c r="P256" s="135"/>
      <c r="Q256" s="135"/>
    </row>
    <row r="257" customFormat="false" ht="15.75" hidden="false" customHeight="true" outlineLevel="0" collapsed="false">
      <c r="A257" s="135"/>
      <c r="B257" s="135"/>
      <c r="C257" s="135"/>
      <c r="D257" s="189"/>
      <c r="E257" s="135"/>
      <c r="F257" s="229"/>
      <c r="G257" s="229"/>
      <c r="H257" s="229"/>
      <c r="I257" s="135"/>
      <c r="J257" s="135"/>
      <c r="K257" s="135"/>
      <c r="L257" s="135"/>
      <c r="M257" s="135"/>
      <c r="N257" s="135"/>
      <c r="O257" s="135"/>
      <c r="P257" s="135"/>
      <c r="Q257" s="135"/>
    </row>
    <row r="258" customFormat="false" ht="15.75" hidden="false" customHeight="true" outlineLevel="0" collapsed="false">
      <c r="A258" s="135"/>
      <c r="B258" s="135"/>
      <c r="C258" s="135"/>
      <c r="D258" s="189"/>
      <c r="E258" s="135"/>
      <c r="F258" s="229"/>
      <c r="G258" s="229"/>
      <c r="H258" s="229"/>
      <c r="I258" s="135"/>
      <c r="J258" s="135"/>
      <c r="K258" s="135"/>
      <c r="L258" s="135"/>
      <c r="M258" s="135"/>
      <c r="N258" s="135"/>
      <c r="O258" s="135"/>
      <c r="P258" s="135"/>
      <c r="Q258" s="135"/>
    </row>
    <row r="259" customFormat="false" ht="15.75" hidden="false" customHeight="true" outlineLevel="0" collapsed="false">
      <c r="A259" s="135"/>
      <c r="B259" s="135"/>
      <c r="C259" s="135"/>
      <c r="D259" s="189"/>
      <c r="E259" s="135"/>
      <c r="F259" s="229"/>
      <c r="G259" s="229"/>
      <c r="H259" s="229"/>
      <c r="I259" s="135"/>
      <c r="J259" s="135"/>
      <c r="K259" s="135"/>
      <c r="L259" s="135"/>
      <c r="M259" s="135"/>
      <c r="N259" s="135"/>
      <c r="O259" s="135"/>
      <c r="P259" s="135"/>
      <c r="Q259" s="135"/>
    </row>
    <row r="260" customFormat="false" ht="15.75" hidden="false" customHeight="true" outlineLevel="0" collapsed="false">
      <c r="A260" s="135"/>
      <c r="B260" s="135"/>
      <c r="C260" s="135"/>
      <c r="D260" s="189"/>
      <c r="E260" s="135"/>
      <c r="F260" s="229"/>
      <c r="G260" s="229"/>
      <c r="H260" s="229"/>
      <c r="I260" s="135"/>
      <c r="J260" s="135"/>
      <c r="K260" s="135"/>
      <c r="L260" s="135"/>
      <c r="M260" s="135"/>
      <c r="N260" s="135"/>
      <c r="O260" s="135"/>
      <c r="P260" s="135"/>
      <c r="Q260" s="135"/>
    </row>
    <row r="261" customFormat="false" ht="15.75" hidden="false" customHeight="true" outlineLevel="0" collapsed="false">
      <c r="A261" s="135"/>
      <c r="B261" s="135"/>
      <c r="C261" s="135"/>
      <c r="D261" s="189"/>
      <c r="E261" s="135"/>
      <c r="F261" s="229"/>
      <c r="G261" s="229"/>
      <c r="H261" s="229"/>
      <c r="I261" s="135"/>
      <c r="J261" s="135"/>
      <c r="K261" s="135"/>
      <c r="L261" s="135"/>
      <c r="M261" s="135"/>
      <c r="N261" s="135"/>
      <c r="O261" s="135"/>
      <c r="P261" s="135"/>
      <c r="Q261" s="135"/>
    </row>
    <row r="262" customFormat="false" ht="15.75" hidden="false" customHeight="true" outlineLevel="0" collapsed="false">
      <c r="A262" s="135"/>
      <c r="B262" s="135"/>
      <c r="C262" s="135"/>
      <c r="D262" s="189"/>
      <c r="E262" s="135"/>
      <c r="F262" s="229"/>
      <c r="G262" s="229"/>
      <c r="H262" s="229"/>
      <c r="I262" s="135"/>
      <c r="J262" s="135"/>
      <c r="K262" s="135"/>
      <c r="L262" s="135"/>
      <c r="M262" s="135"/>
      <c r="N262" s="135"/>
      <c r="O262" s="135"/>
      <c r="P262" s="135"/>
      <c r="Q262" s="135"/>
    </row>
    <row r="263" customFormat="false" ht="15.75" hidden="false" customHeight="true" outlineLevel="0" collapsed="false">
      <c r="A263" s="135"/>
      <c r="B263" s="135"/>
      <c r="C263" s="135"/>
      <c r="D263" s="189"/>
      <c r="E263" s="135"/>
      <c r="F263" s="229"/>
      <c r="G263" s="229"/>
      <c r="H263" s="229"/>
      <c r="I263" s="135"/>
      <c r="J263" s="135"/>
      <c r="K263" s="135"/>
      <c r="L263" s="135"/>
      <c r="M263" s="135"/>
      <c r="N263" s="135"/>
      <c r="O263" s="135"/>
      <c r="P263" s="135"/>
      <c r="Q263" s="135"/>
    </row>
    <row r="264" customFormat="false" ht="15.75" hidden="false" customHeight="true" outlineLevel="0" collapsed="false">
      <c r="A264" s="135"/>
      <c r="B264" s="135"/>
      <c r="C264" s="135"/>
      <c r="D264" s="189"/>
      <c r="E264" s="135"/>
      <c r="F264" s="229"/>
      <c r="G264" s="229"/>
      <c r="H264" s="229"/>
      <c r="I264" s="135"/>
      <c r="J264" s="135"/>
      <c r="K264" s="135"/>
      <c r="L264" s="135"/>
      <c r="M264" s="135"/>
      <c r="N264" s="135"/>
      <c r="O264" s="135"/>
      <c r="P264" s="135"/>
      <c r="Q264" s="135"/>
    </row>
    <row r="265" customFormat="false" ht="15.75" hidden="false" customHeight="true" outlineLevel="0" collapsed="false">
      <c r="A265" s="135"/>
      <c r="B265" s="135"/>
      <c r="C265" s="135"/>
      <c r="D265" s="189"/>
      <c r="E265" s="135"/>
      <c r="F265" s="229"/>
      <c r="G265" s="229"/>
      <c r="H265" s="229"/>
      <c r="I265" s="135"/>
      <c r="J265" s="135"/>
      <c r="K265" s="135"/>
      <c r="L265" s="135"/>
      <c r="M265" s="135"/>
      <c r="N265" s="135"/>
      <c r="O265" s="135"/>
      <c r="P265" s="135"/>
      <c r="Q265" s="135"/>
    </row>
    <row r="266" customFormat="false" ht="15.75" hidden="false" customHeight="true" outlineLevel="0" collapsed="false">
      <c r="A266" s="135"/>
      <c r="B266" s="135"/>
      <c r="C266" s="135"/>
      <c r="D266" s="189"/>
      <c r="E266" s="135"/>
      <c r="F266" s="229"/>
      <c r="G266" s="229"/>
      <c r="H266" s="229"/>
      <c r="I266" s="135"/>
      <c r="J266" s="135"/>
      <c r="K266" s="135"/>
      <c r="L266" s="135"/>
      <c r="M266" s="135"/>
      <c r="N266" s="135"/>
      <c r="O266" s="135"/>
      <c r="P266" s="135"/>
      <c r="Q266" s="135"/>
    </row>
    <row r="267" customFormat="false" ht="15.75" hidden="false" customHeight="true" outlineLevel="0" collapsed="false">
      <c r="A267" s="135"/>
      <c r="B267" s="135"/>
      <c r="C267" s="135"/>
      <c r="D267" s="189"/>
      <c r="E267" s="135"/>
      <c r="F267" s="229"/>
      <c r="G267" s="229"/>
      <c r="H267" s="229"/>
      <c r="I267" s="135"/>
      <c r="J267" s="135"/>
      <c r="K267" s="135"/>
      <c r="L267" s="135"/>
      <c r="M267" s="135"/>
      <c r="N267" s="135"/>
      <c r="O267" s="135"/>
      <c r="P267" s="135"/>
      <c r="Q267" s="135"/>
    </row>
    <row r="268" customFormat="false" ht="15.75" hidden="false" customHeight="true" outlineLevel="0" collapsed="false">
      <c r="A268" s="135"/>
      <c r="B268" s="135"/>
      <c r="C268" s="135"/>
      <c r="D268" s="189"/>
      <c r="E268" s="135"/>
      <c r="F268" s="229"/>
      <c r="G268" s="229"/>
      <c r="H268" s="229"/>
      <c r="I268" s="135"/>
      <c r="J268" s="135"/>
      <c r="K268" s="135"/>
      <c r="L268" s="135"/>
      <c r="M268" s="135"/>
      <c r="N268" s="135"/>
      <c r="O268" s="135"/>
      <c r="P268" s="135"/>
      <c r="Q268" s="135"/>
    </row>
    <row r="269" customFormat="false" ht="15.75" hidden="false" customHeight="true" outlineLevel="0" collapsed="false">
      <c r="A269" s="135"/>
      <c r="B269" s="135"/>
      <c r="C269" s="135"/>
      <c r="D269" s="189"/>
      <c r="E269" s="135"/>
      <c r="F269" s="229"/>
      <c r="G269" s="229"/>
      <c r="H269" s="229"/>
      <c r="I269" s="135"/>
      <c r="J269" s="135"/>
      <c r="K269" s="135"/>
      <c r="L269" s="135"/>
      <c r="M269" s="135"/>
      <c r="N269" s="135"/>
      <c r="O269" s="135"/>
      <c r="P269" s="135"/>
      <c r="Q269" s="135"/>
    </row>
    <row r="270" customFormat="false" ht="15.75" hidden="false" customHeight="true" outlineLevel="0" collapsed="false">
      <c r="A270" s="135"/>
      <c r="B270" s="135"/>
      <c r="C270" s="135"/>
      <c r="D270" s="189"/>
      <c r="E270" s="135"/>
      <c r="F270" s="229"/>
      <c r="G270" s="229"/>
      <c r="H270" s="229"/>
      <c r="I270" s="135"/>
      <c r="J270" s="135"/>
      <c r="K270" s="135"/>
      <c r="L270" s="135"/>
      <c r="M270" s="135"/>
      <c r="N270" s="135"/>
      <c r="O270" s="135"/>
      <c r="P270" s="135"/>
      <c r="Q270" s="135"/>
    </row>
    <row r="271" customFormat="false" ht="15.75" hidden="false" customHeight="true" outlineLevel="0" collapsed="false">
      <c r="A271" s="135"/>
      <c r="B271" s="135"/>
      <c r="C271" s="135"/>
      <c r="D271" s="189"/>
      <c r="E271" s="135"/>
      <c r="F271" s="229"/>
      <c r="G271" s="229"/>
      <c r="H271" s="229"/>
      <c r="I271" s="135"/>
      <c r="J271" s="135"/>
      <c r="K271" s="135"/>
      <c r="L271" s="135"/>
      <c r="M271" s="135"/>
      <c r="N271" s="135"/>
      <c r="O271" s="135"/>
      <c r="P271" s="135"/>
      <c r="Q271" s="135"/>
    </row>
    <row r="272" customFormat="false" ht="15.75" hidden="false" customHeight="true" outlineLevel="0" collapsed="false">
      <c r="A272" s="135"/>
      <c r="B272" s="135"/>
      <c r="C272" s="135"/>
      <c r="D272" s="189"/>
      <c r="E272" s="135"/>
      <c r="F272" s="229"/>
      <c r="G272" s="229"/>
      <c r="H272" s="229"/>
      <c r="I272" s="135"/>
      <c r="J272" s="135"/>
      <c r="K272" s="135"/>
      <c r="L272" s="135"/>
      <c r="M272" s="135"/>
      <c r="N272" s="135"/>
      <c r="O272" s="135"/>
      <c r="P272" s="135"/>
      <c r="Q272" s="135"/>
    </row>
    <row r="273" customFormat="false" ht="15.75" hidden="false" customHeight="true" outlineLevel="0" collapsed="false">
      <c r="A273" s="135"/>
      <c r="B273" s="135"/>
      <c r="C273" s="135"/>
      <c r="D273" s="189"/>
      <c r="E273" s="135"/>
      <c r="F273" s="229"/>
      <c r="G273" s="229"/>
      <c r="H273" s="229"/>
      <c r="I273" s="135"/>
      <c r="J273" s="135"/>
      <c r="K273" s="135"/>
      <c r="L273" s="135"/>
      <c r="M273" s="135"/>
      <c r="N273" s="135"/>
      <c r="O273" s="135"/>
      <c r="P273" s="135"/>
      <c r="Q273" s="135"/>
    </row>
    <row r="274" customFormat="false" ht="15.75" hidden="false" customHeight="true" outlineLevel="0" collapsed="false">
      <c r="A274" s="135"/>
      <c r="B274" s="135"/>
      <c r="C274" s="135"/>
      <c r="D274" s="189"/>
      <c r="E274" s="135"/>
      <c r="F274" s="229"/>
      <c r="G274" s="229"/>
      <c r="H274" s="229"/>
      <c r="I274" s="135"/>
      <c r="J274" s="135"/>
      <c r="K274" s="135"/>
      <c r="L274" s="135"/>
      <c r="M274" s="135"/>
      <c r="N274" s="135"/>
      <c r="O274" s="135"/>
      <c r="P274" s="135"/>
      <c r="Q274" s="135"/>
    </row>
    <row r="275" customFormat="false" ht="15.75" hidden="false" customHeight="true" outlineLevel="0" collapsed="false">
      <c r="A275" s="135"/>
      <c r="B275" s="135"/>
      <c r="C275" s="135"/>
      <c r="D275" s="189"/>
      <c r="E275" s="135"/>
      <c r="F275" s="229"/>
      <c r="G275" s="229"/>
      <c r="H275" s="229"/>
      <c r="I275" s="135"/>
      <c r="J275" s="135"/>
      <c r="K275" s="135"/>
      <c r="L275" s="135"/>
      <c r="M275" s="135"/>
      <c r="N275" s="135"/>
      <c r="O275" s="135"/>
      <c r="P275" s="135"/>
      <c r="Q275" s="135"/>
    </row>
    <row r="276" customFormat="false" ht="15.75" hidden="false" customHeight="true" outlineLevel="0" collapsed="false">
      <c r="A276" s="135"/>
      <c r="B276" s="135"/>
      <c r="C276" s="135"/>
      <c r="D276" s="189"/>
      <c r="E276" s="135"/>
      <c r="F276" s="229"/>
      <c r="G276" s="229"/>
      <c r="H276" s="229"/>
      <c r="I276" s="135"/>
      <c r="J276" s="135"/>
      <c r="K276" s="135"/>
      <c r="L276" s="135"/>
      <c r="M276" s="135"/>
      <c r="N276" s="135"/>
      <c r="O276" s="135"/>
      <c r="P276" s="135"/>
      <c r="Q276" s="135"/>
    </row>
    <row r="277" customFormat="false" ht="15.75" hidden="false" customHeight="true" outlineLevel="0" collapsed="false">
      <c r="A277" s="135"/>
      <c r="B277" s="135"/>
      <c r="C277" s="135"/>
      <c r="D277" s="189"/>
      <c r="E277" s="135"/>
      <c r="F277" s="229"/>
      <c r="G277" s="229"/>
      <c r="H277" s="229"/>
      <c r="I277" s="135"/>
      <c r="J277" s="135"/>
      <c r="K277" s="135"/>
      <c r="L277" s="135"/>
      <c r="M277" s="135"/>
      <c r="N277" s="135"/>
      <c r="O277" s="135"/>
      <c r="P277" s="135"/>
      <c r="Q277" s="135"/>
    </row>
    <row r="278" customFormat="false" ht="15.75" hidden="false" customHeight="true" outlineLevel="0" collapsed="false">
      <c r="A278" s="135"/>
      <c r="B278" s="135"/>
      <c r="C278" s="135"/>
      <c r="D278" s="189"/>
      <c r="E278" s="135"/>
      <c r="F278" s="229"/>
      <c r="G278" s="229"/>
      <c r="H278" s="229"/>
      <c r="I278" s="135"/>
      <c r="J278" s="135"/>
      <c r="K278" s="135"/>
      <c r="L278" s="135"/>
      <c r="M278" s="135"/>
      <c r="N278" s="135"/>
      <c r="O278" s="135"/>
      <c r="P278" s="135"/>
      <c r="Q278" s="135"/>
    </row>
    <row r="279" customFormat="false" ht="15.75" hidden="false" customHeight="true" outlineLevel="0" collapsed="false">
      <c r="A279" s="135"/>
      <c r="B279" s="135"/>
      <c r="C279" s="135"/>
      <c r="D279" s="189"/>
      <c r="E279" s="135"/>
      <c r="F279" s="229"/>
      <c r="G279" s="229"/>
      <c r="H279" s="229"/>
      <c r="I279" s="135"/>
      <c r="J279" s="135"/>
      <c r="K279" s="135"/>
      <c r="L279" s="135"/>
      <c r="M279" s="135"/>
      <c r="N279" s="135"/>
      <c r="O279" s="135"/>
      <c r="P279" s="135"/>
      <c r="Q279" s="135"/>
    </row>
    <row r="280" customFormat="false" ht="15.75" hidden="false" customHeight="true" outlineLevel="0" collapsed="false">
      <c r="A280" s="135"/>
      <c r="B280" s="135"/>
      <c r="C280" s="135"/>
      <c r="D280" s="189"/>
      <c r="E280" s="135"/>
      <c r="F280" s="229"/>
      <c r="G280" s="229"/>
      <c r="H280" s="229"/>
      <c r="I280" s="135"/>
      <c r="J280" s="135"/>
      <c r="K280" s="135"/>
      <c r="L280" s="135"/>
      <c r="M280" s="135"/>
      <c r="N280" s="135"/>
      <c r="O280" s="135"/>
      <c r="P280" s="135"/>
      <c r="Q280" s="135"/>
    </row>
    <row r="281" customFormat="false" ht="15.75" hidden="false" customHeight="true" outlineLevel="0" collapsed="false">
      <c r="A281" s="135"/>
      <c r="B281" s="135"/>
      <c r="C281" s="135"/>
      <c r="D281" s="189"/>
      <c r="E281" s="135"/>
      <c r="F281" s="229"/>
      <c r="G281" s="229"/>
      <c r="H281" s="229"/>
      <c r="I281" s="135"/>
      <c r="J281" s="135"/>
      <c r="K281" s="135"/>
      <c r="L281" s="135"/>
      <c r="M281" s="135"/>
      <c r="N281" s="135"/>
      <c r="O281" s="135"/>
      <c r="P281" s="135"/>
      <c r="Q281" s="135"/>
    </row>
    <row r="282" customFormat="false" ht="15.75" hidden="false" customHeight="true" outlineLevel="0" collapsed="false">
      <c r="A282" s="135"/>
      <c r="B282" s="135"/>
      <c r="C282" s="135"/>
      <c r="D282" s="189"/>
      <c r="E282" s="135"/>
      <c r="F282" s="229"/>
      <c r="G282" s="229"/>
      <c r="H282" s="229"/>
      <c r="I282" s="135"/>
      <c r="J282" s="135"/>
      <c r="K282" s="135"/>
      <c r="L282" s="135"/>
      <c r="M282" s="135"/>
      <c r="N282" s="135"/>
      <c r="O282" s="135"/>
      <c r="P282" s="135"/>
      <c r="Q282" s="135"/>
    </row>
    <row r="283" customFormat="false" ht="15.75" hidden="false" customHeight="true" outlineLevel="0" collapsed="false">
      <c r="A283" s="135"/>
      <c r="B283" s="135"/>
      <c r="C283" s="135"/>
      <c r="D283" s="189"/>
      <c r="E283" s="135"/>
      <c r="F283" s="229"/>
      <c r="G283" s="229"/>
      <c r="H283" s="229"/>
      <c r="I283" s="135"/>
      <c r="J283" s="135"/>
      <c r="K283" s="135"/>
      <c r="L283" s="135"/>
      <c r="M283" s="135"/>
      <c r="N283" s="135"/>
      <c r="O283" s="135"/>
      <c r="P283" s="135"/>
      <c r="Q283" s="135"/>
    </row>
    <row r="284" customFormat="false" ht="15.75" hidden="false" customHeight="true" outlineLevel="0" collapsed="false">
      <c r="A284" s="135"/>
      <c r="B284" s="135"/>
      <c r="C284" s="135"/>
      <c r="D284" s="189"/>
      <c r="E284" s="135"/>
      <c r="F284" s="229"/>
      <c r="G284" s="229"/>
      <c r="H284" s="229"/>
      <c r="I284" s="135"/>
      <c r="J284" s="135"/>
      <c r="K284" s="135"/>
      <c r="L284" s="135"/>
      <c r="M284" s="135"/>
      <c r="N284" s="135"/>
      <c r="O284" s="135"/>
      <c r="P284" s="135"/>
      <c r="Q284" s="135"/>
    </row>
    <row r="285" customFormat="false" ht="15.75" hidden="false" customHeight="true" outlineLevel="0" collapsed="false">
      <c r="A285" s="135"/>
      <c r="B285" s="135"/>
      <c r="C285" s="135"/>
      <c r="D285" s="189"/>
      <c r="E285" s="135"/>
      <c r="F285" s="229"/>
      <c r="G285" s="229"/>
      <c r="H285" s="229"/>
      <c r="I285" s="135"/>
      <c r="J285" s="135"/>
      <c r="K285" s="135"/>
      <c r="L285" s="135"/>
      <c r="M285" s="135"/>
      <c r="N285" s="135"/>
      <c r="O285" s="135"/>
      <c r="P285" s="135"/>
      <c r="Q285" s="135"/>
    </row>
    <row r="286" customFormat="false" ht="15.75" hidden="false" customHeight="true" outlineLevel="0" collapsed="false">
      <c r="A286" s="135"/>
      <c r="B286" s="135"/>
      <c r="C286" s="135"/>
      <c r="D286" s="189"/>
      <c r="E286" s="135"/>
      <c r="F286" s="229"/>
      <c r="G286" s="229"/>
      <c r="H286" s="229"/>
      <c r="I286" s="135"/>
      <c r="J286" s="135"/>
      <c r="K286" s="135"/>
      <c r="L286" s="135"/>
      <c r="M286" s="135"/>
      <c r="N286" s="135"/>
      <c r="O286" s="135"/>
      <c r="P286" s="135"/>
      <c r="Q286" s="135"/>
    </row>
    <row r="287" customFormat="false" ht="15.75" hidden="false" customHeight="true" outlineLevel="0" collapsed="false">
      <c r="A287" s="135"/>
      <c r="B287" s="135"/>
      <c r="C287" s="135"/>
      <c r="D287" s="189"/>
      <c r="E287" s="135"/>
      <c r="F287" s="229"/>
      <c r="G287" s="229"/>
      <c r="H287" s="229"/>
      <c r="I287" s="135"/>
      <c r="J287" s="135"/>
      <c r="K287" s="135"/>
      <c r="L287" s="135"/>
      <c r="M287" s="135"/>
      <c r="N287" s="135"/>
      <c r="O287" s="135"/>
      <c r="P287" s="135"/>
      <c r="Q287" s="135"/>
    </row>
    <row r="288" customFormat="false" ht="15.75" hidden="false" customHeight="true" outlineLevel="0" collapsed="false">
      <c r="A288" s="135"/>
      <c r="B288" s="135"/>
      <c r="C288" s="135"/>
      <c r="D288" s="189"/>
      <c r="E288" s="135"/>
      <c r="F288" s="229"/>
      <c r="G288" s="229"/>
      <c r="H288" s="229"/>
      <c r="I288" s="135"/>
      <c r="J288" s="135"/>
      <c r="K288" s="135"/>
      <c r="L288" s="135"/>
      <c r="M288" s="135"/>
      <c r="N288" s="135"/>
      <c r="O288" s="135"/>
      <c r="P288" s="135"/>
      <c r="Q288" s="135"/>
    </row>
    <row r="289" customFormat="false" ht="15.75" hidden="false" customHeight="true" outlineLevel="0" collapsed="false">
      <c r="A289" s="135"/>
      <c r="B289" s="135"/>
      <c r="C289" s="135"/>
      <c r="D289" s="189"/>
      <c r="E289" s="135"/>
      <c r="F289" s="229"/>
      <c r="G289" s="229"/>
      <c r="H289" s="229"/>
      <c r="I289" s="135"/>
      <c r="J289" s="135"/>
      <c r="K289" s="135"/>
      <c r="L289" s="135"/>
      <c r="M289" s="135"/>
      <c r="N289" s="135"/>
      <c r="O289" s="135"/>
      <c r="P289" s="135"/>
      <c r="Q289" s="135"/>
    </row>
    <row r="290" customFormat="false" ht="15.75" hidden="false" customHeight="true" outlineLevel="0" collapsed="false">
      <c r="A290" s="135"/>
      <c r="B290" s="135"/>
      <c r="C290" s="135"/>
      <c r="D290" s="189"/>
      <c r="E290" s="135"/>
      <c r="F290" s="229"/>
      <c r="G290" s="229"/>
      <c r="H290" s="229"/>
      <c r="I290" s="135"/>
      <c r="J290" s="135"/>
      <c r="K290" s="135"/>
      <c r="L290" s="135"/>
      <c r="M290" s="135"/>
      <c r="N290" s="135"/>
      <c r="O290" s="135"/>
      <c r="P290" s="135"/>
      <c r="Q290" s="135"/>
    </row>
    <row r="291" customFormat="false" ht="15.75" hidden="false" customHeight="true" outlineLevel="0" collapsed="false">
      <c r="A291" s="135"/>
      <c r="B291" s="135"/>
      <c r="C291" s="135"/>
      <c r="D291" s="189"/>
      <c r="E291" s="135"/>
      <c r="F291" s="229"/>
      <c r="G291" s="229"/>
      <c r="H291" s="229"/>
      <c r="I291" s="135"/>
      <c r="J291" s="135"/>
      <c r="K291" s="135"/>
      <c r="L291" s="135"/>
      <c r="M291" s="135"/>
      <c r="N291" s="135"/>
      <c r="O291" s="135"/>
      <c r="P291" s="135"/>
      <c r="Q291" s="135"/>
    </row>
    <row r="292" customFormat="false" ht="15.75" hidden="false" customHeight="true" outlineLevel="0" collapsed="false">
      <c r="A292" s="135"/>
      <c r="B292" s="135"/>
      <c r="C292" s="135"/>
      <c r="D292" s="189"/>
      <c r="E292" s="135"/>
      <c r="F292" s="229"/>
      <c r="G292" s="229"/>
      <c r="H292" s="229"/>
      <c r="I292" s="135"/>
      <c r="J292" s="135"/>
      <c r="K292" s="135"/>
      <c r="L292" s="135"/>
      <c r="M292" s="135"/>
      <c r="N292" s="135"/>
      <c r="O292" s="135"/>
      <c r="P292" s="135"/>
      <c r="Q292" s="135"/>
    </row>
    <row r="293" customFormat="false" ht="15.75" hidden="false" customHeight="true" outlineLevel="0" collapsed="false">
      <c r="A293" s="135"/>
      <c r="B293" s="135"/>
      <c r="C293" s="135"/>
      <c r="D293" s="189"/>
      <c r="E293" s="135"/>
      <c r="F293" s="229"/>
      <c r="G293" s="229"/>
      <c r="H293" s="229"/>
      <c r="I293" s="135"/>
      <c r="J293" s="135"/>
      <c r="K293" s="135"/>
      <c r="L293" s="135"/>
      <c r="M293" s="135"/>
      <c r="N293" s="135"/>
      <c r="O293" s="135"/>
      <c r="P293" s="135"/>
      <c r="Q293" s="135"/>
    </row>
    <row r="294" customFormat="false" ht="15.75" hidden="false" customHeight="true" outlineLevel="0" collapsed="false">
      <c r="A294" s="135"/>
      <c r="B294" s="135"/>
      <c r="C294" s="135"/>
      <c r="D294" s="189"/>
      <c r="E294" s="135"/>
      <c r="F294" s="229"/>
      <c r="G294" s="229"/>
      <c r="H294" s="229"/>
      <c r="I294" s="135"/>
      <c r="J294" s="135"/>
      <c r="K294" s="135"/>
      <c r="L294" s="135"/>
      <c r="M294" s="135"/>
      <c r="N294" s="135"/>
      <c r="O294" s="135"/>
      <c r="P294" s="135"/>
      <c r="Q294" s="135"/>
    </row>
    <row r="295" customFormat="false" ht="15.75" hidden="false" customHeight="true" outlineLevel="0" collapsed="false">
      <c r="A295" s="135"/>
      <c r="B295" s="135"/>
      <c r="C295" s="135"/>
      <c r="D295" s="189"/>
      <c r="E295" s="135"/>
      <c r="F295" s="229"/>
      <c r="G295" s="229"/>
      <c r="H295" s="229"/>
      <c r="I295" s="135"/>
      <c r="J295" s="135"/>
      <c r="K295" s="135"/>
      <c r="L295" s="135"/>
      <c r="M295" s="135"/>
      <c r="N295" s="135"/>
      <c r="O295" s="135"/>
      <c r="P295" s="135"/>
      <c r="Q295" s="135"/>
    </row>
    <row r="296" customFormat="false" ht="15.75" hidden="false" customHeight="true" outlineLevel="0" collapsed="false">
      <c r="A296" s="135"/>
      <c r="B296" s="135"/>
      <c r="C296" s="135"/>
      <c r="D296" s="189"/>
      <c r="E296" s="135"/>
      <c r="F296" s="229"/>
      <c r="G296" s="229"/>
      <c r="H296" s="229"/>
      <c r="I296" s="135"/>
      <c r="J296" s="135"/>
      <c r="K296" s="135"/>
      <c r="L296" s="135"/>
      <c r="M296" s="135"/>
      <c r="N296" s="135"/>
      <c r="O296" s="135"/>
      <c r="P296" s="135"/>
      <c r="Q296" s="135"/>
    </row>
    <row r="297" customFormat="false" ht="15.75" hidden="false" customHeight="true" outlineLevel="0" collapsed="false">
      <c r="A297" s="135"/>
      <c r="B297" s="135"/>
      <c r="C297" s="135"/>
      <c r="D297" s="189"/>
      <c r="E297" s="135"/>
      <c r="F297" s="229"/>
      <c r="G297" s="229"/>
      <c r="H297" s="229"/>
      <c r="I297" s="135"/>
      <c r="J297" s="135"/>
      <c r="K297" s="135"/>
      <c r="L297" s="135"/>
      <c r="M297" s="135"/>
      <c r="N297" s="135"/>
      <c r="O297" s="135"/>
      <c r="P297" s="135"/>
      <c r="Q297" s="135"/>
    </row>
    <row r="298" customFormat="false" ht="15.75" hidden="false" customHeight="true" outlineLevel="0" collapsed="false">
      <c r="A298" s="135"/>
      <c r="B298" s="135"/>
      <c r="C298" s="135"/>
      <c r="D298" s="189"/>
      <c r="E298" s="135"/>
      <c r="F298" s="229"/>
      <c r="G298" s="229"/>
      <c r="H298" s="229"/>
      <c r="I298" s="135"/>
      <c r="J298" s="135"/>
      <c r="K298" s="135"/>
      <c r="L298" s="135"/>
      <c r="M298" s="135"/>
      <c r="N298" s="135"/>
      <c r="O298" s="135"/>
      <c r="P298" s="135"/>
      <c r="Q298" s="135"/>
    </row>
    <row r="299" customFormat="false" ht="15.75" hidden="false" customHeight="true" outlineLevel="0" collapsed="false">
      <c r="A299" s="135"/>
      <c r="B299" s="135"/>
      <c r="C299" s="135"/>
      <c r="D299" s="189"/>
      <c r="E299" s="135"/>
      <c r="F299" s="229"/>
      <c r="G299" s="229"/>
      <c r="H299" s="229"/>
      <c r="I299" s="135"/>
      <c r="J299" s="135"/>
      <c r="K299" s="135"/>
      <c r="L299" s="135"/>
      <c r="M299" s="135"/>
      <c r="N299" s="135"/>
      <c r="O299" s="135"/>
      <c r="P299" s="135"/>
      <c r="Q299" s="135"/>
    </row>
    <row r="300" customFormat="false" ht="15.75" hidden="false" customHeight="true" outlineLevel="0" collapsed="false">
      <c r="A300" s="135"/>
      <c r="B300" s="135"/>
      <c r="C300" s="135"/>
      <c r="D300" s="189"/>
      <c r="E300" s="135"/>
      <c r="F300" s="229"/>
      <c r="G300" s="229"/>
      <c r="H300" s="229"/>
      <c r="I300" s="135"/>
      <c r="J300" s="135"/>
      <c r="K300" s="135"/>
      <c r="L300" s="135"/>
      <c r="M300" s="135"/>
      <c r="N300" s="135"/>
      <c r="O300" s="135"/>
      <c r="P300" s="135"/>
      <c r="Q300" s="135"/>
    </row>
    <row r="301" customFormat="false" ht="15.75" hidden="false" customHeight="true" outlineLevel="0" collapsed="false">
      <c r="A301" s="135"/>
      <c r="B301" s="135"/>
      <c r="C301" s="135"/>
      <c r="D301" s="189"/>
      <c r="E301" s="135"/>
      <c r="F301" s="229"/>
      <c r="G301" s="229"/>
      <c r="H301" s="229"/>
      <c r="I301" s="135"/>
      <c r="J301" s="135"/>
      <c r="K301" s="135"/>
      <c r="L301" s="135"/>
      <c r="M301" s="135"/>
      <c r="N301" s="135"/>
      <c r="O301" s="135"/>
      <c r="P301" s="135"/>
      <c r="Q301" s="135"/>
    </row>
    <row r="302" customFormat="false" ht="15.75" hidden="false" customHeight="true" outlineLevel="0" collapsed="false">
      <c r="A302" s="135"/>
      <c r="B302" s="135"/>
      <c r="C302" s="135"/>
      <c r="D302" s="189"/>
      <c r="E302" s="135"/>
      <c r="F302" s="229"/>
      <c r="G302" s="229"/>
      <c r="H302" s="229"/>
      <c r="I302" s="135"/>
      <c r="J302" s="135"/>
      <c r="K302" s="135"/>
      <c r="L302" s="135"/>
      <c r="M302" s="135"/>
      <c r="N302" s="135"/>
      <c r="O302" s="135"/>
      <c r="P302" s="135"/>
      <c r="Q302" s="135"/>
    </row>
    <row r="303" customFormat="false" ht="15.75" hidden="false" customHeight="true" outlineLevel="0" collapsed="false">
      <c r="A303" s="135"/>
      <c r="B303" s="135"/>
      <c r="C303" s="135"/>
      <c r="D303" s="189"/>
      <c r="E303" s="135"/>
      <c r="F303" s="229"/>
      <c r="G303" s="229"/>
      <c r="H303" s="229"/>
      <c r="I303" s="135"/>
      <c r="J303" s="135"/>
      <c r="K303" s="135"/>
      <c r="L303" s="135"/>
      <c r="M303" s="135"/>
      <c r="N303" s="135"/>
      <c r="O303" s="135"/>
      <c r="P303" s="135"/>
      <c r="Q303" s="135"/>
    </row>
    <row r="304" customFormat="false" ht="15.75" hidden="false" customHeight="true" outlineLevel="0" collapsed="false">
      <c r="A304" s="135"/>
      <c r="B304" s="135"/>
      <c r="C304" s="135"/>
      <c r="D304" s="189"/>
      <c r="E304" s="135"/>
      <c r="F304" s="229"/>
      <c r="G304" s="229"/>
      <c r="H304" s="229"/>
      <c r="I304" s="135"/>
      <c r="J304" s="135"/>
      <c r="K304" s="135"/>
      <c r="L304" s="135"/>
      <c r="M304" s="135"/>
      <c r="N304" s="135"/>
      <c r="O304" s="135"/>
      <c r="P304" s="135"/>
      <c r="Q304" s="135"/>
    </row>
    <row r="305" customFormat="false" ht="15.75" hidden="false" customHeight="true" outlineLevel="0" collapsed="false">
      <c r="A305" s="135"/>
      <c r="B305" s="135"/>
      <c r="C305" s="135"/>
      <c r="D305" s="189"/>
      <c r="E305" s="135"/>
      <c r="F305" s="229"/>
      <c r="G305" s="229"/>
      <c r="H305" s="229"/>
      <c r="I305" s="135"/>
      <c r="J305" s="135"/>
      <c r="K305" s="135"/>
      <c r="L305" s="135"/>
      <c r="M305" s="135"/>
      <c r="N305" s="135"/>
      <c r="O305" s="135"/>
      <c r="P305" s="135"/>
      <c r="Q305" s="135"/>
    </row>
    <row r="306" customFormat="false" ht="15.75" hidden="false" customHeight="true" outlineLevel="0" collapsed="false">
      <c r="A306" s="135"/>
      <c r="B306" s="135"/>
      <c r="C306" s="135"/>
      <c r="D306" s="189"/>
      <c r="E306" s="135"/>
      <c r="F306" s="229"/>
      <c r="G306" s="229"/>
      <c r="H306" s="229"/>
      <c r="I306" s="135"/>
      <c r="J306" s="135"/>
      <c r="K306" s="135"/>
      <c r="L306" s="135"/>
      <c r="M306" s="135"/>
      <c r="N306" s="135"/>
      <c r="O306" s="135"/>
      <c r="P306" s="135"/>
      <c r="Q306" s="135"/>
    </row>
    <row r="307" customFormat="false" ht="15.75" hidden="false" customHeight="true" outlineLevel="0" collapsed="false">
      <c r="A307" s="135"/>
      <c r="B307" s="135"/>
      <c r="C307" s="135"/>
      <c r="D307" s="189"/>
      <c r="E307" s="135"/>
      <c r="F307" s="229"/>
      <c r="G307" s="229"/>
      <c r="H307" s="229"/>
      <c r="I307" s="135"/>
      <c r="J307" s="135"/>
      <c r="K307" s="135"/>
      <c r="L307" s="135"/>
      <c r="M307" s="135"/>
      <c r="N307" s="135"/>
      <c r="O307" s="135"/>
      <c r="P307" s="135"/>
      <c r="Q307" s="135"/>
    </row>
    <row r="308" customFormat="false" ht="15.75" hidden="false" customHeight="true" outlineLevel="0" collapsed="false">
      <c r="A308" s="135"/>
      <c r="B308" s="135"/>
      <c r="C308" s="135"/>
      <c r="D308" s="189"/>
      <c r="E308" s="135"/>
      <c r="F308" s="229"/>
      <c r="G308" s="229"/>
      <c r="H308" s="229"/>
      <c r="I308" s="135"/>
      <c r="J308" s="135"/>
      <c r="K308" s="135"/>
      <c r="L308" s="135"/>
      <c r="M308" s="135"/>
      <c r="N308" s="135"/>
      <c r="O308" s="135"/>
      <c r="P308" s="135"/>
      <c r="Q308" s="135"/>
    </row>
    <row r="309" customFormat="false" ht="15.75" hidden="false" customHeight="true" outlineLevel="0" collapsed="false">
      <c r="A309" s="135"/>
      <c r="B309" s="135"/>
      <c r="C309" s="135"/>
      <c r="D309" s="189"/>
      <c r="E309" s="135"/>
      <c r="F309" s="229"/>
      <c r="G309" s="229"/>
      <c r="H309" s="229"/>
      <c r="I309" s="135"/>
      <c r="J309" s="135"/>
      <c r="K309" s="135"/>
      <c r="L309" s="135"/>
      <c r="M309" s="135"/>
      <c r="N309" s="135"/>
      <c r="O309" s="135"/>
      <c r="P309" s="135"/>
      <c r="Q309" s="135"/>
    </row>
    <row r="310" customFormat="false" ht="15.75" hidden="false" customHeight="true" outlineLevel="0" collapsed="false">
      <c r="A310" s="135"/>
      <c r="B310" s="135"/>
      <c r="C310" s="135"/>
      <c r="D310" s="189"/>
      <c r="E310" s="135"/>
      <c r="F310" s="229"/>
      <c r="G310" s="229"/>
      <c r="H310" s="229"/>
      <c r="I310" s="135"/>
      <c r="J310" s="135"/>
      <c r="K310" s="135"/>
      <c r="L310" s="135"/>
      <c r="M310" s="135"/>
      <c r="N310" s="135"/>
      <c r="O310" s="135"/>
      <c r="P310" s="135"/>
      <c r="Q310" s="135"/>
    </row>
    <row r="311" customFormat="false" ht="15.75" hidden="false" customHeight="true" outlineLevel="0" collapsed="false">
      <c r="A311" s="135"/>
      <c r="B311" s="135"/>
      <c r="C311" s="135"/>
      <c r="D311" s="189"/>
      <c r="E311" s="135"/>
      <c r="F311" s="229"/>
      <c r="G311" s="229"/>
      <c r="H311" s="229"/>
      <c r="I311" s="135"/>
      <c r="J311" s="135"/>
      <c r="K311" s="135"/>
      <c r="L311" s="135"/>
      <c r="M311" s="135"/>
      <c r="N311" s="135"/>
      <c r="O311" s="135"/>
      <c r="P311" s="135"/>
      <c r="Q311" s="135"/>
    </row>
    <row r="312" customFormat="false" ht="15.75" hidden="false" customHeight="true" outlineLevel="0" collapsed="false">
      <c r="A312" s="135"/>
      <c r="B312" s="135"/>
      <c r="C312" s="135"/>
      <c r="D312" s="189"/>
      <c r="E312" s="135"/>
      <c r="F312" s="229"/>
      <c r="G312" s="229"/>
      <c r="H312" s="229"/>
      <c r="I312" s="135"/>
      <c r="J312" s="135"/>
      <c r="K312" s="135"/>
      <c r="L312" s="135"/>
      <c r="M312" s="135"/>
      <c r="N312" s="135"/>
      <c r="O312" s="135"/>
      <c r="P312" s="135"/>
      <c r="Q312" s="135"/>
    </row>
    <row r="313" customFormat="false" ht="15.75" hidden="false" customHeight="true" outlineLevel="0" collapsed="false">
      <c r="A313" s="135"/>
      <c r="B313" s="135"/>
      <c r="C313" s="135"/>
      <c r="D313" s="189"/>
      <c r="E313" s="135"/>
      <c r="F313" s="229"/>
      <c r="G313" s="229"/>
      <c r="H313" s="229"/>
      <c r="I313" s="135"/>
      <c r="J313" s="135"/>
      <c r="K313" s="135"/>
      <c r="L313" s="135"/>
      <c r="M313" s="135"/>
      <c r="N313" s="135"/>
      <c r="O313" s="135"/>
      <c r="P313" s="135"/>
      <c r="Q313" s="135"/>
    </row>
    <row r="314" customFormat="false" ht="15.75" hidden="false" customHeight="true" outlineLevel="0" collapsed="false">
      <c r="A314" s="135"/>
      <c r="B314" s="135"/>
      <c r="C314" s="135"/>
      <c r="D314" s="189"/>
      <c r="E314" s="135"/>
      <c r="F314" s="229"/>
      <c r="G314" s="229"/>
      <c r="H314" s="229"/>
      <c r="I314" s="135"/>
      <c r="J314" s="135"/>
      <c r="K314" s="135"/>
      <c r="L314" s="135"/>
      <c r="M314" s="135"/>
      <c r="N314" s="135"/>
      <c r="O314" s="135"/>
      <c r="P314" s="135"/>
      <c r="Q314" s="135"/>
    </row>
    <row r="315" customFormat="false" ht="15.75" hidden="false" customHeight="true" outlineLevel="0" collapsed="false">
      <c r="A315" s="135"/>
      <c r="B315" s="135"/>
      <c r="C315" s="135"/>
      <c r="D315" s="189"/>
      <c r="E315" s="135"/>
      <c r="F315" s="229"/>
      <c r="G315" s="229"/>
      <c r="H315" s="229"/>
      <c r="I315" s="135"/>
      <c r="J315" s="135"/>
      <c r="K315" s="135"/>
      <c r="L315" s="135"/>
      <c r="M315" s="135"/>
      <c r="N315" s="135"/>
      <c r="O315" s="135"/>
      <c r="P315" s="135"/>
      <c r="Q315" s="135"/>
    </row>
    <row r="316" customFormat="false" ht="15.75" hidden="false" customHeight="true" outlineLevel="0" collapsed="false">
      <c r="A316" s="135"/>
      <c r="B316" s="135"/>
      <c r="C316" s="135"/>
      <c r="D316" s="189"/>
      <c r="E316" s="135"/>
      <c r="F316" s="229"/>
      <c r="G316" s="229"/>
      <c r="H316" s="229"/>
      <c r="I316" s="135"/>
      <c r="J316" s="135"/>
      <c r="K316" s="135"/>
      <c r="L316" s="135"/>
      <c r="M316" s="135"/>
      <c r="N316" s="135"/>
      <c r="O316" s="135"/>
      <c r="P316" s="135"/>
      <c r="Q316" s="135"/>
    </row>
    <row r="317" customFormat="false" ht="15.75" hidden="false" customHeight="true" outlineLevel="0" collapsed="false">
      <c r="A317" s="135"/>
      <c r="B317" s="135"/>
      <c r="C317" s="135"/>
      <c r="D317" s="189"/>
      <c r="E317" s="135"/>
      <c r="F317" s="229"/>
      <c r="G317" s="229"/>
      <c r="H317" s="229"/>
      <c r="I317" s="135"/>
      <c r="J317" s="135"/>
      <c r="K317" s="135"/>
      <c r="L317" s="135"/>
      <c r="M317" s="135"/>
      <c r="N317" s="135"/>
      <c r="O317" s="135"/>
      <c r="P317" s="135"/>
      <c r="Q317" s="135"/>
    </row>
    <row r="318" customFormat="false" ht="15.75" hidden="false" customHeight="true" outlineLevel="0" collapsed="false">
      <c r="A318" s="135"/>
      <c r="B318" s="135"/>
      <c r="C318" s="135"/>
      <c r="D318" s="189"/>
      <c r="E318" s="135"/>
      <c r="F318" s="229"/>
      <c r="G318" s="229"/>
      <c r="H318" s="229"/>
      <c r="I318" s="135"/>
      <c r="J318" s="135"/>
      <c r="K318" s="135"/>
      <c r="L318" s="135"/>
      <c r="M318" s="135"/>
      <c r="N318" s="135"/>
      <c r="O318" s="135"/>
      <c r="P318" s="135"/>
      <c r="Q318" s="135"/>
    </row>
    <row r="319" customFormat="false" ht="15.75" hidden="false" customHeight="true" outlineLevel="0" collapsed="false">
      <c r="A319" s="135"/>
      <c r="B319" s="135"/>
      <c r="C319" s="135"/>
      <c r="D319" s="189"/>
      <c r="E319" s="135"/>
      <c r="F319" s="229"/>
      <c r="G319" s="229"/>
      <c r="H319" s="229"/>
      <c r="I319" s="135"/>
      <c r="J319" s="135"/>
      <c r="K319" s="135"/>
      <c r="L319" s="135"/>
      <c r="M319" s="135"/>
      <c r="N319" s="135"/>
      <c r="O319" s="135"/>
      <c r="P319" s="135"/>
      <c r="Q319" s="135"/>
    </row>
    <row r="320" customFormat="false" ht="15.75" hidden="false" customHeight="true" outlineLevel="0" collapsed="false">
      <c r="A320" s="135"/>
      <c r="B320" s="135"/>
      <c r="C320" s="135"/>
      <c r="D320" s="189"/>
      <c r="E320" s="135"/>
      <c r="F320" s="229"/>
      <c r="G320" s="229"/>
      <c r="H320" s="229"/>
      <c r="I320" s="135"/>
      <c r="J320" s="135"/>
      <c r="K320" s="135"/>
      <c r="L320" s="135"/>
      <c r="M320" s="135"/>
      <c r="N320" s="135"/>
      <c r="O320" s="135"/>
      <c r="P320" s="135"/>
      <c r="Q320" s="135"/>
    </row>
    <row r="321" customFormat="false" ht="15.75" hidden="false" customHeight="true" outlineLevel="0" collapsed="false">
      <c r="A321" s="135"/>
      <c r="B321" s="135"/>
      <c r="C321" s="135"/>
      <c r="D321" s="189"/>
      <c r="E321" s="135"/>
      <c r="F321" s="229"/>
      <c r="G321" s="229"/>
      <c r="H321" s="229"/>
      <c r="I321" s="135"/>
      <c r="J321" s="135"/>
      <c r="K321" s="135"/>
      <c r="L321" s="135"/>
      <c r="M321" s="135"/>
      <c r="N321" s="135"/>
      <c r="O321" s="135"/>
      <c r="P321" s="135"/>
      <c r="Q321" s="135"/>
    </row>
    <row r="322" customFormat="false" ht="15.75" hidden="false" customHeight="true" outlineLevel="0" collapsed="false">
      <c r="A322" s="135"/>
      <c r="B322" s="135"/>
      <c r="C322" s="135"/>
      <c r="D322" s="189"/>
      <c r="E322" s="135"/>
      <c r="F322" s="229"/>
      <c r="G322" s="229"/>
      <c r="H322" s="229"/>
      <c r="I322" s="135"/>
      <c r="J322" s="135"/>
      <c r="K322" s="135"/>
      <c r="L322" s="135"/>
      <c r="M322" s="135"/>
      <c r="N322" s="135"/>
      <c r="O322" s="135"/>
      <c r="P322" s="135"/>
      <c r="Q322" s="135"/>
    </row>
    <row r="323" customFormat="false" ht="15.75" hidden="false" customHeight="true" outlineLevel="0" collapsed="false">
      <c r="A323" s="135"/>
      <c r="B323" s="135"/>
      <c r="C323" s="135"/>
      <c r="D323" s="189"/>
      <c r="E323" s="135"/>
      <c r="F323" s="229"/>
      <c r="G323" s="229"/>
      <c r="H323" s="229"/>
      <c r="I323" s="135"/>
      <c r="J323" s="135"/>
      <c r="K323" s="135"/>
      <c r="L323" s="135"/>
      <c r="M323" s="135"/>
      <c r="N323" s="135"/>
      <c r="O323" s="135"/>
      <c r="P323" s="135"/>
      <c r="Q323" s="135"/>
    </row>
    <row r="324" customFormat="false" ht="15.75" hidden="false" customHeight="true" outlineLevel="0" collapsed="false">
      <c r="A324" s="135"/>
      <c r="B324" s="135"/>
      <c r="C324" s="135"/>
      <c r="D324" s="189"/>
      <c r="E324" s="135"/>
      <c r="F324" s="229"/>
      <c r="G324" s="229"/>
      <c r="H324" s="229"/>
      <c r="I324" s="135"/>
      <c r="J324" s="135"/>
      <c r="K324" s="135"/>
      <c r="L324" s="135"/>
      <c r="M324" s="135"/>
      <c r="N324" s="135"/>
      <c r="O324" s="135"/>
      <c r="P324" s="135"/>
      <c r="Q324" s="135"/>
    </row>
    <row r="325" customFormat="false" ht="15.75" hidden="false" customHeight="true" outlineLevel="0" collapsed="false">
      <c r="A325" s="135"/>
      <c r="B325" s="135"/>
      <c r="C325" s="135"/>
      <c r="D325" s="189"/>
      <c r="E325" s="135"/>
      <c r="F325" s="229"/>
      <c r="G325" s="229"/>
      <c r="H325" s="229"/>
      <c r="I325" s="135"/>
      <c r="J325" s="135"/>
      <c r="K325" s="135"/>
      <c r="L325" s="135"/>
      <c r="M325" s="135"/>
      <c r="N325" s="135"/>
      <c r="O325" s="135"/>
      <c r="P325" s="135"/>
      <c r="Q325" s="135"/>
    </row>
    <row r="326" customFormat="false" ht="15.75" hidden="false" customHeight="true" outlineLevel="0" collapsed="false">
      <c r="A326" s="135"/>
      <c r="B326" s="135"/>
      <c r="C326" s="135"/>
      <c r="D326" s="189"/>
      <c r="E326" s="135"/>
      <c r="F326" s="229"/>
      <c r="G326" s="229"/>
      <c r="H326" s="229"/>
      <c r="I326" s="135"/>
      <c r="J326" s="135"/>
      <c r="K326" s="135"/>
      <c r="L326" s="135"/>
      <c r="M326" s="135"/>
      <c r="N326" s="135"/>
      <c r="O326" s="135"/>
      <c r="P326" s="135"/>
      <c r="Q326" s="135"/>
    </row>
    <row r="327" customFormat="false" ht="15.75" hidden="false" customHeight="true" outlineLevel="0" collapsed="false">
      <c r="A327" s="135"/>
      <c r="B327" s="135"/>
      <c r="C327" s="135"/>
      <c r="D327" s="189"/>
      <c r="E327" s="135"/>
      <c r="F327" s="229"/>
      <c r="G327" s="229"/>
      <c r="H327" s="229"/>
      <c r="I327" s="135"/>
      <c r="J327" s="135"/>
      <c r="K327" s="135"/>
      <c r="L327" s="135"/>
      <c r="M327" s="135"/>
      <c r="N327" s="135"/>
      <c r="O327" s="135"/>
      <c r="P327" s="135"/>
      <c r="Q327" s="135"/>
    </row>
    <row r="328" customFormat="false" ht="15.75" hidden="false" customHeight="true" outlineLevel="0" collapsed="false">
      <c r="A328" s="135"/>
      <c r="B328" s="135"/>
      <c r="C328" s="135"/>
      <c r="D328" s="189"/>
      <c r="E328" s="135"/>
      <c r="F328" s="229"/>
      <c r="G328" s="229"/>
      <c r="H328" s="229"/>
      <c r="I328" s="135"/>
      <c r="J328" s="135"/>
      <c r="K328" s="135"/>
      <c r="L328" s="135"/>
      <c r="M328" s="135"/>
      <c r="N328" s="135"/>
      <c r="O328" s="135"/>
      <c r="P328" s="135"/>
      <c r="Q328" s="135"/>
    </row>
    <row r="329" customFormat="false" ht="15.75" hidden="false" customHeight="true" outlineLevel="0" collapsed="false">
      <c r="A329" s="135"/>
      <c r="B329" s="135"/>
      <c r="C329" s="135"/>
      <c r="D329" s="189"/>
      <c r="E329" s="135"/>
      <c r="F329" s="229"/>
      <c r="G329" s="229"/>
      <c r="H329" s="229"/>
      <c r="I329" s="135"/>
      <c r="J329" s="135"/>
      <c r="K329" s="135"/>
      <c r="L329" s="135"/>
      <c r="M329" s="135"/>
      <c r="N329" s="135"/>
      <c r="O329" s="135"/>
      <c r="P329" s="135"/>
      <c r="Q329" s="135"/>
    </row>
    <row r="330" customFormat="false" ht="15.75" hidden="false" customHeight="true" outlineLevel="0" collapsed="false">
      <c r="A330" s="135"/>
      <c r="B330" s="135"/>
      <c r="C330" s="135"/>
      <c r="D330" s="189"/>
      <c r="E330" s="135"/>
      <c r="F330" s="229"/>
      <c r="G330" s="229"/>
      <c r="H330" s="229"/>
      <c r="I330" s="135"/>
      <c r="J330" s="135"/>
      <c r="K330" s="135"/>
      <c r="L330" s="135"/>
      <c r="M330" s="135"/>
      <c r="N330" s="135"/>
      <c r="O330" s="135"/>
      <c r="P330" s="135"/>
      <c r="Q330" s="135"/>
    </row>
    <row r="331" customFormat="false" ht="15.75" hidden="false" customHeight="true" outlineLevel="0" collapsed="false">
      <c r="A331" s="135"/>
      <c r="B331" s="135"/>
      <c r="C331" s="135"/>
      <c r="D331" s="189"/>
      <c r="E331" s="135"/>
      <c r="F331" s="229"/>
      <c r="G331" s="229"/>
      <c r="H331" s="229"/>
      <c r="I331" s="135"/>
      <c r="J331" s="135"/>
      <c r="K331" s="135"/>
      <c r="L331" s="135"/>
      <c r="M331" s="135"/>
      <c r="N331" s="135"/>
      <c r="O331" s="135"/>
      <c r="P331" s="135"/>
      <c r="Q331" s="135"/>
    </row>
    <row r="332" customFormat="false" ht="15.75" hidden="false" customHeight="true" outlineLevel="0" collapsed="false">
      <c r="A332" s="135"/>
      <c r="B332" s="135"/>
      <c r="C332" s="135"/>
      <c r="D332" s="189"/>
      <c r="E332" s="135"/>
      <c r="F332" s="229"/>
      <c r="G332" s="229"/>
      <c r="H332" s="229"/>
      <c r="I332" s="135"/>
      <c r="J332" s="135"/>
      <c r="K332" s="135"/>
      <c r="L332" s="135"/>
      <c r="M332" s="135"/>
      <c r="N332" s="135"/>
      <c r="O332" s="135"/>
      <c r="P332" s="135"/>
      <c r="Q332" s="135"/>
    </row>
    <row r="333" customFormat="false" ht="15.75" hidden="false" customHeight="true" outlineLevel="0" collapsed="false">
      <c r="A333" s="135"/>
      <c r="B333" s="135"/>
      <c r="C333" s="135"/>
      <c r="D333" s="189"/>
      <c r="E333" s="135"/>
      <c r="F333" s="229"/>
      <c r="G333" s="229"/>
      <c r="H333" s="229"/>
      <c r="I333" s="135"/>
      <c r="J333" s="135"/>
      <c r="K333" s="135"/>
      <c r="L333" s="135"/>
      <c r="M333" s="135"/>
      <c r="N333" s="135"/>
      <c r="O333" s="135"/>
      <c r="P333" s="135"/>
      <c r="Q333" s="135"/>
    </row>
    <row r="334" customFormat="false" ht="15.75" hidden="false" customHeight="true" outlineLevel="0" collapsed="false">
      <c r="A334" s="135"/>
      <c r="B334" s="135"/>
      <c r="C334" s="135"/>
      <c r="D334" s="189"/>
      <c r="E334" s="135"/>
      <c r="F334" s="229"/>
      <c r="G334" s="229"/>
      <c r="H334" s="229"/>
      <c r="I334" s="135"/>
      <c r="J334" s="135"/>
      <c r="K334" s="135"/>
      <c r="L334" s="135"/>
      <c r="M334" s="135"/>
      <c r="N334" s="135"/>
      <c r="O334" s="135"/>
      <c r="P334" s="135"/>
      <c r="Q334" s="135"/>
    </row>
    <row r="335" customFormat="false" ht="15.75" hidden="false" customHeight="true" outlineLevel="0" collapsed="false">
      <c r="A335" s="135"/>
      <c r="B335" s="135"/>
      <c r="C335" s="135"/>
      <c r="D335" s="189"/>
      <c r="E335" s="135"/>
      <c r="F335" s="229"/>
      <c r="G335" s="229"/>
      <c r="H335" s="229"/>
      <c r="I335" s="135"/>
      <c r="J335" s="135"/>
      <c r="K335" s="135"/>
      <c r="L335" s="135"/>
      <c r="M335" s="135"/>
      <c r="N335" s="135"/>
      <c r="O335" s="135"/>
      <c r="P335" s="135"/>
      <c r="Q335" s="135"/>
    </row>
    <row r="336" customFormat="false" ht="15.75" hidden="false" customHeight="true" outlineLevel="0" collapsed="false">
      <c r="A336" s="135"/>
      <c r="B336" s="135"/>
      <c r="C336" s="135"/>
      <c r="D336" s="189"/>
      <c r="E336" s="135"/>
      <c r="F336" s="229"/>
      <c r="G336" s="229"/>
      <c r="H336" s="229"/>
      <c r="I336" s="135"/>
      <c r="J336" s="135"/>
      <c r="K336" s="135"/>
      <c r="L336" s="135"/>
      <c r="M336" s="135"/>
      <c r="N336" s="135"/>
      <c r="O336" s="135"/>
      <c r="P336" s="135"/>
      <c r="Q336" s="135"/>
    </row>
    <row r="337" customFormat="false" ht="15.75" hidden="false" customHeight="true" outlineLevel="0" collapsed="false">
      <c r="A337" s="135"/>
      <c r="B337" s="135"/>
      <c r="C337" s="135"/>
      <c r="D337" s="189"/>
      <c r="E337" s="135"/>
      <c r="F337" s="229"/>
      <c r="G337" s="229"/>
      <c r="H337" s="229"/>
      <c r="I337" s="135"/>
      <c r="J337" s="135"/>
      <c r="K337" s="135"/>
      <c r="L337" s="135"/>
      <c r="M337" s="135"/>
      <c r="N337" s="135"/>
      <c r="O337" s="135"/>
      <c r="P337" s="135"/>
      <c r="Q337" s="135"/>
    </row>
    <row r="338" customFormat="false" ht="15.75" hidden="false" customHeight="true" outlineLevel="0" collapsed="false">
      <c r="A338" s="135"/>
      <c r="B338" s="135"/>
      <c r="C338" s="135"/>
      <c r="D338" s="189"/>
      <c r="E338" s="135"/>
      <c r="F338" s="229"/>
      <c r="G338" s="229"/>
      <c r="H338" s="229"/>
      <c r="I338" s="135"/>
      <c r="J338" s="135"/>
      <c r="K338" s="135"/>
      <c r="L338" s="135"/>
      <c r="M338" s="135"/>
      <c r="N338" s="135"/>
      <c r="O338" s="135"/>
      <c r="P338" s="135"/>
      <c r="Q338" s="135"/>
    </row>
    <row r="339" customFormat="false" ht="15.75" hidden="false" customHeight="true" outlineLevel="0" collapsed="false">
      <c r="A339" s="135"/>
      <c r="B339" s="135"/>
      <c r="C339" s="135"/>
      <c r="D339" s="189"/>
      <c r="E339" s="135"/>
      <c r="F339" s="229"/>
      <c r="G339" s="229"/>
      <c r="H339" s="229"/>
      <c r="I339" s="135"/>
      <c r="J339" s="135"/>
      <c r="K339" s="135"/>
      <c r="L339" s="135"/>
      <c r="M339" s="135"/>
      <c r="N339" s="135"/>
      <c r="O339" s="135"/>
      <c r="P339" s="135"/>
      <c r="Q339" s="135"/>
    </row>
    <row r="340" customFormat="false" ht="15.75" hidden="false" customHeight="true" outlineLevel="0" collapsed="false">
      <c r="A340" s="135"/>
      <c r="B340" s="135"/>
      <c r="C340" s="135"/>
      <c r="D340" s="189"/>
      <c r="E340" s="135"/>
      <c r="F340" s="229"/>
      <c r="G340" s="229"/>
      <c r="H340" s="229"/>
      <c r="I340" s="135"/>
      <c r="J340" s="135"/>
      <c r="K340" s="135"/>
      <c r="L340" s="135"/>
      <c r="M340" s="135"/>
      <c r="N340" s="135"/>
      <c r="O340" s="135"/>
      <c r="P340" s="135"/>
      <c r="Q340" s="135"/>
    </row>
    <row r="341" customFormat="false" ht="15.75" hidden="false" customHeight="true" outlineLevel="0" collapsed="false">
      <c r="A341" s="135"/>
      <c r="B341" s="135"/>
      <c r="C341" s="135"/>
      <c r="D341" s="189"/>
      <c r="E341" s="135"/>
      <c r="F341" s="229"/>
      <c r="G341" s="229"/>
      <c r="H341" s="229"/>
      <c r="I341" s="135"/>
      <c r="J341" s="135"/>
      <c r="K341" s="135"/>
      <c r="L341" s="135"/>
      <c r="M341" s="135"/>
      <c r="N341" s="135"/>
      <c r="O341" s="135"/>
      <c r="P341" s="135"/>
      <c r="Q341" s="135"/>
    </row>
    <row r="342" customFormat="false" ht="15.75" hidden="false" customHeight="true" outlineLevel="0" collapsed="false">
      <c r="A342" s="135"/>
      <c r="B342" s="135"/>
      <c r="C342" s="135"/>
      <c r="D342" s="189"/>
      <c r="E342" s="135"/>
      <c r="F342" s="229"/>
      <c r="G342" s="229"/>
      <c r="H342" s="229"/>
      <c r="I342" s="135"/>
      <c r="J342" s="135"/>
      <c r="K342" s="135"/>
      <c r="L342" s="135"/>
      <c r="M342" s="135"/>
      <c r="N342" s="135"/>
      <c r="O342" s="135"/>
      <c r="P342" s="135"/>
      <c r="Q342" s="135"/>
    </row>
    <row r="343" customFormat="false" ht="15.75" hidden="false" customHeight="true" outlineLevel="0" collapsed="false">
      <c r="A343" s="135"/>
      <c r="B343" s="135"/>
      <c r="C343" s="135"/>
      <c r="D343" s="189"/>
      <c r="E343" s="135"/>
      <c r="F343" s="229"/>
      <c r="G343" s="229"/>
      <c r="H343" s="229"/>
      <c r="I343" s="135"/>
      <c r="J343" s="135"/>
      <c r="K343" s="135"/>
      <c r="L343" s="135"/>
      <c r="M343" s="135"/>
      <c r="N343" s="135"/>
      <c r="O343" s="135"/>
      <c r="P343" s="135"/>
      <c r="Q343" s="135"/>
    </row>
    <row r="344" customFormat="false" ht="15.75" hidden="false" customHeight="true" outlineLevel="0" collapsed="false">
      <c r="A344" s="135"/>
      <c r="B344" s="135"/>
      <c r="C344" s="135"/>
      <c r="D344" s="189"/>
      <c r="E344" s="135"/>
      <c r="F344" s="229"/>
      <c r="G344" s="229"/>
      <c r="H344" s="229"/>
      <c r="I344" s="135"/>
      <c r="J344" s="135"/>
      <c r="K344" s="135"/>
      <c r="L344" s="135"/>
      <c r="M344" s="135"/>
      <c r="N344" s="135"/>
      <c r="O344" s="135"/>
      <c r="P344" s="135"/>
      <c r="Q344" s="135"/>
    </row>
    <row r="345" customFormat="false" ht="15.75" hidden="false" customHeight="true" outlineLevel="0" collapsed="false">
      <c r="A345" s="135"/>
      <c r="B345" s="135"/>
      <c r="C345" s="135"/>
      <c r="D345" s="189"/>
      <c r="E345" s="135"/>
      <c r="F345" s="229"/>
      <c r="G345" s="229"/>
      <c r="H345" s="229"/>
      <c r="I345" s="135"/>
      <c r="J345" s="135"/>
      <c r="K345" s="135"/>
      <c r="L345" s="135"/>
      <c r="M345" s="135"/>
      <c r="N345" s="135"/>
      <c r="O345" s="135"/>
      <c r="P345" s="135"/>
      <c r="Q345" s="135"/>
    </row>
    <row r="346" customFormat="false" ht="15.75" hidden="false" customHeight="true" outlineLevel="0" collapsed="false">
      <c r="A346" s="135"/>
      <c r="B346" s="135"/>
      <c r="C346" s="135"/>
      <c r="D346" s="189"/>
      <c r="E346" s="135"/>
      <c r="F346" s="229"/>
      <c r="G346" s="229"/>
      <c r="H346" s="229"/>
      <c r="I346" s="135"/>
      <c r="J346" s="135"/>
      <c r="K346" s="135"/>
      <c r="L346" s="135"/>
      <c r="M346" s="135"/>
      <c r="N346" s="135"/>
      <c r="O346" s="135"/>
      <c r="P346" s="135"/>
      <c r="Q346" s="135"/>
    </row>
    <row r="347" customFormat="false" ht="15.75" hidden="false" customHeight="true" outlineLevel="0" collapsed="false">
      <c r="A347" s="135"/>
      <c r="B347" s="135"/>
      <c r="C347" s="135"/>
      <c r="D347" s="189"/>
      <c r="E347" s="135"/>
      <c r="F347" s="229"/>
      <c r="G347" s="229"/>
      <c r="H347" s="229"/>
      <c r="I347" s="135"/>
      <c r="J347" s="135"/>
      <c r="K347" s="135"/>
      <c r="L347" s="135"/>
      <c r="M347" s="135"/>
      <c r="N347" s="135"/>
      <c r="O347" s="135"/>
      <c r="P347" s="135"/>
      <c r="Q347" s="135"/>
    </row>
    <row r="348" customFormat="false" ht="15.75" hidden="false" customHeight="true" outlineLevel="0" collapsed="false">
      <c r="A348" s="135"/>
      <c r="B348" s="135"/>
      <c r="C348" s="135"/>
      <c r="D348" s="189"/>
      <c r="E348" s="135"/>
      <c r="F348" s="229"/>
      <c r="G348" s="229"/>
      <c r="H348" s="229"/>
      <c r="I348" s="135"/>
      <c r="J348" s="135"/>
      <c r="K348" s="135"/>
      <c r="L348" s="135"/>
      <c r="M348" s="135"/>
      <c r="N348" s="135"/>
      <c r="O348" s="135"/>
      <c r="P348" s="135"/>
      <c r="Q348" s="135"/>
    </row>
    <row r="349" customFormat="false" ht="15.75" hidden="false" customHeight="true" outlineLevel="0" collapsed="false">
      <c r="A349" s="135"/>
      <c r="B349" s="135"/>
      <c r="C349" s="135"/>
      <c r="D349" s="189"/>
      <c r="E349" s="135"/>
      <c r="F349" s="229"/>
      <c r="G349" s="229"/>
      <c r="H349" s="229"/>
      <c r="I349" s="135"/>
      <c r="J349" s="135"/>
      <c r="K349" s="135"/>
      <c r="L349" s="135"/>
      <c r="M349" s="135"/>
      <c r="N349" s="135"/>
      <c r="O349" s="135"/>
      <c r="P349" s="135"/>
      <c r="Q349" s="135"/>
    </row>
    <row r="350" customFormat="false" ht="15.75" hidden="false" customHeight="true" outlineLevel="0" collapsed="false">
      <c r="A350" s="135"/>
      <c r="B350" s="135"/>
      <c r="C350" s="135"/>
      <c r="D350" s="189"/>
      <c r="E350" s="135"/>
      <c r="F350" s="229"/>
      <c r="G350" s="229"/>
      <c r="H350" s="229"/>
      <c r="I350" s="135"/>
      <c r="J350" s="135"/>
      <c r="K350" s="135"/>
      <c r="L350" s="135"/>
      <c r="M350" s="135"/>
      <c r="N350" s="135"/>
      <c r="O350" s="135"/>
      <c r="P350" s="135"/>
      <c r="Q350" s="135"/>
    </row>
    <row r="351" customFormat="false" ht="15.75" hidden="false" customHeight="true" outlineLevel="0" collapsed="false">
      <c r="A351" s="135"/>
      <c r="B351" s="135"/>
      <c r="C351" s="135"/>
      <c r="D351" s="189"/>
      <c r="E351" s="135"/>
      <c r="F351" s="229"/>
      <c r="G351" s="229"/>
      <c r="H351" s="229"/>
      <c r="I351" s="135"/>
      <c r="J351" s="135"/>
      <c r="K351" s="135"/>
      <c r="L351" s="135"/>
      <c r="M351" s="135"/>
      <c r="N351" s="135"/>
      <c r="O351" s="135"/>
      <c r="P351" s="135"/>
      <c r="Q351" s="135"/>
    </row>
    <row r="352" customFormat="false" ht="15.75" hidden="false" customHeight="true" outlineLevel="0" collapsed="false">
      <c r="A352" s="135"/>
      <c r="B352" s="135"/>
      <c r="C352" s="135"/>
      <c r="D352" s="189"/>
      <c r="E352" s="135"/>
      <c r="F352" s="229"/>
      <c r="G352" s="229"/>
      <c r="H352" s="229"/>
      <c r="I352" s="135"/>
      <c r="J352" s="135"/>
      <c r="K352" s="135"/>
      <c r="L352" s="135"/>
      <c r="M352" s="135"/>
      <c r="N352" s="135"/>
      <c r="O352" s="135"/>
      <c r="P352" s="135"/>
      <c r="Q352" s="135"/>
    </row>
    <row r="353" customFormat="false" ht="15.75" hidden="false" customHeight="true" outlineLevel="0" collapsed="false">
      <c r="A353" s="135"/>
      <c r="B353" s="135"/>
      <c r="C353" s="135"/>
      <c r="D353" s="189"/>
      <c r="E353" s="135"/>
      <c r="F353" s="229"/>
      <c r="G353" s="229"/>
      <c r="H353" s="229"/>
      <c r="I353" s="135"/>
      <c r="J353" s="135"/>
      <c r="K353" s="135"/>
      <c r="L353" s="135"/>
      <c r="M353" s="135"/>
      <c r="N353" s="135"/>
      <c r="O353" s="135"/>
      <c r="P353" s="135"/>
      <c r="Q353" s="135"/>
    </row>
    <row r="354" customFormat="false" ht="15.75" hidden="false" customHeight="true" outlineLevel="0" collapsed="false">
      <c r="A354" s="135"/>
      <c r="B354" s="135"/>
      <c r="C354" s="135"/>
      <c r="D354" s="189"/>
      <c r="E354" s="135"/>
      <c r="F354" s="229"/>
      <c r="G354" s="229"/>
      <c r="H354" s="229"/>
      <c r="I354" s="135"/>
      <c r="J354" s="135"/>
      <c r="K354" s="135"/>
      <c r="L354" s="135"/>
      <c r="M354" s="135"/>
      <c r="N354" s="135"/>
      <c r="O354" s="135"/>
      <c r="P354" s="135"/>
      <c r="Q354" s="135"/>
    </row>
    <row r="355" customFormat="false" ht="15.75" hidden="false" customHeight="true" outlineLevel="0" collapsed="false">
      <c r="A355" s="135"/>
      <c r="B355" s="135"/>
      <c r="C355" s="135"/>
      <c r="D355" s="189"/>
      <c r="E355" s="135"/>
      <c r="F355" s="229"/>
      <c r="G355" s="229"/>
      <c r="H355" s="229"/>
      <c r="I355" s="135"/>
      <c r="J355" s="135"/>
      <c r="K355" s="135"/>
      <c r="L355" s="135"/>
      <c r="M355" s="135"/>
      <c r="N355" s="135"/>
      <c r="O355" s="135"/>
      <c r="P355" s="135"/>
      <c r="Q355" s="135"/>
    </row>
    <row r="356" customFormat="false" ht="15.75" hidden="false" customHeight="true" outlineLevel="0" collapsed="false">
      <c r="A356" s="135"/>
      <c r="B356" s="135"/>
      <c r="C356" s="135"/>
      <c r="D356" s="189"/>
      <c r="E356" s="135"/>
      <c r="F356" s="229"/>
      <c r="G356" s="229"/>
      <c r="H356" s="229"/>
      <c r="I356" s="135"/>
      <c r="J356" s="135"/>
      <c r="K356" s="135"/>
      <c r="L356" s="135"/>
      <c r="M356" s="135"/>
      <c r="N356" s="135"/>
      <c r="O356" s="135"/>
      <c r="P356" s="135"/>
      <c r="Q356" s="135"/>
    </row>
    <row r="357" customFormat="false" ht="15.75" hidden="false" customHeight="true" outlineLevel="0" collapsed="false">
      <c r="A357" s="135"/>
      <c r="B357" s="135"/>
      <c r="C357" s="135"/>
      <c r="D357" s="189"/>
      <c r="E357" s="135"/>
      <c r="F357" s="229"/>
      <c r="G357" s="229"/>
      <c r="H357" s="229"/>
      <c r="I357" s="135"/>
      <c r="J357" s="135"/>
      <c r="K357" s="135"/>
      <c r="L357" s="135"/>
      <c r="M357" s="135"/>
      <c r="N357" s="135"/>
      <c r="O357" s="135"/>
      <c r="P357" s="135"/>
      <c r="Q357" s="135"/>
    </row>
    <row r="358" customFormat="false" ht="15.75" hidden="false" customHeight="true" outlineLevel="0" collapsed="false">
      <c r="A358" s="135"/>
      <c r="B358" s="135"/>
      <c r="C358" s="135"/>
      <c r="D358" s="189"/>
      <c r="E358" s="135"/>
      <c r="F358" s="229"/>
      <c r="G358" s="229"/>
      <c r="H358" s="229"/>
      <c r="I358" s="135"/>
      <c r="J358" s="135"/>
      <c r="K358" s="135"/>
      <c r="L358" s="135"/>
      <c r="M358" s="135"/>
      <c r="N358" s="135"/>
      <c r="O358" s="135"/>
      <c r="P358" s="135"/>
      <c r="Q358" s="135"/>
    </row>
    <row r="359" customFormat="false" ht="15.75" hidden="false" customHeight="true" outlineLevel="0" collapsed="false">
      <c r="A359" s="135"/>
      <c r="B359" s="135"/>
      <c r="C359" s="135"/>
      <c r="D359" s="189"/>
      <c r="E359" s="135"/>
      <c r="F359" s="229"/>
      <c r="G359" s="229"/>
      <c r="H359" s="229"/>
      <c r="I359" s="135"/>
      <c r="J359" s="135"/>
      <c r="K359" s="135"/>
      <c r="L359" s="135"/>
      <c r="M359" s="135"/>
      <c r="N359" s="135"/>
      <c r="O359" s="135"/>
      <c r="P359" s="135"/>
      <c r="Q359" s="135"/>
    </row>
    <row r="360" customFormat="false" ht="15.75" hidden="false" customHeight="true" outlineLevel="0" collapsed="false">
      <c r="A360" s="135"/>
      <c r="B360" s="135"/>
      <c r="C360" s="135"/>
      <c r="D360" s="189"/>
      <c r="E360" s="135"/>
      <c r="F360" s="229"/>
      <c r="G360" s="229"/>
      <c r="H360" s="229"/>
      <c r="I360" s="135"/>
      <c r="J360" s="135"/>
      <c r="K360" s="135"/>
      <c r="L360" s="135"/>
      <c r="M360" s="135"/>
      <c r="N360" s="135"/>
      <c r="O360" s="135"/>
      <c r="P360" s="135"/>
      <c r="Q360" s="135"/>
    </row>
    <row r="361" customFormat="false" ht="15.75" hidden="false" customHeight="true" outlineLevel="0" collapsed="false">
      <c r="A361" s="135"/>
      <c r="B361" s="135"/>
      <c r="C361" s="135"/>
      <c r="D361" s="189"/>
      <c r="E361" s="135"/>
      <c r="F361" s="229"/>
      <c r="G361" s="229"/>
      <c r="H361" s="229"/>
      <c r="I361" s="135"/>
      <c r="J361" s="135"/>
      <c r="K361" s="135"/>
      <c r="L361" s="135"/>
      <c r="M361" s="135"/>
      <c r="N361" s="135"/>
      <c r="O361" s="135"/>
      <c r="P361" s="135"/>
      <c r="Q361" s="135"/>
    </row>
    <row r="362" customFormat="false" ht="15.75" hidden="false" customHeight="true" outlineLevel="0" collapsed="false">
      <c r="A362" s="135"/>
      <c r="B362" s="135"/>
      <c r="C362" s="135"/>
      <c r="D362" s="189"/>
      <c r="E362" s="135"/>
      <c r="F362" s="229"/>
      <c r="G362" s="229"/>
      <c r="H362" s="229"/>
      <c r="I362" s="135"/>
      <c r="J362" s="135"/>
      <c r="K362" s="135"/>
      <c r="L362" s="135"/>
      <c r="M362" s="135"/>
      <c r="N362" s="135"/>
      <c r="O362" s="135"/>
      <c r="P362" s="135"/>
      <c r="Q362" s="135"/>
    </row>
    <row r="363" customFormat="false" ht="15.75" hidden="false" customHeight="true" outlineLevel="0" collapsed="false">
      <c r="A363" s="135"/>
      <c r="B363" s="135"/>
      <c r="C363" s="135"/>
      <c r="D363" s="189"/>
      <c r="E363" s="135"/>
      <c r="F363" s="229"/>
      <c r="G363" s="229"/>
      <c r="H363" s="229"/>
      <c r="I363" s="135"/>
      <c r="J363" s="135"/>
      <c r="K363" s="135"/>
      <c r="L363" s="135"/>
      <c r="M363" s="135"/>
      <c r="N363" s="135"/>
      <c r="O363" s="135"/>
      <c r="P363" s="135"/>
      <c r="Q363" s="135"/>
    </row>
    <row r="364" customFormat="false" ht="15.75" hidden="false" customHeight="true" outlineLevel="0" collapsed="false">
      <c r="A364" s="135"/>
      <c r="B364" s="135"/>
      <c r="C364" s="135"/>
      <c r="D364" s="189"/>
      <c r="E364" s="135"/>
      <c r="F364" s="229"/>
      <c r="G364" s="229"/>
      <c r="H364" s="229"/>
      <c r="I364" s="135"/>
      <c r="J364" s="135"/>
      <c r="K364" s="135"/>
      <c r="L364" s="135"/>
      <c r="M364" s="135"/>
      <c r="N364" s="135"/>
      <c r="O364" s="135"/>
      <c r="P364" s="135"/>
      <c r="Q364" s="135"/>
    </row>
    <row r="365" customFormat="false" ht="15.75" hidden="false" customHeight="true" outlineLevel="0" collapsed="false">
      <c r="A365" s="135"/>
      <c r="B365" s="135"/>
      <c r="C365" s="135"/>
      <c r="D365" s="189"/>
      <c r="E365" s="135"/>
      <c r="F365" s="229"/>
      <c r="G365" s="229"/>
      <c r="H365" s="229"/>
      <c r="I365" s="135"/>
      <c r="J365" s="135"/>
      <c r="K365" s="135"/>
      <c r="L365" s="135"/>
      <c r="M365" s="135"/>
      <c r="N365" s="135"/>
      <c r="O365" s="135"/>
      <c r="P365" s="135"/>
      <c r="Q365" s="135"/>
    </row>
    <row r="366" customFormat="false" ht="15.75" hidden="false" customHeight="true" outlineLevel="0" collapsed="false">
      <c r="A366" s="135"/>
      <c r="B366" s="135"/>
      <c r="C366" s="135"/>
      <c r="D366" s="189"/>
      <c r="E366" s="135"/>
      <c r="F366" s="229"/>
      <c r="G366" s="229"/>
      <c r="H366" s="229"/>
      <c r="I366" s="135"/>
      <c r="J366" s="135"/>
      <c r="K366" s="135"/>
      <c r="L366" s="135"/>
      <c r="M366" s="135"/>
      <c r="N366" s="135"/>
      <c r="O366" s="135"/>
      <c r="P366" s="135"/>
      <c r="Q366" s="135"/>
    </row>
    <row r="367" customFormat="false" ht="15.75" hidden="false" customHeight="true" outlineLevel="0" collapsed="false">
      <c r="A367" s="135"/>
      <c r="B367" s="135"/>
      <c r="C367" s="135"/>
      <c r="D367" s="189"/>
      <c r="E367" s="135"/>
      <c r="F367" s="229"/>
      <c r="G367" s="229"/>
      <c r="H367" s="229"/>
      <c r="I367" s="135"/>
      <c r="J367" s="135"/>
      <c r="K367" s="135"/>
      <c r="L367" s="135"/>
      <c r="M367" s="135"/>
      <c r="N367" s="135"/>
      <c r="O367" s="135"/>
      <c r="P367" s="135"/>
      <c r="Q367" s="135"/>
    </row>
    <row r="368" customFormat="false" ht="15.75" hidden="false" customHeight="true" outlineLevel="0" collapsed="false">
      <c r="A368" s="135"/>
      <c r="B368" s="135"/>
      <c r="C368" s="135"/>
      <c r="D368" s="189"/>
      <c r="E368" s="135"/>
      <c r="F368" s="229"/>
      <c r="G368" s="229"/>
      <c r="H368" s="229"/>
      <c r="I368" s="135"/>
      <c r="J368" s="135"/>
      <c r="K368" s="135"/>
      <c r="L368" s="135"/>
      <c r="M368" s="135"/>
      <c r="N368" s="135"/>
      <c r="O368" s="135"/>
      <c r="P368" s="135"/>
      <c r="Q368" s="135"/>
    </row>
    <row r="369" customFormat="false" ht="15.75" hidden="false" customHeight="true" outlineLevel="0" collapsed="false">
      <c r="A369" s="135"/>
      <c r="B369" s="135"/>
      <c r="C369" s="135"/>
      <c r="D369" s="189"/>
      <c r="E369" s="135"/>
      <c r="F369" s="229"/>
      <c r="G369" s="229"/>
      <c r="H369" s="229"/>
      <c r="I369" s="135"/>
      <c r="J369" s="135"/>
      <c r="K369" s="135"/>
      <c r="L369" s="135"/>
      <c r="M369" s="135"/>
      <c r="N369" s="135"/>
      <c r="O369" s="135"/>
      <c r="P369" s="135"/>
      <c r="Q369" s="135"/>
    </row>
    <row r="370" customFormat="false" ht="15.75" hidden="false" customHeight="true" outlineLevel="0" collapsed="false">
      <c r="A370" s="135"/>
      <c r="B370" s="135"/>
      <c r="C370" s="135"/>
      <c r="D370" s="189"/>
      <c r="E370" s="135"/>
      <c r="F370" s="229"/>
      <c r="G370" s="229"/>
      <c r="H370" s="229"/>
      <c r="I370" s="135"/>
      <c r="J370" s="135"/>
      <c r="K370" s="135"/>
      <c r="L370" s="135"/>
      <c r="M370" s="135"/>
      <c r="N370" s="135"/>
      <c r="O370" s="135"/>
      <c r="P370" s="135"/>
      <c r="Q370" s="135"/>
    </row>
    <row r="371" customFormat="false" ht="15.75" hidden="false" customHeight="true" outlineLevel="0" collapsed="false">
      <c r="A371" s="135"/>
      <c r="B371" s="135"/>
      <c r="C371" s="135"/>
      <c r="D371" s="189"/>
      <c r="E371" s="135"/>
      <c r="F371" s="229"/>
      <c r="G371" s="229"/>
      <c r="H371" s="229"/>
      <c r="I371" s="135"/>
      <c r="J371" s="135"/>
      <c r="K371" s="135"/>
      <c r="L371" s="135"/>
      <c r="M371" s="135"/>
      <c r="N371" s="135"/>
      <c r="O371" s="135"/>
      <c r="P371" s="135"/>
      <c r="Q371" s="135"/>
    </row>
    <row r="372" customFormat="false" ht="15.75" hidden="false" customHeight="true" outlineLevel="0" collapsed="false">
      <c r="A372" s="135"/>
      <c r="B372" s="135"/>
      <c r="C372" s="135"/>
      <c r="D372" s="189"/>
      <c r="E372" s="135"/>
      <c r="F372" s="229"/>
      <c r="G372" s="229"/>
      <c r="H372" s="229"/>
      <c r="I372" s="135"/>
      <c r="J372" s="135"/>
      <c r="K372" s="135"/>
      <c r="L372" s="135"/>
      <c r="M372" s="135"/>
      <c r="N372" s="135"/>
      <c r="O372" s="135"/>
      <c r="P372" s="135"/>
      <c r="Q372" s="135"/>
    </row>
    <row r="373" customFormat="false" ht="15.75" hidden="false" customHeight="true" outlineLevel="0" collapsed="false">
      <c r="A373" s="135"/>
      <c r="B373" s="135"/>
      <c r="C373" s="135"/>
      <c r="D373" s="189"/>
      <c r="E373" s="135"/>
      <c r="F373" s="229"/>
      <c r="G373" s="229"/>
      <c r="H373" s="229"/>
      <c r="I373" s="135"/>
      <c r="J373" s="135"/>
      <c r="K373" s="135"/>
      <c r="L373" s="135"/>
      <c r="M373" s="135"/>
      <c r="N373" s="135"/>
      <c r="O373" s="135"/>
      <c r="P373" s="135"/>
      <c r="Q373" s="135"/>
    </row>
    <row r="374" customFormat="false" ht="15.75" hidden="false" customHeight="true" outlineLevel="0" collapsed="false">
      <c r="A374" s="135"/>
      <c r="B374" s="135"/>
      <c r="C374" s="135"/>
      <c r="D374" s="189"/>
      <c r="E374" s="135"/>
      <c r="F374" s="229"/>
      <c r="G374" s="229"/>
      <c r="H374" s="229"/>
      <c r="I374" s="135"/>
      <c r="J374" s="135"/>
      <c r="K374" s="135"/>
      <c r="L374" s="135"/>
      <c r="M374" s="135"/>
      <c r="N374" s="135"/>
      <c r="O374" s="135"/>
      <c r="P374" s="135"/>
      <c r="Q374" s="135"/>
    </row>
    <row r="375" customFormat="false" ht="15.75" hidden="false" customHeight="true" outlineLevel="0" collapsed="false">
      <c r="A375" s="135"/>
      <c r="B375" s="135"/>
      <c r="C375" s="135"/>
      <c r="D375" s="189"/>
      <c r="E375" s="135"/>
      <c r="F375" s="229"/>
      <c r="G375" s="229"/>
      <c r="H375" s="229"/>
      <c r="I375" s="135"/>
      <c r="J375" s="135"/>
      <c r="K375" s="135"/>
      <c r="L375" s="135"/>
      <c r="M375" s="135"/>
      <c r="N375" s="135"/>
      <c r="O375" s="135"/>
      <c r="P375" s="135"/>
      <c r="Q375" s="135"/>
    </row>
    <row r="376" customFormat="false" ht="15.75" hidden="false" customHeight="true" outlineLevel="0" collapsed="false">
      <c r="A376" s="135"/>
      <c r="B376" s="135"/>
      <c r="C376" s="135"/>
      <c r="D376" s="189"/>
      <c r="E376" s="135"/>
      <c r="F376" s="229"/>
      <c r="G376" s="229"/>
      <c r="H376" s="229"/>
      <c r="I376" s="135"/>
      <c r="J376" s="135"/>
      <c r="K376" s="135"/>
      <c r="L376" s="135"/>
      <c r="M376" s="135"/>
      <c r="N376" s="135"/>
      <c r="O376" s="135"/>
      <c r="P376" s="135"/>
      <c r="Q376" s="135"/>
    </row>
    <row r="377" customFormat="false" ht="15.75" hidden="false" customHeight="true" outlineLevel="0" collapsed="false">
      <c r="A377" s="135"/>
      <c r="B377" s="135"/>
      <c r="C377" s="135"/>
      <c r="D377" s="189"/>
      <c r="E377" s="135"/>
      <c r="F377" s="229"/>
      <c r="G377" s="229"/>
      <c r="H377" s="229"/>
      <c r="I377" s="135"/>
      <c r="J377" s="135"/>
      <c r="K377" s="135"/>
      <c r="L377" s="135"/>
      <c r="M377" s="135"/>
      <c r="N377" s="135"/>
      <c r="O377" s="135"/>
      <c r="P377" s="135"/>
      <c r="Q377" s="135"/>
    </row>
    <row r="378" customFormat="false" ht="15.75" hidden="false" customHeight="true" outlineLevel="0" collapsed="false">
      <c r="A378" s="135"/>
      <c r="B378" s="135"/>
      <c r="C378" s="135"/>
      <c r="D378" s="189"/>
      <c r="E378" s="135"/>
      <c r="F378" s="229"/>
      <c r="G378" s="229"/>
      <c r="H378" s="229"/>
      <c r="I378" s="135"/>
      <c r="J378" s="135"/>
      <c r="K378" s="135"/>
      <c r="L378" s="135"/>
      <c r="M378" s="135"/>
      <c r="N378" s="135"/>
      <c r="O378" s="135"/>
      <c r="P378" s="135"/>
      <c r="Q378" s="135"/>
    </row>
    <row r="379" customFormat="false" ht="15.75" hidden="false" customHeight="true" outlineLevel="0" collapsed="false">
      <c r="A379" s="135"/>
      <c r="B379" s="135"/>
      <c r="C379" s="135"/>
      <c r="D379" s="189"/>
      <c r="E379" s="135"/>
      <c r="F379" s="229"/>
      <c r="G379" s="229"/>
      <c r="H379" s="229"/>
      <c r="I379" s="135"/>
      <c r="J379" s="135"/>
      <c r="K379" s="135"/>
      <c r="L379" s="135"/>
      <c r="M379" s="135"/>
      <c r="N379" s="135"/>
      <c r="O379" s="135"/>
      <c r="P379" s="135"/>
      <c r="Q379" s="135"/>
    </row>
    <row r="380" customFormat="false" ht="15.75" hidden="false" customHeight="true" outlineLevel="0" collapsed="false">
      <c r="A380" s="135"/>
      <c r="B380" s="135"/>
      <c r="C380" s="135"/>
      <c r="D380" s="189"/>
      <c r="E380" s="135"/>
      <c r="F380" s="229"/>
      <c r="G380" s="229"/>
      <c r="H380" s="229"/>
      <c r="I380" s="135"/>
      <c r="J380" s="135"/>
      <c r="K380" s="135"/>
      <c r="L380" s="135"/>
      <c r="M380" s="135"/>
      <c r="N380" s="135"/>
      <c r="O380" s="135"/>
      <c r="P380" s="135"/>
      <c r="Q380" s="135"/>
    </row>
    <row r="381" customFormat="false" ht="15.75" hidden="false" customHeight="true" outlineLevel="0" collapsed="false">
      <c r="A381" s="135"/>
      <c r="B381" s="135"/>
      <c r="C381" s="135"/>
      <c r="D381" s="189"/>
      <c r="E381" s="135"/>
      <c r="F381" s="229"/>
      <c r="G381" s="229"/>
      <c r="H381" s="229"/>
      <c r="I381" s="135"/>
      <c r="J381" s="135"/>
      <c r="K381" s="135"/>
      <c r="L381" s="135"/>
      <c r="M381" s="135"/>
      <c r="N381" s="135"/>
      <c r="O381" s="135"/>
      <c r="P381" s="135"/>
      <c r="Q381" s="135"/>
    </row>
    <row r="382" customFormat="false" ht="15.75" hidden="false" customHeight="true" outlineLevel="0" collapsed="false">
      <c r="A382" s="135"/>
      <c r="B382" s="135"/>
      <c r="C382" s="135"/>
      <c r="D382" s="189"/>
      <c r="E382" s="135"/>
      <c r="F382" s="229"/>
      <c r="G382" s="229"/>
      <c r="H382" s="229"/>
      <c r="I382" s="135"/>
      <c r="J382" s="135"/>
      <c r="K382" s="135"/>
      <c r="L382" s="135"/>
      <c r="M382" s="135"/>
      <c r="N382" s="135"/>
      <c r="O382" s="135"/>
      <c r="P382" s="135"/>
      <c r="Q382" s="135"/>
    </row>
    <row r="383" customFormat="false" ht="15.75" hidden="false" customHeight="true" outlineLevel="0" collapsed="false">
      <c r="A383" s="135"/>
      <c r="B383" s="135"/>
      <c r="C383" s="135"/>
      <c r="D383" s="189"/>
      <c r="E383" s="135"/>
      <c r="F383" s="229"/>
      <c r="G383" s="229"/>
      <c r="H383" s="229"/>
      <c r="I383" s="135"/>
      <c r="J383" s="135"/>
      <c r="K383" s="135"/>
      <c r="L383" s="135"/>
      <c r="M383" s="135"/>
      <c r="N383" s="135"/>
      <c r="O383" s="135"/>
      <c r="P383" s="135"/>
      <c r="Q383" s="135"/>
    </row>
    <row r="384" customFormat="false" ht="15.75" hidden="false" customHeight="true" outlineLevel="0" collapsed="false">
      <c r="A384" s="135"/>
      <c r="B384" s="135"/>
      <c r="C384" s="135"/>
      <c r="D384" s="189"/>
      <c r="E384" s="135"/>
      <c r="F384" s="229"/>
      <c r="G384" s="229"/>
      <c r="H384" s="229"/>
      <c r="I384" s="135"/>
      <c r="J384" s="135"/>
      <c r="K384" s="135"/>
      <c r="L384" s="135"/>
      <c r="M384" s="135"/>
      <c r="N384" s="135"/>
      <c r="O384" s="135"/>
      <c r="P384" s="135"/>
      <c r="Q384" s="135"/>
    </row>
    <row r="385" customFormat="false" ht="15.75" hidden="false" customHeight="true" outlineLevel="0" collapsed="false">
      <c r="A385" s="135"/>
      <c r="B385" s="135"/>
      <c r="C385" s="135"/>
      <c r="D385" s="189"/>
      <c r="E385" s="135"/>
      <c r="F385" s="229"/>
      <c r="G385" s="229"/>
      <c r="H385" s="229"/>
      <c r="I385" s="135"/>
      <c r="J385" s="135"/>
      <c r="K385" s="135"/>
      <c r="L385" s="135"/>
      <c r="M385" s="135"/>
      <c r="N385" s="135"/>
      <c r="O385" s="135"/>
      <c r="P385" s="135"/>
      <c r="Q385" s="135"/>
    </row>
    <row r="386" customFormat="false" ht="15.75" hidden="false" customHeight="true" outlineLevel="0" collapsed="false">
      <c r="A386" s="135"/>
      <c r="B386" s="135"/>
      <c r="C386" s="135"/>
      <c r="D386" s="189"/>
      <c r="E386" s="135"/>
      <c r="F386" s="229"/>
      <c r="G386" s="229"/>
      <c r="H386" s="229"/>
      <c r="I386" s="135"/>
      <c r="J386" s="135"/>
      <c r="K386" s="135"/>
      <c r="L386" s="135"/>
      <c r="M386" s="135"/>
      <c r="N386" s="135"/>
      <c r="O386" s="135"/>
      <c r="P386" s="135"/>
      <c r="Q386" s="135"/>
    </row>
    <row r="387" customFormat="false" ht="15.75" hidden="false" customHeight="true" outlineLevel="0" collapsed="false">
      <c r="A387" s="135"/>
      <c r="B387" s="135"/>
      <c r="C387" s="135"/>
      <c r="D387" s="189"/>
      <c r="E387" s="135"/>
      <c r="F387" s="229"/>
      <c r="G387" s="229"/>
      <c r="H387" s="229"/>
      <c r="I387" s="135"/>
      <c r="J387" s="135"/>
      <c r="K387" s="135"/>
      <c r="L387" s="135"/>
      <c r="M387" s="135"/>
      <c r="N387" s="135"/>
      <c r="O387" s="135"/>
      <c r="P387" s="135"/>
      <c r="Q387" s="135"/>
    </row>
    <row r="388" customFormat="false" ht="15.75" hidden="false" customHeight="true" outlineLevel="0" collapsed="false">
      <c r="A388" s="135"/>
      <c r="B388" s="135"/>
      <c r="C388" s="135"/>
      <c r="D388" s="189"/>
      <c r="E388" s="135"/>
      <c r="F388" s="229"/>
      <c r="G388" s="229"/>
      <c r="H388" s="229"/>
      <c r="I388" s="135"/>
      <c r="J388" s="135"/>
      <c r="K388" s="135"/>
      <c r="L388" s="135"/>
      <c r="M388" s="135"/>
      <c r="N388" s="135"/>
      <c r="O388" s="135"/>
      <c r="P388" s="135"/>
      <c r="Q388" s="135"/>
    </row>
    <row r="389" customFormat="false" ht="15.75" hidden="false" customHeight="true" outlineLevel="0" collapsed="false">
      <c r="A389" s="135"/>
      <c r="B389" s="135"/>
      <c r="C389" s="135"/>
      <c r="D389" s="189"/>
      <c r="E389" s="135"/>
      <c r="F389" s="229"/>
      <c r="G389" s="229"/>
      <c r="H389" s="229"/>
      <c r="I389" s="135"/>
      <c r="J389" s="135"/>
      <c r="K389" s="135"/>
      <c r="L389" s="135"/>
      <c r="M389" s="135"/>
      <c r="N389" s="135"/>
      <c r="O389" s="135"/>
      <c r="P389" s="135"/>
      <c r="Q389" s="135"/>
    </row>
    <row r="390" customFormat="false" ht="15.75" hidden="false" customHeight="true" outlineLevel="0" collapsed="false">
      <c r="A390" s="135"/>
      <c r="B390" s="135"/>
      <c r="C390" s="135"/>
      <c r="D390" s="189"/>
      <c r="E390" s="135"/>
      <c r="F390" s="229"/>
      <c r="G390" s="229"/>
      <c r="H390" s="229"/>
      <c r="I390" s="135"/>
      <c r="J390" s="135"/>
      <c r="K390" s="135"/>
      <c r="L390" s="135"/>
      <c r="M390" s="135"/>
      <c r="N390" s="135"/>
      <c r="O390" s="135"/>
      <c r="P390" s="135"/>
      <c r="Q390" s="135"/>
    </row>
    <row r="391" customFormat="false" ht="15.75" hidden="false" customHeight="true" outlineLevel="0" collapsed="false">
      <c r="A391" s="135"/>
      <c r="B391" s="135"/>
      <c r="C391" s="135"/>
      <c r="D391" s="189"/>
      <c r="E391" s="135"/>
      <c r="F391" s="229"/>
      <c r="G391" s="229"/>
      <c r="H391" s="229"/>
      <c r="I391" s="135"/>
      <c r="J391" s="135"/>
      <c r="K391" s="135"/>
      <c r="L391" s="135"/>
      <c r="M391" s="135"/>
      <c r="N391" s="135"/>
      <c r="O391" s="135"/>
      <c r="P391" s="135"/>
      <c r="Q391" s="135"/>
    </row>
    <row r="392" customFormat="false" ht="15.75" hidden="false" customHeight="true" outlineLevel="0" collapsed="false">
      <c r="A392" s="135"/>
      <c r="B392" s="135"/>
      <c r="C392" s="135"/>
      <c r="D392" s="189"/>
      <c r="E392" s="135"/>
      <c r="F392" s="229"/>
      <c r="G392" s="229"/>
      <c r="H392" s="229"/>
      <c r="I392" s="135"/>
      <c r="J392" s="135"/>
      <c r="K392" s="135"/>
      <c r="L392" s="135"/>
      <c r="M392" s="135"/>
      <c r="N392" s="135"/>
      <c r="O392" s="135"/>
      <c r="P392" s="135"/>
      <c r="Q392" s="135"/>
    </row>
    <row r="393" customFormat="false" ht="15.75" hidden="false" customHeight="true" outlineLevel="0" collapsed="false">
      <c r="A393" s="135"/>
      <c r="B393" s="135"/>
      <c r="C393" s="135"/>
      <c r="D393" s="189"/>
      <c r="E393" s="135"/>
      <c r="F393" s="229"/>
      <c r="G393" s="229"/>
      <c r="H393" s="229"/>
      <c r="I393" s="135"/>
      <c r="J393" s="135"/>
      <c r="K393" s="135"/>
      <c r="L393" s="135"/>
      <c r="M393" s="135"/>
      <c r="N393" s="135"/>
      <c r="O393" s="135"/>
      <c r="P393" s="135"/>
      <c r="Q393" s="135"/>
    </row>
    <row r="394" customFormat="false" ht="15.75" hidden="false" customHeight="true" outlineLevel="0" collapsed="false">
      <c r="A394" s="135"/>
      <c r="B394" s="135"/>
      <c r="C394" s="135"/>
      <c r="D394" s="189"/>
      <c r="E394" s="135"/>
      <c r="F394" s="229"/>
      <c r="G394" s="229"/>
      <c r="H394" s="229"/>
      <c r="I394" s="135"/>
      <c r="J394" s="135"/>
      <c r="K394" s="135"/>
      <c r="L394" s="135"/>
      <c r="M394" s="135"/>
      <c r="N394" s="135"/>
      <c r="O394" s="135"/>
      <c r="P394" s="135"/>
      <c r="Q394" s="135"/>
    </row>
    <row r="395" customFormat="false" ht="15.75" hidden="false" customHeight="true" outlineLevel="0" collapsed="false">
      <c r="A395" s="135"/>
      <c r="B395" s="135"/>
      <c r="C395" s="135"/>
      <c r="D395" s="189"/>
      <c r="E395" s="135"/>
      <c r="F395" s="229"/>
      <c r="G395" s="229"/>
      <c r="H395" s="229"/>
      <c r="I395" s="135"/>
      <c r="J395" s="135"/>
      <c r="K395" s="135"/>
      <c r="L395" s="135"/>
      <c r="M395" s="135"/>
      <c r="N395" s="135"/>
      <c r="O395" s="135"/>
      <c r="P395" s="135"/>
      <c r="Q395" s="135"/>
    </row>
    <row r="396" customFormat="false" ht="15.75" hidden="false" customHeight="true" outlineLevel="0" collapsed="false">
      <c r="A396" s="135"/>
      <c r="B396" s="135"/>
      <c r="C396" s="135"/>
      <c r="D396" s="189"/>
      <c r="E396" s="135"/>
      <c r="F396" s="229"/>
      <c r="G396" s="229"/>
      <c r="H396" s="229"/>
      <c r="I396" s="135"/>
      <c r="J396" s="135"/>
      <c r="K396" s="135"/>
      <c r="L396" s="135"/>
      <c r="M396" s="135"/>
      <c r="N396" s="135"/>
      <c r="O396" s="135"/>
      <c r="P396" s="135"/>
      <c r="Q396" s="135"/>
    </row>
    <row r="397" customFormat="false" ht="15.75" hidden="false" customHeight="true" outlineLevel="0" collapsed="false">
      <c r="A397" s="135"/>
      <c r="B397" s="135"/>
      <c r="C397" s="135"/>
      <c r="D397" s="189"/>
      <c r="E397" s="135"/>
      <c r="F397" s="229"/>
      <c r="G397" s="229"/>
      <c r="H397" s="229"/>
      <c r="I397" s="135"/>
      <c r="J397" s="135"/>
      <c r="K397" s="135"/>
      <c r="L397" s="135"/>
      <c r="M397" s="135"/>
      <c r="N397" s="135"/>
      <c r="O397" s="135"/>
      <c r="P397" s="135"/>
      <c r="Q397" s="135"/>
    </row>
    <row r="398" customFormat="false" ht="15.75" hidden="false" customHeight="true" outlineLevel="0" collapsed="false">
      <c r="A398" s="135"/>
      <c r="B398" s="135"/>
      <c r="C398" s="135"/>
      <c r="D398" s="189"/>
      <c r="E398" s="135"/>
      <c r="F398" s="229"/>
      <c r="G398" s="229"/>
      <c r="H398" s="229"/>
      <c r="I398" s="135"/>
      <c r="J398" s="135"/>
      <c r="K398" s="135"/>
      <c r="L398" s="135"/>
      <c r="M398" s="135"/>
      <c r="N398" s="135"/>
      <c r="O398" s="135"/>
      <c r="P398" s="135"/>
      <c r="Q398" s="135"/>
    </row>
    <row r="399" customFormat="false" ht="15.75" hidden="false" customHeight="true" outlineLevel="0" collapsed="false">
      <c r="A399" s="135"/>
      <c r="B399" s="135"/>
      <c r="C399" s="135"/>
      <c r="D399" s="189"/>
      <c r="E399" s="135"/>
      <c r="F399" s="229"/>
      <c r="G399" s="229"/>
      <c r="H399" s="229"/>
      <c r="I399" s="135"/>
      <c r="J399" s="135"/>
      <c r="K399" s="135"/>
      <c r="L399" s="135"/>
      <c r="M399" s="135"/>
      <c r="N399" s="135"/>
      <c r="O399" s="135"/>
      <c r="P399" s="135"/>
      <c r="Q399" s="135"/>
    </row>
    <row r="400" customFormat="false" ht="15.75" hidden="false" customHeight="true" outlineLevel="0" collapsed="false">
      <c r="A400" s="135"/>
      <c r="B400" s="135"/>
      <c r="C400" s="135"/>
      <c r="D400" s="189"/>
      <c r="E400" s="135"/>
      <c r="F400" s="229"/>
      <c r="G400" s="229"/>
      <c r="H400" s="229"/>
      <c r="I400" s="135"/>
      <c r="J400" s="135"/>
      <c r="K400" s="135"/>
      <c r="L400" s="135"/>
      <c r="M400" s="135"/>
      <c r="N400" s="135"/>
      <c r="O400" s="135"/>
      <c r="P400" s="135"/>
      <c r="Q400" s="135"/>
    </row>
    <row r="401" customFormat="false" ht="15.75" hidden="false" customHeight="true" outlineLevel="0" collapsed="false">
      <c r="A401" s="135"/>
      <c r="B401" s="135"/>
      <c r="C401" s="135"/>
      <c r="D401" s="189"/>
      <c r="E401" s="135"/>
      <c r="F401" s="229"/>
      <c r="G401" s="229"/>
      <c r="H401" s="229"/>
      <c r="I401" s="135"/>
      <c r="J401" s="135"/>
      <c r="K401" s="135"/>
      <c r="L401" s="135"/>
      <c r="M401" s="135"/>
      <c r="N401" s="135"/>
      <c r="O401" s="135"/>
      <c r="P401" s="135"/>
      <c r="Q401" s="135"/>
    </row>
    <row r="402" customFormat="false" ht="15.75" hidden="false" customHeight="true" outlineLevel="0" collapsed="false">
      <c r="A402" s="135"/>
      <c r="B402" s="135"/>
      <c r="C402" s="135"/>
      <c r="D402" s="189"/>
      <c r="E402" s="135"/>
      <c r="F402" s="229"/>
      <c r="G402" s="229"/>
      <c r="H402" s="229"/>
      <c r="I402" s="135"/>
      <c r="J402" s="135"/>
      <c r="K402" s="135"/>
      <c r="L402" s="135"/>
      <c r="M402" s="135"/>
      <c r="N402" s="135"/>
      <c r="O402" s="135"/>
      <c r="P402" s="135"/>
      <c r="Q402" s="135"/>
    </row>
    <row r="403" customFormat="false" ht="15.75" hidden="false" customHeight="true" outlineLevel="0" collapsed="false">
      <c r="A403" s="135"/>
      <c r="B403" s="135"/>
      <c r="C403" s="135"/>
      <c r="D403" s="189"/>
      <c r="E403" s="135"/>
      <c r="F403" s="229"/>
      <c r="G403" s="229"/>
      <c r="H403" s="229"/>
      <c r="I403" s="135"/>
      <c r="J403" s="135"/>
      <c r="K403" s="135"/>
      <c r="L403" s="135"/>
      <c r="M403" s="135"/>
      <c r="N403" s="135"/>
      <c r="O403" s="135"/>
      <c r="P403" s="135"/>
      <c r="Q403" s="135"/>
    </row>
    <row r="404" customFormat="false" ht="15.75" hidden="false" customHeight="true" outlineLevel="0" collapsed="false">
      <c r="A404" s="135"/>
      <c r="B404" s="135"/>
      <c r="C404" s="135"/>
      <c r="D404" s="189"/>
      <c r="E404" s="135"/>
      <c r="F404" s="229"/>
      <c r="G404" s="229"/>
      <c r="H404" s="229"/>
      <c r="I404" s="135"/>
      <c r="J404" s="135"/>
      <c r="K404" s="135"/>
      <c r="L404" s="135"/>
      <c r="M404" s="135"/>
      <c r="N404" s="135"/>
      <c r="O404" s="135"/>
      <c r="P404" s="135"/>
      <c r="Q404" s="135"/>
    </row>
    <row r="405" customFormat="false" ht="15.75" hidden="false" customHeight="true" outlineLevel="0" collapsed="false">
      <c r="A405" s="135"/>
      <c r="B405" s="135"/>
      <c r="C405" s="135"/>
      <c r="D405" s="189"/>
      <c r="E405" s="135"/>
      <c r="F405" s="229"/>
      <c r="G405" s="229"/>
      <c r="H405" s="229"/>
      <c r="I405" s="135"/>
      <c r="J405" s="135"/>
      <c r="K405" s="135"/>
      <c r="L405" s="135"/>
      <c r="M405" s="135"/>
      <c r="N405" s="135"/>
      <c r="O405" s="135"/>
      <c r="P405" s="135"/>
      <c r="Q405" s="135"/>
    </row>
    <row r="406" customFormat="false" ht="15.75" hidden="false" customHeight="true" outlineLevel="0" collapsed="false">
      <c r="A406" s="135"/>
      <c r="B406" s="135"/>
      <c r="C406" s="135"/>
      <c r="D406" s="189"/>
      <c r="E406" s="135"/>
      <c r="F406" s="229"/>
      <c r="G406" s="229"/>
      <c r="H406" s="229"/>
      <c r="I406" s="135"/>
      <c r="J406" s="135"/>
      <c r="K406" s="135"/>
      <c r="L406" s="135"/>
      <c r="M406" s="135"/>
      <c r="N406" s="135"/>
      <c r="O406" s="135"/>
      <c r="P406" s="135"/>
      <c r="Q406" s="135"/>
    </row>
    <row r="407" customFormat="false" ht="15.75" hidden="false" customHeight="true" outlineLevel="0" collapsed="false">
      <c r="A407" s="135"/>
      <c r="B407" s="135"/>
      <c r="C407" s="135"/>
      <c r="D407" s="189"/>
      <c r="E407" s="135"/>
      <c r="F407" s="229"/>
      <c r="G407" s="229"/>
      <c r="H407" s="229"/>
      <c r="I407" s="135"/>
      <c r="J407" s="135"/>
      <c r="K407" s="135"/>
      <c r="L407" s="135"/>
      <c r="M407" s="135"/>
      <c r="N407" s="135"/>
      <c r="O407" s="135"/>
      <c r="P407" s="135"/>
      <c r="Q407" s="135"/>
    </row>
    <row r="408" customFormat="false" ht="15.75" hidden="false" customHeight="true" outlineLevel="0" collapsed="false">
      <c r="A408" s="135"/>
      <c r="B408" s="135"/>
      <c r="C408" s="135"/>
      <c r="D408" s="189"/>
      <c r="E408" s="135"/>
      <c r="F408" s="229"/>
      <c r="G408" s="229"/>
      <c r="H408" s="229"/>
      <c r="I408" s="135"/>
      <c r="J408" s="135"/>
      <c r="K408" s="135"/>
      <c r="L408" s="135"/>
      <c r="M408" s="135"/>
      <c r="N408" s="135"/>
      <c r="O408" s="135"/>
      <c r="P408" s="135"/>
      <c r="Q408" s="135"/>
    </row>
    <row r="409" customFormat="false" ht="15.75" hidden="false" customHeight="true" outlineLevel="0" collapsed="false">
      <c r="A409" s="135"/>
      <c r="B409" s="135"/>
      <c r="C409" s="135"/>
      <c r="D409" s="189"/>
      <c r="E409" s="135"/>
      <c r="F409" s="229"/>
      <c r="G409" s="229"/>
      <c r="H409" s="229"/>
      <c r="I409" s="135"/>
      <c r="J409" s="135"/>
      <c r="K409" s="135"/>
      <c r="L409" s="135"/>
      <c r="M409" s="135"/>
      <c r="N409" s="135"/>
      <c r="O409" s="135"/>
      <c r="P409" s="135"/>
      <c r="Q409" s="135"/>
    </row>
    <row r="410" customFormat="false" ht="15.75" hidden="false" customHeight="true" outlineLevel="0" collapsed="false">
      <c r="A410" s="135"/>
      <c r="B410" s="135"/>
      <c r="C410" s="135"/>
      <c r="D410" s="189"/>
      <c r="E410" s="135"/>
      <c r="F410" s="229"/>
      <c r="G410" s="229"/>
      <c r="H410" s="229"/>
      <c r="I410" s="135"/>
      <c r="J410" s="135"/>
      <c r="K410" s="135"/>
      <c r="L410" s="135"/>
      <c r="M410" s="135"/>
      <c r="N410" s="135"/>
      <c r="O410" s="135"/>
      <c r="P410" s="135"/>
      <c r="Q410" s="135"/>
    </row>
    <row r="411" customFormat="false" ht="15.75" hidden="false" customHeight="true" outlineLevel="0" collapsed="false">
      <c r="A411" s="135"/>
      <c r="B411" s="135"/>
      <c r="C411" s="135"/>
      <c r="D411" s="189"/>
      <c r="E411" s="135"/>
      <c r="F411" s="229"/>
      <c r="G411" s="229"/>
      <c r="H411" s="229"/>
      <c r="I411" s="135"/>
      <c r="J411" s="135"/>
      <c r="K411" s="135"/>
      <c r="L411" s="135"/>
      <c r="M411" s="135"/>
      <c r="N411" s="135"/>
      <c r="O411" s="135"/>
      <c r="P411" s="135"/>
      <c r="Q411" s="135"/>
    </row>
    <row r="412" customFormat="false" ht="15.75" hidden="false" customHeight="true" outlineLevel="0" collapsed="false">
      <c r="A412" s="135"/>
      <c r="B412" s="135"/>
      <c r="C412" s="135"/>
      <c r="D412" s="189"/>
      <c r="E412" s="135"/>
      <c r="F412" s="229"/>
      <c r="G412" s="229"/>
      <c r="H412" s="229"/>
      <c r="I412" s="135"/>
      <c r="J412" s="135"/>
      <c r="K412" s="135"/>
      <c r="L412" s="135"/>
      <c r="M412" s="135"/>
      <c r="N412" s="135"/>
      <c r="O412" s="135"/>
      <c r="P412" s="135"/>
      <c r="Q412" s="135"/>
    </row>
    <row r="413" customFormat="false" ht="15.75" hidden="false" customHeight="true" outlineLevel="0" collapsed="false">
      <c r="A413" s="135"/>
      <c r="B413" s="135"/>
      <c r="C413" s="135"/>
      <c r="D413" s="189"/>
      <c r="E413" s="135"/>
      <c r="F413" s="229"/>
      <c r="G413" s="229"/>
      <c r="H413" s="229"/>
      <c r="I413" s="135"/>
      <c r="J413" s="135"/>
      <c r="K413" s="135"/>
      <c r="L413" s="135"/>
      <c r="M413" s="135"/>
      <c r="N413" s="135"/>
      <c r="O413" s="135"/>
      <c r="P413" s="135"/>
      <c r="Q413" s="135"/>
    </row>
    <row r="414" customFormat="false" ht="15.75" hidden="false" customHeight="true" outlineLevel="0" collapsed="false">
      <c r="A414" s="135"/>
      <c r="B414" s="135"/>
      <c r="C414" s="135"/>
      <c r="D414" s="189"/>
      <c r="E414" s="135"/>
      <c r="F414" s="229"/>
      <c r="G414" s="229"/>
      <c r="H414" s="229"/>
      <c r="I414" s="135"/>
      <c r="J414" s="135"/>
      <c r="K414" s="135"/>
      <c r="L414" s="135"/>
      <c r="M414" s="135"/>
      <c r="N414" s="135"/>
      <c r="O414" s="135"/>
      <c r="P414" s="135"/>
      <c r="Q414" s="135"/>
    </row>
    <row r="415" customFormat="false" ht="15.75" hidden="false" customHeight="true" outlineLevel="0" collapsed="false">
      <c r="A415" s="135"/>
      <c r="B415" s="135"/>
      <c r="C415" s="135"/>
      <c r="D415" s="189"/>
      <c r="E415" s="135"/>
      <c r="F415" s="229"/>
      <c r="G415" s="229"/>
      <c r="H415" s="229"/>
      <c r="I415" s="135"/>
      <c r="J415" s="135"/>
      <c r="K415" s="135"/>
      <c r="L415" s="135"/>
      <c r="M415" s="135"/>
      <c r="N415" s="135"/>
      <c r="O415" s="135"/>
      <c r="P415" s="135"/>
      <c r="Q415" s="135"/>
    </row>
    <row r="416" customFormat="false" ht="15.75" hidden="false" customHeight="true" outlineLevel="0" collapsed="false">
      <c r="A416" s="135"/>
      <c r="B416" s="135"/>
      <c r="C416" s="135"/>
      <c r="D416" s="189"/>
      <c r="E416" s="135"/>
      <c r="F416" s="229"/>
      <c r="G416" s="229"/>
      <c r="H416" s="229"/>
      <c r="I416" s="135"/>
      <c r="J416" s="135"/>
      <c r="K416" s="135"/>
      <c r="L416" s="135"/>
      <c r="M416" s="135"/>
      <c r="N416" s="135"/>
      <c r="O416" s="135"/>
      <c r="P416" s="135"/>
      <c r="Q416" s="135"/>
    </row>
    <row r="417" customFormat="false" ht="15.75" hidden="false" customHeight="true" outlineLevel="0" collapsed="false">
      <c r="A417" s="135"/>
      <c r="B417" s="135"/>
      <c r="C417" s="135"/>
      <c r="D417" s="189"/>
      <c r="E417" s="135"/>
      <c r="F417" s="229"/>
      <c r="G417" s="229"/>
      <c r="H417" s="229"/>
      <c r="I417" s="135"/>
      <c r="J417" s="135"/>
      <c r="K417" s="135"/>
      <c r="L417" s="135"/>
      <c r="M417" s="135"/>
      <c r="N417" s="135"/>
      <c r="O417" s="135"/>
      <c r="P417" s="135"/>
      <c r="Q417" s="135"/>
    </row>
    <row r="418" customFormat="false" ht="15.75" hidden="false" customHeight="true" outlineLevel="0" collapsed="false">
      <c r="A418" s="135"/>
      <c r="B418" s="135"/>
      <c r="C418" s="135"/>
      <c r="D418" s="189"/>
      <c r="E418" s="135"/>
      <c r="F418" s="229"/>
      <c r="G418" s="229"/>
      <c r="H418" s="229"/>
      <c r="I418" s="135"/>
      <c r="J418" s="135"/>
      <c r="K418" s="135"/>
      <c r="L418" s="135"/>
      <c r="M418" s="135"/>
      <c r="N418" s="135"/>
      <c r="O418" s="135"/>
      <c r="P418" s="135"/>
      <c r="Q418" s="135"/>
    </row>
    <row r="419" customFormat="false" ht="15.75" hidden="false" customHeight="true" outlineLevel="0" collapsed="false">
      <c r="A419" s="135"/>
      <c r="B419" s="135"/>
      <c r="C419" s="135"/>
      <c r="D419" s="189"/>
      <c r="E419" s="135"/>
      <c r="F419" s="229"/>
      <c r="G419" s="229"/>
      <c r="H419" s="229"/>
      <c r="I419" s="135"/>
      <c r="J419" s="135"/>
      <c r="K419" s="135"/>
      <c r="L419" s="135"/>
      <c r="M419" s="135"/>
      <c r="N419" s="135"/>
      <c r="O419" s="135"/>
      <c r="P419" s="135"/>
      <c r="Q419" s="135"/>
    </row>
    <row r="420" customFormat="false" ht="15.75" hidden="false" customHeight="true" outlineLevel="0" collapsed="false">
      <c r="A420" s="135"/>
      <c r="B420" s="135"/>
      <c r="C420" s="135"/>
      <c r="D420" s="189"/>
      <c r="E420" s="135"/>
      <c r="F420" s="229"/>
      <c r="G420" s="229"/>
      <c r="H420" s="229"/>
      <c r="I420" s="135"/>
      <c r="J420" s="135"/>
      <c r="K420" s="135"/>
      <c r="L420" s="135"/>
      <c r="M420" s="135"/>
      <c r="N420" s="135"/>
      <c r="O420" s="135"/>
      <c r="P420" s="135"/>
      <c r="Q420" s="135"/>
    </row>
    <row r="421" customFormat="false" ht="15.75" hidden="false" customHeight="true" outlineLevel="0" collapsed="false">
      <c r="A421" s="135"/>
      <c r="B421" s="135"/>
      <c r="C421" s="135"/>
      <c r="D421" s="189"/>
      <c r="E421" s="135"/>
      <c r="F421" s="229"/>
      <c r="G421" s="229"/>
      <c r="H421" s="229"/>
      <c r="I421" s="135"/>
      <c r="J421" s="135"/>
      <c r="K421" s="135"/>
      <c r="L421" s="135"/>
      <c r="M421" s="135"/>
      <c r="N421" s="135"/>
      <c r="O421" s="135"/>
      <c r="P421" s="135"/>
      <c r="Q421" s="135"/>
    </row>
    <row r="422" customFormat="false" ht="15.75" hidden="false" customHeight="true" outlineLevel="0" collapsed="false">
      <c r="A422" s="135"/>
      <c r="B422" s="135"/>
      <c r="C422" s="135"/>
      <c r="D422" s="189"/>
      <c r="E422" s="135"/>
      <c r="F422" s="229"/>
      <c r="G422" s="229"/>
      <c r="H422" s="229"/>
      <c r="I422" s="135"/>
      <c r="J422" s="135"/>
      <c r="K422" s="135"/>
      <c r="L422" s="135"/>
      <c r="M422" s="135"/>
      <c r="N422" s="135"/>
      <c r="O422" s="135"/>
      <c r="P422" s="135"/>
      <c r="Q422" s="135"/>
    </row>
    <row r="423" customFormat="false" ht="15.75" hidden="false" customHeight="true" outlineLevel="0" collapsed="false">
      <c r="A423" s="135"/>
      <c r="B423" s="135"/>
      <c r="C423" s="135"/>
      <c r="D423" s="189"/>
      <c r="E423" s="135"/>
      <c r="F423" s="229"/>
      <c r="G423" s="229"/>
      <c r="H423" s="229"/>
      <c r="I423" s="135"/>
      <c r="J423" s="135"/>
      <c r="K423" s="135"/>
      <c r="L423" s="135"/>
      <c r="M423" s="135"/>
      <c r="N423" s="135"/>
      <c r="O423" s="135"/>
      <c r="P423" s="135"/>
      <c r="Q423" s="135"/>
    </row>
    <row r="424" customFormat="false" ht="15.75" hidden="false" customHeight="true" outlineLevel="0" collapsed="false">
      <c r="A424" s="135"/>
      <c r="B424" s="135"/>
      <c r="C424" s="135"/>
      <c r="D424" s="189"/>
      <c r="E424" s="135"/>
      <c r="F424" s="229"/>
      <c r="G424" s="229"/>
      <c r="H424" s="229"/>
      <c r="I424" s="135"/>
      <c r="J424" s="135"/>
      <c r="K424" s="135"/>
      <c r="L424" s="135"/>
      <c r="M424" s="135"/>
      <c r="N424" s="135"/>
      <c r="O424" s="135"/>
      <c r="P424" s="135"/>
      <c r="Q424" s="135"/>
    </row>
    <row r="425" customFormat="false" ht="15.75" hidden="false" customHeight="true" outlineLevel="0" collapsed="false">
      <c r="A425" s="135"/>
      <c r="B425" s="135"/>
      <c r="C425" s="135"/>
      <c r="D425" s="189"/>
      <c r="E425" s="135"/>
      <c r="F425" s="229"/>
      <c r="G425" s="229"/>
      <c r="H425" s="229"/>
      <c r="I425" s="135"/>
      <c r="J425" s="135"/>
      <c r="K425" s="135"/>
      <c r="L425" s="135"/>
      <c r="M425" s="135"/>
      <c r="N425" s="135"/>
      <c r="O425" s="135"/>
      <c r="P425" s="135"/>
      <c r="Q425" s="135"/>
    </row>
    <row r="426" customFormat="false" ht="15.75" hidden="false" customHeight="true" outlineLevel="0" collapsed="false">
      <c r="A426" s="135"/>
      <c r="B426" s="135"/>
      <c r="C426" s="135"/>
      <c r="D426" s="189"/>
      <c r="E426" s="135"/>
      <c r="F426" s="229"/>
      <c r="G426" s="229"/>
      <c r="H426" s="229"/>
      <c r="I426" s="135"/>
      <c r="J426" s="135"/>
      <c r="K426" s="135"/>
      <c r="L426" s="135"/>
      <c r="M426" s="135"/>
      <c r="N426" s="135"/>
      <c r="O426" s="135"/>
      <c r="P426" s="135"/>
      <c r="Q426" s="135"/>
    </row>
    <row r="427" customFormat="false" ht="15.75" hidden="false" customHeight="true" outlineLevel="0" collapsed="false">
      <c r="A427" s="135"/>
      <c r="B427" s="135"/>
      <c r="C427" s="135"/>
      <c r="D427" s="189"/>
      <c r="E427" s="135"/>
      <c r="F427" s="229"/>
      <c r="G427" s="229"/>
      <c r="H427" s="229"/>
      <c r="I427" s="135"/>
      <c r="J427" s="135"/>
      <c r="K427" s="135"/>
      <c r="L427" s="135"/>
      <c r="M427" s="135"/>
      <c r="N427" s="135"/>
      <c r="O427" s="135"/>
      <c r="P427" s="135"/>
      <c r="Q427" s="135"/>
    </row>
    <row r="428" customFormat="false" ht="15.75" hidden="false" customHeight="true" outlineLevel="0" collapsed="false">
      <c r="A428" s="135"/>
      <c r="B428" s="135"/>
      <c r="C428" s="135"/>
      <c r="D428" s="189"/>
      <c r="E428" s="135"/>
      <c r="F428" s="229"/>
      <c r="G428" s="229"/>
      <c r="H428" s="229"/>
      <c r="I428" s="135"/>
      <c r="J428" s="135"/>
      <c r="K428" s="135"/>
      <c r="L428" s="135"/>
      <c r="M428" s="135"/>
      <c r="N428" s="135"/>
      <c r="O428" s="135"/>
      <c r="P428" s="135"/>
      <c r="Q428" s="135"/>
    </row>
    <row r="429" customFormat="false" ht="15.75" hidden="false" customHeight="true" outlineLevel="0" collapsed="false">
      <c r="A429" s="135"/>
      <c r="B429" s="135"/>
      <c r="C429" s="135"/>
      <c r="D429" s="189"/>
      <c r="E429" s="135"/>
      <c r="F429" s="229"/>
      <c r="G429" s="229"/>
      <c r="H429" s="229"/>
      <c r="I429" s="135"/>
      <c r="J429" s="135"/>
      <c r="K429" s="135"/>
      <c r="L429" s="135"/>
      <c r="M429" s="135"/>
      <c r="N429" s="135"/>
      <c r="O429" s="135"/>
      <c r="P429" s="135"/>
      <c r="Q429" s="135"/>
    </row>
    <row r="430" customFormat="false" ht="15.75" hidden="false" customHeight="true" outlineLevel="0" collapsed="false">
      <c r="A430" s="135"/>
      <c r="B430" s="135"/>
      <c r="C430" s="135"/>
      <c r="D430" s="189"/>
      <c r="E430" s="135"/>
      <c r="F430" s="229"/>
      <c r="G430" s="229"/>
      <c r="H430" s="229"/>
      <c r="I430" s="135"/>
      <c r="J430" s="135"/>
      <c r="K430" s="135"/>
      <c r="L430" s="135"/>
      <c r="M430" s="135"/>
      <c r="N430" s="135"/>
      <c r="O430" s="135"/>
      <c r="P430" s="135"/>
      <c r="Q430" s="135"/>
    </row>
    <row r="431" customFormat="false" ht="15.75" hidden="false" customHeight="true" outlineLevel="0" collapsed="false">
      <c r="A431" s="135"/>
      <c r="B431" s="135"/>
      <c r="C431" s="135"/>
      <c r="D431" s="189"/>
      <c r="E431" s="135"/>
      <c r="F431" s="229"/>
      <c r="G431" s="229"/>
      <c r="H431" s="229"/>
      <c r="I431" s="135"/>
      <c r="J431" s="135"/>
      <c r="K431" s="135"/>
      <c r="L431" s="135"/>
      <c r="M431" s="135"/>
      <c r="N431" s="135"/>
      <c r="O431" s="135"/>
      <c r="P431" s="135"/>
      <c r="Q431" s="135"/>
    </row>
    <row r="432" customFormat="false" ht="15.75" hidden="false" customHeight="true" outlineLevel="0" collapsed="false">
      <c r="A432" s="135"/>
      <c r="B432" s="135"/>
      <c r="C432" s="135"/>
      <c r="D432" s="189"/>
      <c r="E432" s="135"/>
      <c r="F432" s="229"/>
      <c r="G432" s="229"/>
      <c r="H432" s="229"/>
      <c r="I432" s="135"/>
      <c r="J432" s="135"/>
      <c r="K432" s="135"/>
      <c r="L432" s="135"/>
      <c r="M432" s="135"/>
      <c r="N432" s="135"/>
      <c r="O432" s="135"/>
      <c r="P432" s="135"/>
      <c r="Q432" s="135"/>
    </row>
    <row r="433" customFormat="false" ht="15.75" hidden="false" customHeight="true" outlineLevel="0" collapsed="false">
      <c r="A433" s="135"/>
      <c r="B433" s="135"/>
      <c r="C433" s="135"/>
      <c r="D433" s="189"/>
      <c r="E433" s="135"/>
      <c r="F433" s="229"/>
      <c r="G433" s="229"/>
      <c r="H433" s="229"/>
      <c r="I433" s="135"/>
      <c r="J433" s="135"/>
      <c r="K433" s="135"/>
      <c r="L433" s="135"/>
      <c r="M433" s="135"/>
      <c r="N433" s="135"/>
      <c r="O433" s="135"/>
      <c r="P433" s="135"/>
      <c r="Q433" s="135"/>
    </row>
    <row r="434" customFormat="false" ht="15.75" hidden="false" customHeight="true" outlineLevel="0" collapsed="false">
      <c r="A434" s="135"/>
      <c r="B434" s="135"/>
      <c r="C434" s="135"/>
      <c r="D434" s="189"/>
      <c r="E434" s="135"/>
      <c r="F434" s="229"/>
      <c r="G434" s="229"/>
      <c r="H434" s="229"/>
      <c r="I434" s="135"/>
      <c r="J434" s="135"/>
      <c r="K434" s="135"/>
      <c r="L434" s="135"/>
      <c r="M434" s="135"/>
      <c r="N434" s="135"/>
      <c r="O434" s="135"/>
      <c r="P434" s="135"/>
      <c r="Q434" s="135"/>
    </row>
    <row r="435" customFormat="false" ht="15.75" hidden="false" customHeight="true" outlineLevel="0" collapsed="false">
      <c r="A435" s="135"/>
      <c r="B435" s="135"/>
      <c r="C435" s="135"/>
      <c r="D435" s="189"/>
      <c r="E435" s="135"/>
      <c r="F435" s="229"/>
      <c r="G435" s="229"/>
      <c r="H435" s="229"/>
      <c r="I435" s="135"/>
      <c r="J435" s="135"/>
      <c r="K435" s="135"/>
      <c r="L435" s="135"/>
      <c r="M435" s="135"/>
      <c r="N435" s="135"/>
      <c r="O435" s="135"/>
      <c r="P435" s="135"/>
      <c r="Q435" s="135"/>
    </row>
    <row r="436" customFormat="false" ht="15.75" hidden="false" customHeight="true" outlineLevel="0" collapsed="false">
      <c r="A436" s="135"/>
      <c r="B436" s="135"/>
      <c r="C436" s="135"/>
      <c r="D436" s="189"/>
      <c r="E436" s="135"/>
      <c r="F436" s="229"/>
      <c r="G436" s="229"/>
      <c r="H436" s="229"/>
      <c r="I436" s="135"/>
      <c r="J436" s="135"/>
      <c r="K436" s="135"/>
      <c r="L436" s="135"/>
      <c r="M436" s="135"/>
      <c r="N436" s="135"/>
      <c r="O436" s="135"/>
      <c r="P436" s="135"/>
      <c r="Q436" s="135"/>
    </row>
    <row r="437" customFormat="false" ht="15.75" hidden="false" customHeight="true" outlineLevel="0" collapsed="false">
      <c r="A437" s="135"/>
      <c r="B437" s="135"/>
      <c r="C437" s="135"/>
      <c r="D437" s="189"/>
      <c r="E437" s="135"/>
      <c r="F437" s="229"/>
      <c r="G437" s="229"/>
      <c r="H437" s="229"/>
      <c r="I437" s="135"/>
      <c r="J437" s="135"/>
      <c r="K437" s="135"/>
      <c r="L437" s="135"/>
      <c r="M437" s="135"/>
      <c r="N437" s="135"/>
      <c r="O437" s="135"/>
      <c r="P437" s="135"/>
      <c r="Q437" s="135"/>
    </row>
    <row r="438" customFormat="false" ht="15.75" hidden="false" customHeight="true" outlineLevel="0" collapsed="false">
      <c r="A438" s="135"/>
      <c r="B438" s="135"/>
      <c r="C438" s="135"/>
      <c r="D438" s="189"/>
      <c r="E438" s="135"/>
      <c r="F438" s="229"/>
      <c r="G438" s="229"/>
      <c r="H438" s="229"/>
      <c r="I438" s="135"/>
      <c r="J438" s="135"/>
      <c r="K438" s="135"/>
      <c r="L438" s="135"/>
      <c r="M438" s="135"/>
      <c r="N438" s="135"/>
      <c r="O438" s="135"/>
      <c r="P438" s="135"/>
      <c r="Q438" s="135"/>
    </row>
    <row r="439" customFormat="false" ht="15.75" hidden="false" customHeight="true" outlineLevel="0" collapsed="false">
      <c r="A439" s="135"/>
      <c r="B439" s="135"/>
      <c r="C439" s="135"/>
      <c r="D439" s="189"/>
      <c r="E439" s="135"/>
      <c r="F439" s="229"/>
      <c r="G439" s="229"/>
      <c r="H439" s="229"/>
      <c r="I439" s="135"/>
      <c r="J439" s="135"/>
      <c r="K439" s="135"/>
      <c r="L439" s="135"/>
      <c r="M439" s="135"/>
      <c r="N439" s="135"/>
      <c r="O439" s="135"/>
      <c r="P439" s="135"/>
      <c r="Q439" s="135"/>
    </row>
    <row r="440" customFormat="false" ht="15.75" hidden="false" customHeight="true" outlineLevel="0" collapsed="false">
      <c r="A440" s="135"/>
      <c r="B440" s="135"/>
      <c r="C440" s="135"/>
      <c r="D440" s="189"/>
      <c r="E440" s="135"/>
      <c r="F440" s="229"/>
      <c r="G440" s="229"/>
      <c r="H440" s="229"/>
      <c r="I440" s="135"/>
      <c r="J440" s="135"/>
      <c r="K440" s="135"/>
      <c r="L440" s="135"/>
      <c r="M440" s="135"/>
      <c r="N440" s="135"/>
      <c r="O440" s="135"/>
      <c r="P440" s="135"/>
      <c r="Q440" s="135"/>
    </row>
    <row r="441" customFormat="false" ht="15.75" hidden="false" customHeight="true" outlineLevel="0" collapsed="false">
      <c r="A441" s="135"/>
      <c r="B441" s="135"/>
      <c r="C441" s="135"/>
      <c r="D441" s="189"/>
      <c r="E441" s="135"/>
      <c r="F441" s="229"/>
      <c r="G441" s="229"/>
      <c r="H441" s="229"/>
      <c r="I441" s="135"/>
      <c r="J441" s="135"/>
      <c r="K441" s="135"/>
      <c r="L441" s="135"/>
      <c r="M441" s="135"/>
      <c r="N441" s="135"/>
      <c r="O441" s="135"/>
      <c r="P441" s="135"/>
      <c r="Q441" s="135"/>
    </row>
    <row r="442" customFormat="false" ht="15.75" hidden="false" customHeight="true" outlineLevel="0" collapsed="false">
      <c r="A442" s="135"/>
      <c r="B442" s="135"/>
      <c r="C442" s="135"/>
      <c r="D442" s="189"/>
      <c r="E442" s="135"/>
      <c r="F442" s="229"/>
      <c r="G442" s="229"/>
      <c r="H442" s="229"/>
      <c r="I442" s="135"/>
      <c r="J442" s="135"/>
      <c r="K442" s="135"/>
      <c r="L442" s="135"/>
      <c r="M442" s="135"/>
      <c r="N442" s="135"/>
      <c r="O442" s="135"/>
      <c r="P442" s="135"/>
      <c r="Q442" s="135"/>
    </row>
    <row r="443" customFormat="false" ht="15.75" hidden="false" customHeight="true" outlineLevel="0" collapsed="false">
      <c r="A443" s="135"/>
      <c r="B443" s="135"/>
      <c r="C443" s="135"/>
      <c r="D443" s="189"/>
      <c r="E443" s="135"/>
      <c r="F443" s="229"/>
      <c r="G443" s="229"/>
      <c r="H443" s="229"/>
      <c r="I443" s="135"/>
      <c r="J443" s="135"/>
      <c r="K443" s="135"/>
      <c r="L443" s="135"/>
      <c r="M443" s="135"/>
      <c r="N443" s="135"/>
      <c r="O443" s="135"/>
      <c r="P443" s="135"/>
      <c r="Q443" s="135"/>
    </row>
    <row r="444" customFormat="false" ht="15.75" hidden="false" customHeight="true" outlineLevel="0" collapsed="false">
      <c r="A444" s="135"/>
      <c r="B444" s="135"/>
      <c r="C444" s="135"/>
      <c r="D444" s="189"/>
      <c r="E444" s="135"/>
      <c r="F444" s="229"/>
      <c r="G444" s="229"/>
      <c r="H444" s="229"/>
      <c r="I444" s="135"/>
      <c r="J444" s="135"/>
      <c r="K444" s="135"/>
      <c r="L444" s="135"/>
      <c r="M444" s="135"/>
      <c r="N444" s="135"/>
      <c r="O444" s="135"/>
      <c r="P444" s="135"/>
      <c r="Q444" s="135"/>
    </row>
    <row r="445" customFormat="false" ht="15.75" hidden="false" customHeight="true" outlineLevel="0" collapsed="false">
      <c r="A445" s="135"/>
      <c r="B445" s="135"/>
      <c r="C445" s="135"/>
      <c r="D445" s="189"/>
      <c r="E445" s="135"/>
      <c r="F445" s="229"/>
      <c r="G445" s="229"/>
      <c r="H445" s="229"/>
      <c r="I445" s="135"/>
      <c r="J445" s="135"/>
      <c r="K445" s="135"/>
      <c r="L445" s="135"/>
      <c r="M445" s="135"/>
      <c r="N445" s="135"/>
      <c r="O445" s="135"/>
      <c r="P445" s="135"/>
      <c r="Q445" s="135"/>
    </row>
    <row r="446" customFormat="false" ht="15.75" hidden="false" customHeight="true" outlineLevel="0" collapsed="false">
      <c r="A446" s="135"/>
      <c r="B446" s="135"/>
      <c r="C446" s="135"/>
      <c r="D446" s="189"/>
      <c r="E446" s="135"/>
      <c r="F446" s="229"/>
      <c r="G446" s="229"/>
      <c r="H446" s="229"/>
      <c r="I446" s="135"/>
      <c r="J446" s="135"/>
      <c r="K446" s="135"/>
      <c r="L446" s="135"/>
      <c r="M446" s="135"/>
      <c r="N446" s="135"/>
      <c r="O446" s="135"/>
      <c r="P446" s="135"/>
      <c r="Q446" s="135"/>
    </row>
    <row r="447" customFormat="false" ht="15.75" hidden="false" customHeight="true" outlineLevel="0" collapsed="false">
      <c r="A447" s="135"/>
      <c r="B447" s="135"/>
      <c r="C447" s="135"/>
      <c r="D447" s="189"/>
      <c r="E447" s="135"/>
      <c r="F447" s="229"/>
      <c r="G447" s="229"/>
      <c r="H447" s="229"/>
      <c r="I447" s="135"/>
      <c r="J447" s="135"/>
      <c r="K447" s="135"/>
      <c r="L447" s="135"/>
      <c r="M447" s="135"/>
      <c r="N447" s="135"/>
      <c r="O447" s="135"/>
      <c r="P447" s="135"/>
      <c r="Q447" s="135"/>
    </row>
    <row r="448" customFormat="false" ht="15.75" hidden="false" customHeight="true" outlineLevel="0" collapsed="false">
      <c r="A448" s="135"/>
      <c r="B448" s="135"/>
      <c r="C448" s="135"/>
      <c r="D448" s="189"/>
      <c r="E448" s="135"/>
      <c r="F448" s="229"/>
      <c r="G448" s="229"/>
      <c r="H448" s="229"/>
      <c r="I448" s="135"/>
      <c r="J448" s="135"/>
      <c r="K448" s="135"/>
      <c r="L448" s="135"/>
      <c r="M448" s="135"/>
      <c r="N448" s="135"/>
      <c r="O448" s="135"/>
      <c r="P448" s="135"/>
      <c r="Q448" s="135"/>
    </row>
    <row r="449" customFormat="false" ht="15.75" hidden="false" customHeight="true" outlineLevel="0" collapsed="false">
      <c r="A449" s="135"/>
      <c r="B449" s="135"/>
      <c r="C449" s="135"/>
      <c r="D449" s="189"/>
      <c r="E449" s="135"/>
      <c r="F449" s="229"/>
      <c r="G449" s="229"/>
      <c r="H449" s="229"/>
      <c r="I449" s="135"/>
      <c r="J449" s="135"/>
      <c r="K449" s="135"/>
      <c r="L449" s="135"/>
      <c r="M449" s="135"/>
      <c r="N449" s="135"/>
      <c r="O449" s="135"/>
      <c r="P449" s="135"/>
      <c r="Q449" s="135"/>
    </row>
    <row r="450" customFormat="false" ht="15.75" hidden="false" customHeight="true" outlineLevel="0" collapsed="false">
      <c r="A450" s="135"/>
      <c r="B450" s="135"/>
      <c r="C450" s="135"/>
      <c r="D450" s="189"/>
      <c r="E450" s="135"/>
      <c r="F450" s="229"/>
      <c r="G450" s="229"/>
      <c r="H450" s="229"/>
      <c r="I450" s="135"/>
      <c r="J450" s="135"/>
      <c r="K450" s="135"/>
      <c r="L450" s="135"/>
      <c r="M450" s="135"/>
      <c r="N450" s="135"/>
      <c r="O450" s="135"/>
      <c r="P450" s="135"/>
      <c r="Q450" s="135"/>
    </row>
    <row r="451" customFormat="false" ht="15.75" hidden="false" customHeight="true" outlineLevel="0" collapsed="false">
      <c r="A451" s="135"/>
      <c r="B451" s="135"/>
      <c r="C451" s="135"/>
      <c r="D451" s="189"/>
      <c r="E451" s="135"/>
      <c r="F451" s="229"/>
      <c r="G451" s="229"/>
      <c r="H451" s="229"/>
      <c r="I451" s="135"/>
      <c r="J451" s="135"/>
      <c r="K451" s="135"/>
      <c r="L451" s="135"/>
      <c r="M451" s="135"/>
      <c r="N451" s="135"/>
      <c r="O451" s="135"/>
      <c r="P451" s="135"/>
      <c r="Q451" s="135"/>
    </row>
    <row r="452" customFormat="false" ht="15.75" hidden="false" customHeight="true" outlineLevel="0" collapsed="false">
      <c r="A452" s="135"/>
      <c r="B452" s="135"/>
      <c r="C452" s="135"/>
      <c r="D452" s="189"/>
      <c r="E452" s="135"/>
      <c r="F452" s="229"/>
      <c r="G452" s="229"/>
      <c r="H452" s="229"/>
      <c r="I452" s="135"/>
      <c r="J452" s="135"/>
      <c r="K452" s="135"/>
      <c r="L452" s="135"/>
      <c r="M452" s="135"/>
      <c r="N452" s="135"/>
      <c r="O452" s="135"/>
      <c r="P452" s="135"/>
      <c r="Q452" s="135"/>
    </row>
    <row r="453" customFormat="false" ht="15.75" hidden="false" customHeight="true" outlineLevel="0" collapsed="false">
      <c r="A453" s="135"/>
      <c r="B453" s="135"/>
      <c r="C453" s="135"/>
      <c r="D453" s="189"/>
      <c r="E453" s="135"/>
      <c r="F453" s="229"/>
      <c r="G453" s="229"/>
      <c r="H453" s="229"/>
      <c r="I453" s="135"/>
      <c r="J453" s="135"/>
      <c r="K453" s="135"/>
      <c r="L453" s="135"/>
      <c r="M453" s="135"/>
      <c r="N453" s="135"/>
      <c r="O453" s="135"/>
      <c r="P453" s="135"/>
      <c r="Q453" s="135"/>
    </row>
    <row r="454" customFormat="false" ht="15.75" hidden="false" customHeight="true" outlineLevel="0" collapsed="false">
      <c r="A454" s="135"/>
      <c r="B454" s="135"/>
      <c r="C454" s="135"/>
      <c r="D454" s="189"/>
      <c r="E454" s="135"/>
      <c r="F454" s="229"/>
      <c r="G454" s="229"/>
      <c r="H454" s="229"/>
      <c r="I454" s="135"/>
      <c r="J454" s="135"/>
      <c r="K454" s="135"/>
      <c r="L454" s="135"/>
      <c r="M454" s="135"/>
      <c r="N454" s="135"/>
      <c r="O454" s="135"/>
      <c r="P454" s="135"/>
      <c r="Q454" s="135"/>
    </row>
    <row r="455" customFormat="false" ht="15.75" hidden="false" customHeight="true" outlineLevel="0" collapsed="false">
      <c r="A455" s="135"/>
      <c r="B455" s="135"/>
      <c r="C455" s="135"/>
      <c r="D455" s="189"/>
      <c r="E455" s="135"/>
      <c r="F455" s="229"/>
      <c r="G455" s="229"/>
      <c r="H455" s="229"/>
      <c r="I455" s="135"/>
      <c r="J455" s="135"/>
      <c r="K455" s="135"/>
      <c r="L455" s="135"/>
      <c r="M455" s="135"/>
      <c r="N455" s="135"/>
      <c r="O455" s="135"/>
      <c r="P455" s="135"/>
      <c r="Q455" s="135"/>
    </row>
    <row r="456" customFormat="false" ht="15.75" hidden="false" customHeight="true" outlineLevel="0" collapsed="false">
      <c r="A456" s="135"/>
      <c r="B456" s="135"/>
      <c r="C456" s="135"/>
      <c r="D456" s="189"/>
      <c r="E456" s="135"/>
      <c r="F456" s="229"/>
      <c r="G456" s="229"/>
      <c r="H456" s="229"/>
      <c r="I456" s="135"/>
      <c r="J456" s="135"/>
      <c r="K456" s="135"/>
      <c r="L456" s="135"/>
      <c r="M456" s="135"/>
      <c r="N456" s="135"/>
      <c r="O456" s="135"/>
      <c r="P456" s="135"/>
      <c r="Q456" s="135"/>
    </row>
    <row r="457" customFormat="false" ht="15.75" hidden="false" customHeight="true" outlineLevel="0" collapsed="false">
      <c r="A457" s="135"/>
      <c r="B457" s="135"/>
      <c r="C457" s="135"/>
      <c r="D457" s="189"/>
      <c r="E457" s="135"/>
      <c r="F457" s="229"/>
      <c r="G457" s="229"/>
      <c r="H457" s="229"/>
      <c r="I457" s="135"/>
      <c r="J457" s="135"/>
      <c r="K457" s="135"/>
      <c r="L457" s="135"/>
      <c r="M457" s="135"/>
      <c r="N457" s="135"/>
      <c r="O457" s="135"/>
      <c r="P457" s="135"/>
      <c r="Q457" s="135"/>
    </row>
    <row r="458" customFormat="false" ht="15.75" hidden="false" customHeight="true" outlineLevel="0" collapsed="false">
      <c r="A458" s="135"/>
      <c r="B458" s="135"/>
      <c r="C458" s="135"/>
      <c r="D458" s="189"/>
      <c r="E458" s="135"/>
      <c r="F458" s="229"/>
      <c r="G458" s="229"/>
      <c r="H458" s="229"/>
      <c r="I458" s="135"/>
      <c r="J458" s="135"/>
      <c r="K458" s="135"/>
      <c r="L458" s="135"/>
      <c r="M458" s="135"/>
      <c r="N458" s="135"/>
      <c r="O458" s="135"/>
      <c r="P458" s="135"/>
      <c r="Q458" s="135"/>
    </row>
    <row r="459" customFormat="false" ht="15.75" hidden="false" customHeight="true" outlineLevel="0" collapsed="false">
      <c r="A459" s="135"/>
      <c r="B459" s="135"/>
      <c r="C459" s="135"/>
      <c r="D459" s="189"/>
      <c r="E459" s="135"/>
      <c r="F459" s="229"/>
      <c r="G459" s="229"/>
      <c r="H459" s="229"/>
      <c r="I459" s="135"/>
      <c r="J459" s="135"/>
      <c r="K459" s="135"/>
      <c r="L459" s="135"/>
      <c r="M459" s="135"/>
      <c r="N459" s="135"/>
      <c r="O459" s="135"/>
      <c r="P459" s="135"/>
      <c r="Q459" s="135"/>
    </row>
    <row r="460" customFormat="false" ht="15.75" hidden="false" customHeight="true" outlineLevel="0" collapsed="false">
      <c r="A460" s="135"/>
      <c r="B460" s="135"/>
      <c r="C460" s="135"/>
      <c r="D460" s="189"/>
      <c r="E460" s="135"/>
      <c r="F460" s="229"/>
      <c r="G460" s="229"/>
      <c r="H460" s="229"/>
      <c r="I460" s="135"/>
      <c r="J460" s="135"/>
      <c r="K460" s="135"/>
      <c r="L460" s="135"/>
      <c r="M460" s="135"/>
      <c r="N460" s="135"/>
      <c r="O460" s="135"/>
      <c r="P460" s="135"/>
      <c r="Q460" s="135"/>
    </row>
    <row r="461" customFormat="false" ht="15.75" hidden="false" customHeight="true" outlineLevel="0" collapsed="false">
      <c r="A461" s="135"/>
      <c r="B461" s="135"/>
      <c r="C461" s="135"/>
      <c r="D461" s="189"/>
      <c r="E461" s="135"/>
      <c r="F461" s="229"/>
      <c r="G461" s="229"/>
      <c r="H461" s="229"/>
      <c r="I461" s="135"/>
      <c r="J461" s="135"/>
      <c r="K461" s="135"/>
      <c r="L461" s="135"/>
      <c r="M461" s="135"/>
      <c r="N461" s="135"/>
      <c r="O461" s="135"/>
      <c r="P461" s="135"/>
      <c r="Q461" s="135"/>
    </row>
    <row r="462" customFormat="false" ht="15.75" hidden="false" customHeight="true" outlineLevel="0" collapsed="false">
      <c r="A462" s="135"/>
      <c r="B462" s="135"/>
      <c r="C462" s="135"/>
      <c r="D462" s="189"/>
      <c r="E462" s="135"/>
      <c r="F462" s="229"/>
      <c r="G462" s="229"/>
      <c r="H462" s="229"/>
      <c r="I462" s="135"/>
      <c r="J462" s="135"/>
      <c r="K462" s="135"/>
      <c r="L462" s="135"/>
      <c r="M462" s="135"/>
      <c r="N462" s="135"/>
      <c r="O462" s="135"/>
      <c r="P462" s="135"/>
      <c r="Q462" s="135"/>
    </row>
    <row r="463" customFormat="false" ht="15.75" hidden="false" customHeight="true" outlineLevel="0" collapsed="false">
      <c r="A463" s="135"/>
      <c r="B463" s="135"/>
      <c r="C463" s="135"/>
      <c r="D463" s="189"/>
      <c r="E463" s="135"/>
      <c r="F463" s="229"/>
      <c r="G463" s="229"/>
      <c r="H463" s="229"/>
      <c r="I463" s="135"/>
      <c r="J463" s="135"/>
      <c r="K463" s="135"/>
      <c r="L463" s="135"/>
      <c r="M463" s="135"/>
      <c r="N463" s="135"/>
      <c r="O463" s="135"/>
      <c r="P463" s="135"/>
      <c r="Q463" s="135"/>
    </row>
    <row r="464" customFormat="false" ht="15.75" hidden="false" customHeight="true" outlineLevel="0" collapsed="false">
      <c r="A464" s="135"/>
      <c r="B464" s="135"/>
      <c r="C464" s="135"/>
      <c r="D464" s="189"/>
      <c r="E464" s="135"/>
      <c r="F464" s="229"/>
      <c r="G464" s="229"/>
      <c r="H464" s="229"/>
      <c r="I464" s="135"/>
      <c r="J464" s="135"/>
      <c r="K464" s="135"/>
      <c r="L464" s="135"/>
      <c r="M464" s="135"/>
      <c r="N464" s="135"/>
      <c r="O464" s="135"/>
      <c r="P464" s="135"/>
      <c r="Q464" s="135"/>
    </row>
    <row r="465" customFormat="false" ht="15.75" hidden="false" customHeight="true" outlineLevel="0" collapsed="false">
      <c r="A465" s="135"/>
      <c r="B465" s="135"/>
      <c r="C465" s="135"/>
      <c r="D465" s="189"/>
      <c r="E465" s="135"/>
      <c r="F465" s="229"/>
      <c r="G465" s="229"/>
      <c r="H465" s="229"/>
      <c r="I465" s="135"/>
      <c r="J465" s="135"/>
      <c r="K465" s="135"/>
      <c r="L465" s="135"/>
      <c r="M465" s="135"/>
      <c r="N465" s="135"/>
      <c r="O465" s="135"/>
      <c r="P465" s="135"/>
      <c r="Q465" s="135"/>
    </row>
    <row r="466" customFormat="false" ht="15.75" hidden="false" customHeight="true" outlineLevel="0" collapsed="false">
      <c r="A466" s="135"/>
      <c r="B466" s="135"/>
      <c r="C466" s="135"/>
      <c r="D466" s="189"/>
      <c r="E466" s="135"/>
      <c r="F466" s="229"/>
      <c r="G466" s="229"/>
      <c r="H466" s="229"/>
      <c r="I466" s="135"/>
      <c r="J466" s="135"/>
      <c r="K466" s="135"/>
      <c r="L466" s="135"/>
      <c r="M466" s="135"/>
      <c r="N466" s="135"/>
      <c r="O466" s="135"/>
      <c r="P466" s="135"/>
      <c r="Q466" s="135"/>
    </row>
    <row r="467" customFormat="false" ht="15.75" hidden="false" customHeight="true" outlineLevel="0" collapsed="false">
      <c r="A467" s="135"/>
      <c r="B467" s="135"/>
      <c r="C467" s="135"/>
      <c r="D467" s="189"/>
      <c r="E467" s="135"/>
      <c r="F467" s="229"/>
      <c r="G467" s="229"/>
      <c r="H467" s="229"/>
      <c r="I467" s="135"/>
      <c r="J467" s="135"/>
      <c r="K467" s="135"/>
      <c r="L467" s="135"/>
      <c r="M467" s="135"/>
      <c r="N467" s="135"/>
      <c r="O467" s="135"/>
      <c r="P467" s="135"/>
      <c r="Q467" s="135"/>
    </row>
    <row r="468" customFormat="false" ht="15.75" hidden="false" customHeight="true" outlineLevel="0" collapsed="false">
      <c r="A468" s="135"/>
      <c r="B468" s="135"/>
      <c r="C468" s="135"/>
      <c r="D468" s="189"/>
      <c r="E468" s="135"/>
      <c r="F468" s="229"/>
      <c r="G468" s="229"/>
      <c r="H468" s="229"/>
      <c r="I468" s="135"/>
      <c r="J468" s="135"/>
      <c r="K468" s="135"/>
      <c r="L468" s="135"/>
      <c r="M468" s="135"/>
      <c r="N468" s="135"/>
      <c r="O468" s="135"/>
      <c r="P468" s="135"/>
      <c r="Q468" s="135"/>
    </row>
    <row r="469" customFormat="false" ht="15.75" hidden="false" customHeight="true" outlineLevel="0" collapsed="false">
      <c r="A469" s="135"/>
      <c r="B469" s="135"/>
      <c r="C469" s="135"/>
      <c r="D469" s="189"/>
      <c r="E469" s="135"/>
      <c r="F469" s="229"/>
      <c r="G469" s="229"/>
      <c r="H469" s="229"/>
      <c r="I469" s="135"/>
      <c r="J469" s="135"/>
      <c r="K469" s="135"/>
      <c r="L469" s="135"/>
      <c r="M469" s="135"/>
      <c r="N469" s="135"/>
      <c r="O469" s="135"/>
      <c r="P469" s="135"/>
      <c r="Q469" s="135"/>
    </row>
    <row r="470" customFormat="false" ht="15.75" hidden="false" customHeight="true" outlineLevel="0" collapsed="false">
      <c r="A470" s="135"/>
      <c r="B470" s="135"/>
      <c r="C470" s="135"/>
      <c r="D470" s="189"/>
      <c r="E470" s="135"/>
      <c r="F470" s="229"/>
      <c r="G470" s="229"/>
      <c r="H470" s="229"/>
      <c r="I470" s="135"/>
      <c r="J470" s="135"/>
      <c r="K470" s="135"/>
      <c r="L470" s="135"/>
      <c r="M470" s="135"/>
      <c r="N470" s="135"/>
      <c r="O470" s="135"/>
      <c r="P470" s="135"/>
      <c r="Q470" s="135"/>
    </row>
    <row r="471" customFormat="false" ht="15.75" hidden="false" customHeight="true" outlineLevel="0" collapsed="false">
      <c r="A471" s="135"/>
      <c r="B471" s="135"/>
      <c r="C471" s="135"/>
      <c r="D471" s="189"/>
      <c r="E471" s="135"/>
      <c r="F471" s="229"/>
      <c r="G471" s="229"/>
      <c r="H471" s="229"/>
      <c r="I471" s="135"/>
      <c r="J471" s="135"/>
      <c r="K471" s="135"/>
      <c r="L471" s="135"/>
      <c r="M471" s="135"/>
      <c r="N471" s="135"/>
      <c r="O471" s="135"/>
      <c r="P471" s="135"/>
      <c r="Q471" s="135"/>
    </row>
    <row r="472" customFormat="false" ht="15.75" hidden="false" customHeight="true" outlineLevel="0" collapsed="false">
      <c r="A472" s="135"/>
      <c r="B472" s="135"/>
      <c r="C472" s="135"/>
      <c r="D472" s="189"/>
      <c r="E472" s="135"/>
      <c r="F472" s="229"/>
      <c r="G472" s="229"/>
      <c r="H472" s="229"/>
      <c r="I472" s="135"/>
      <c r="J472" s="135"/>
      <c r="K472" s="135"/>
      <c r="L472" s="135"/>
      <c r="M472" s="135"/>
      <c r="N472" s="135"/>
      <c r="O472" s="135"/>
      <c r="P472" s="135"/>
      <c r="Q472" s="135"/>
    </row>
    <row r="473" customFormat="false" ht="15.75" hidden="false" customHeight="true" outlineLevel="0" collapsed="false">
      <c r="A473" s="135"/>
      <c r="B473" s="135"/>
      <c r="C473" s="135"/>
      <c r="D473" s="189"/>
      <c r="E473" s="135"/>
      <c r="F473" s="229"/>
      <c r="G473" s="229"/>
      <c r="H473" s="229"/>
      <c r="I473" s="135"/>
      <c r="J473" s="135"/>
      <c r="K473" s="135"/>
      <c r="L473" s="135"/>
      <c r="M473" s="135"/>
      <c r="N473" s="135"/>
      <c r="O473" s="135"/>
      <c r="P473" s="135"/>
      <c r="Q473" s="135"/>
    </row>
    <row r="474" customFormat="false" ht="15.75" hidden="false" customHeight="true" outlineLevel="0" collapsed="false">
      <c r="A474" s="135"/>
      <c r="B474" s="135"/>
      <c r="C474" s="135"/>
      <c r="D474" s="189"/>
      <c r="E474" s="135"/>
      <c r="F474" s="229"/>
      <c r="G474" s="229"/>
      <c r="H474" s="229"/>
      <c r="I474" s="135"/>
      <c r="J474" s="135"/>
      <c r="K474" s="135"/>
      <c r="L474" s="135"/>
      <c r="M474" s="135"/>
      <c r="N474" s="135"/>
      <c r="O474" s="135"/>
      <c r="P474" s="135"/>
      <c r="Q474" s="135"/>
    </row>
    <row r="475" customFormat="false" ht="15.75" hidden="false" customHeight="true" outlineLevel="0" collapsed="false">
      <c r="A475" s="135"/>
      <c r="B475" s="135"/>
      <c r="C475" s="135"/>
      <c r="D475" s="189"/>
      <c r="E475" s="135"/>
      <c r="F475" s="229"/>
      <c r="G475" s="229"/>
      <c r="H475" s="229"/>
      <c r="I475" s="135"/>
      <c r="J475" s="135"/>
      <c r="K475" s="135"/>
      <c r="L475" s="135"/>
      <c r="M475" s="135"/>
      <c r="N475" s="135"/>
      <c r="O475" s="135"/>
      <c r="P475" s="135"/>
      <c r="Q475" s="135"/>
    </row>
    <row r="476" customFormat="false" ht="15.75" hidden="false" customHeight="true" outlineLevel="0" collapsed="false">
      <c r="A476" s="135"/>
      <c r="B476" s="135"/>
      <c r="C476" s="135"/>
      <c r="D476" s="189"/>
      <c r="E476" s="135"/>
      <c r="F476" s="229"/>
      <c r="G476" s="229"/>
      <c r="H476" s="229"/>
      <c r="I476" s="135"/>
      <c r="J476" s="135"/>
      <c r="K476" s="135"/>
      <c r="L476" s="135"/>
      <c r="M476" s="135"/>
      <c r="N476" s="135"/>
      <c r="O476" s="135"/>
      <c r="P476" s="135"/>
      <c r="Q476" s="135"/>
    </row>
    <row r="477" customFormat="false" ht="15.75" hidden="false" customHeight="true" outlineLevel="0" collapsed="false">
      <c r="A477" s="135"/>
      <c r="B477" s="135"/>
      <c r="C477" s="135"/>
      <c r="D477" s="189"/>
      <c r="E477" s="135"/>
      <c r="F477" s="229"/>
      <c r="G477" s="229"/>
      <c r="H477" s="229"/>
      <c r="I477" s="135"/>
      <c r="J477" s="135"/>
      <c r="K477" s="135"/>
      <c r="L477" s="135"/>
      <c r="M477" s="135"/>
      <c r="N477" s="135"/>
      <c r="O477" s="135"/>
      <c r="P477" s="135"/>
      <c r="Q477" s="135"/>
    </row>
    <row r="478" customFormat="false" ht="15.75" hidden="false" customHeight="true" outlineLevel="0" collapsed="false">
      <c r="A478" s="135"/>
      <c r="B478" s="135"/>
      <c r="C478" s="135"/>
      <c r="D478" s="189"/>
      <c r="E478" s="135"/>
      <c r="F478" s="229"/>
      <c r="G478" s="229"/>
      <c r="H478" s="229"/>
      <c r="I478" s="135"/>
      <c r="J478" s="135"/>
      <c r="K478" s="135"/>
      <c r="L478" s="135"/>
      <c r="M478" s="135"/>
      <c r="N478" s="135"/>
      <c r="O478" s="135"/>
      <c r="P478" s="135"/>
      <c r="Q478" s="135"/>
    </row>
    <row r="479" customFormat="false" ht="15.75" hidden="false" customHeight="true" outlineLevel="0" collapsed="false">
      <c r="A479" s="135"/>
      <c r="B479" s="135"/>
      <c r="C479" s="135"/>
      <c r="D479" s="189"/>
      <c r="E479" s="135"/>
      <c r="F479" s="229"/>
      <c r="G479" s="229"/>
      <c r="H479" s="229"/>
      <c r="I479" s="135"/>
      <c r="J479" s="135"/>
      <c r="K479" s="135"/>
      <c r="L479" s="135"/>
      <c r="M479" s="135"/>
      <c r="N479" s="135"/>
      <c r="O479" s="135"/>
      <c r="P479" s="135"/>
      <c r="Q479" s="135"/>
    </row>
    <row r="480" customFormat="false" ht="15.75" hidden="false" customHeight="true" outlineLevel="0" collapsed="false">
      <c r="A480" s="135"/>
      <c r="B480" s="135"/>
      <c r="C480" s="135"/>
      <c r="D480" s="189"/>
      <c r="E480" s="135"/>
      <c r="F480" s="229"/>
      <c r="G480" s="229"/>
      <c r="H480" s="229"/>
      <c r="I480" s="135"/>
      <c r="J480" s="135"/>
      <c r="K480" s="135"/>
      <c r="L480" s="135"/>
      <c r="M480" s="135"/>
      <c r="N480" s="135"/>
      <c r="O480" s="135"/>
      <c r="P480" s="135"/>
      <c r="Q480" s="135"/>
    </row>
    <row r="481" customFormat="false" ht="15.75" hidden="false" customHeight="true" outlineLevel="0" collapsed="false">
      <c r="A481" s="135"/>
      <c r="B481" s="135"/>
      <c r="C481" s="135"/>
      <c r="D481" s="189"/>
      <c r="E481" s="135"/>
      <c r="F481" s="229"/>
      <c r="G481" s="229"/>
      <c r="H481" s="229"/>
      <c r="I481" s="135"/>
      <c r="J481" s="135"/>
      <c r="K481" s="135"/>
      <c r="L481" s="135"/>
      <c r="M481" s="135"/>
      <c r="N481" s="135"/>
      <c r="O481" s="135"/>
      <c r="P481" s="135"/>
      <c r="Q481" s="135"/>
    </row>
    <row r="482" customFormat="false" ht="15.75" hidden="false" customHeight="true" outlineLevel="0" collapsed="false">
      <c r="A482" s="135"/>
      <c r="B482" s="135"/>
      <c r="C482" s="135"/>
      <c r="D482" s="189"/>
      <c r="E482" s="135"/>
      <c r="F482" s="229"/>
      <c r="G482" s="229"/>
      <c r="H482" s="229"/>
      <c r="I482" s="135"/>
      <c r="J482" s="135"/>
      <c r="K482" s="135"/>
      <c r="L482" s="135"/>
      <c r="M482" s="135"/>
      <c r="N482" s="135"/>
      <c r="O482" s="135"/>
      <c r="P482" s="135"/>
      <c r="Q482" s="135"/>
    </row>
    <row r="483" customFormat="false" ht="15.75" hidden="false" customHeight="true" outlineLevel="0" collapsed="false">
      <c r="A483" s="135"/>
      <c r="B483" s="135"/>
      <c r="C483" s="135"/>
      <c r="D483" s="189"/>
      <c r="E483" s="135"/>
      <c r="F483" s="229"/>
      <c r="G483" s="229"/>
      <c r="H483" s="229"/>
      <c r="I483" s="135"/>
      <c r="J483" s="135"/>
      <c r="K483" s="135"/>
      <c r="L483" s="135"/>
      <c r="M483" s="135"/>
      <c r="N483" s="135"/>
      <c r="O483" s="135"/>
      <c r="P483" s="135"/>
      <c r="Q483" s="135"/>
    </row>
    <row r="484" customFormat="false" ht="15.75" hidden="false" customHeight="true" outlineLevel="0" collapsed="false">
      <c r="A484" s="135"/>
      <c r="B484" s="135"/>
      <c r="C484" s="135"/>
      <c r="D484" s="189"/>
      <c r="E484" s="135"/>
      <c r="F484" s="229"/>
      <c r="G484" s="229"/>
      <c r="H484" s="229"/>
      <c r="I484" s="135"/>
      <c r="J484" s="135"/>
      <c r="K484" s="135"/>
      <c r="L484" s="135"/>
      <c r="M484" s="135"/>
      <c r="N484" s="135"/>
      <c r="O484" s="135"/>
      <c r="P484" s="135"/>
      <c r="Q484" s="135"/>
    </row>
    <row r="485" customFormat="false" ht="15.75" hidden="false" customHeight="true" outlineLevel="0" collapsed="false">
      <c r="A485" s="135"/>
      <c r="B485" s="135"/>
      <c r="C485" s="135"/>
      <c r="D485" s="189"/>
      <c r="E485" s="135"/>
      <c r="F485" s="229"/>
      <c r="G485" s="229"/>
      <c r="H485" s="229"/>
      <c r="I485" s="135"/>
      <c r="J485" s="135"/>
      <c r="K485" s="135"/>
      <c r="L485" s="135"/>
      <c r="M485" s="135"/>
      <c r="N485" s="135"/>
      <c r="O485" s="135"/>
      <c r="P485" s="135"/>
      <c r="Q485" s="135"/>
    </row>
    <row r="486" customFormat="false" ht="15.75" hidden="false" customHeight="true" outlineLevel="0" collapsed="false">
      <c r="A486" s="135"/>
      <c r="B486" s="135"/>
      <c r="C486" s="135"/>
      <c r="D486" s="189"/>
      <c r="E486" s="135"/>
      <c r="F486" s="229"/>
      <c r="G486" s="229"/>
      <c r="H486" s="229"/>
      <c r="I486" s="135"/>
      <c r="J486" s="135"/>
      <c r="K486" s="135"/>
      <c r="L486" s="135"/>
      <c r="M486" s="135"/>
      <c r="N486" s="135"/>
      <c r="O486" s="135"/>
      <c r="P486" s="135"/>
      <c r="Q486" s="135"/>
    </row>
    <row r="487" customFormat="false" ht="15.75" hidden="false" customHeight="true" outlineLevel="0" collapsed="false">
      <c r="A487" s="135"/>
      <c r="B487" s="135"/>
      <c r="C487" s="135"/>
      <c r="D487" s="189"/>
      <c r="E487" s="135"/>
      <c r="F487" s="229"/>
      <c r="G487" s="229"/>
      <c r="H487" s="229"/>
      <c r="I487" s="135"/>
      <c r="J487" s="135"/>
      <c r="K487" s="135"/>
      <c r="L487" s="135"/>
      <c r="M487" s="135"/>
      <c r="N487" s="135"/>
      <c r="O487" s="135"/>
      <c r="P487" s="135"/>
      <c r="Q487" s="135"/>
    </row>
    <row r="488" customFormat="false" ht="15.75" hidden="false" customHeight="true" outlineLevel="0" collapsed="false">
      <c r="A488" s="135"/>
      <c r="B488" s="135"/>
      <c r="C488" s="135"/>
      <c r="D488" s="189"/>
      <c r="E488" s="135"/>
      <c r="F488" s="229"/>
      <c r="G488" s="229"/>
      <c r="H488" s="229"/>
      <c r="I488" s="135"/>
      <c r="J488" s="135"/>
      <c r="K488" s="135"/>
      <c r="L488" s="135"/>
      <c r="M488" s="135"/>
      <c r="N488" s="135"/>
      <c r="O488" s="135"/>
      <c r="P488" s="135"/>
      <c r="Q488" s="135"/>
    </row>
    <row r="489" customFormat="false" ht="15.75" hidden="false" customHeight="true" outlineLevel="0" collapsed="false">
      <c r="A489" s="135"/>
      <c r="B489" s="135"/>
      <c r="C489" s="135"/>
      <c r="D489" s="189"/>
      <c r="E489" s="135"/>
      <c r="F489" s="229"/>
      <c r="G489" s="229"/>
      <c r="H489" s="229"/>
      <c r="I489" s="135"/>
      <c r="J489" s="135"/>
      <c r="K489" s="135"/>
      <c r="L489" s="135"/>
      <c r="M489" s="135"/>
      <c r="N489" s="135"/>
      <c r="O489" s="135"/>
      <c r="P489" s="135"/>
      <c r="Q489" s="135"/>
    </row>
    <row r="490" customFormat="false" ht="15.75" hidden="false" customHeight="true" outlineLevel="0" collapsed="false">
      <c r="A490" s="135"/>
      <c r="B490" s="135"/>
      <c r="C490" s="135"/>
      <c r="D490" s="189"/>
      <c r="E490" s="135"/>
      <c r="F490" s="229"/>
      <c r="G490" s="229"/>
      <c r="H490" s="229"/>
      <c r="I490" s="135"/>
      <c r="J490" s="135"/>
      <c r="K490" s="135"/>
      <c r="L490" s="135"/>
      <c r="M490" s="135"/>
      <c r="N490" s="135"/>
      <c r="O490" s="135"/>
      <c r="P490" s="135"/>
      <c r="Q490" s="135"/>
    </row>
    <row r="491" customFormat="false" ht="15.75" hidden="false" customHeight="true" outlineLevel="0" collapsed="false">
      <c r="A491" s="135"/>
      <c r="B491" s="135"/>
      <c r="C491" s="135"/>
      <c r="D491" s="189"/>
      <c r="E491" s="135"/>
      <c r="F491" s="229"/>
      <c r="G491" s="229"/>
      <c r="H491" s="229"/>
      <c r="I491" s="135"/>
      <c r="J491" s="135"/>
      <c r="K491" s="135"/>
      <c r="L491" s="135"/>
      <c r="M491" s="135"/>
      <c r="N491" s="135"/>
      <c r="O491" s="135"/>
      <c r="P491" s="135"/>
      <c r="Q491" s="135"/>
    </row>
    <row r="492" customFormat="false" ht="15.75" hidden="false" customHeight="true" outlineLevel="0" collapsed="false">
      <c r="A492" s="135"/>
      <c r="B492" s="135"/>
      <c r="C492" s="135"/>
      <c r="D492" s="189"/>
      <c r="E492" s="135"/>
      <c r="F492" s="229"/>
      <c r="G492" s="229"/>
      <c r="H492" s="229"/>
      <c r="I492" s="135"/>
      <c r="J492" s="135"/>
      <c r="K492" s="135"/>
      <c r="L492" s="135"/>
      <c r="M492" s="135"/>
      <c r="N492" s="135"/>
      <c r="O492" s="135"/>
      <c r="P492" s="135"/>
      <c r="Q492" s="135"/>
    </row>
    <row r="493" customFormat="false" ht="15.75" hidden="false" customHeight="true" outlineLevel="0" collapsed="false">
      <c r="A493" s="135"/>
      <c r="B493" s="135"/>
      <c r="C493" s="135"/>
      <c r="D493" s="189"/>
      <c r="E493" s="135"/>
      <c r="F493" s="229"/>
      <c r="G493" s="229"/>
      <c r="H493" s="229"/>
      <c r="I493" s="135"/>
      <c r="J493" s="135"/>
      <c r="K493" s="135"/>
      <c r="L493" s="135"/>
      <c r="M493" s="135"/>
      <c r="N493" s="135"/>
      <c r="O493" s="135"/>
      <c r="P493" s="135"/>
      <c r="Q493" s="135"/>
    </row>
    <row r="494" customFormat="false" ht="15.75" hidden="false" customHeight="true" outlineLevel="0" collapsed="false">
      <c r="A494" s="135"/>
      <c r="B494" s="135"/>
      <c r="C494" s="135"/>
      <c r="D494" s="189"/>
      <c r="E494" s="135"/>
      <c r="F494" s="229"/>
      <c r="G494" s="229"/>
      <c r="H494" s="229"/>
      <c r="I494" s="135"/>
      <c r="J494" s="135"/>
      <c r="K494" s="135"/>
      <c r="L494" s="135"/>
      <c r="M494" s="135"/>
      <c r="N494" s="135"/>
      <c r="O494" s="135"/>
      <c r="P494" s="135"/>
      <c r="Q494" s="135"/>
    </row>
    <row r="495" customFormat="false" ht="15.75" hidden="false" customHeight="true" outlineLevel="0" collapsed="false">
      <c r="A495" s="135"/>
      <c r="B495" s="135"/>
      <c r="C495" s="135"/>
      <c r="D495" s="189"/>
      <c r="E495" s="135"/>
      <c r="F495" s="229"/>
      <c r="G495" s="229"/>
      <c r="H495" s="229"/>
      <c r="I495" s="135"/>
      <c r="J495" s="135"/>
      <c r="K495" s="135"/>
      <c r="L495" s="135"/>
      <c r="M495" s="135"/>
      <c r="N495" s="135"/>
      <c r="O495" s="135"/>
      <c r="P495" s="135"/>
      <c r="Q495" s="135"/>
    </row>
    <row r="496" customFormat="false" ht="15.75" hidden="false" customHeight="true" outlineLevel="0" collapsed="false">
      <c r="A496" s="135"/>
      <c r="B496" s="135"/>
      <c r="C496" s="135"/>
      <c r="D496" s="189"/>
      <c r="E496" s="135"/>
      <c r="F496" s="229"/>
      <c r="G496" s="229"/>
      <c r="H496" s="229"/>
      <c r="I496" s="135"/>
      <c r="J496" s="135"/>
      <c r="K496" s="135"/>
      <c r="L496" s="135"/>
      <c r="M496" s="135"/>
      <c r="N496" s="135"/>
      <c r="O496" s="135"/>
      <c r="P496" s="135"/>
      <c r="Q496" s="135"/>
    </row>
    <row r="497" customFormat="false" ht="15.75" hidden="false" customHeight="true" outlineLevel="0" collapsed="false">
      <c r="A497" s="135"/>
      <c r="B497" s="135"/>
      <c r="C497" s="135"/>
      <c r="D497" s="189"/>
      <c r="E497" s="135"/>
      <c r="F497" s="229"/>
      <c r="G497" s="229"/>
      <c r="H497" s="229"/>
      <c r="I497" s="135"/>
      <c r="J497" s="135"/>
      <c r="K497" s="135"/>
      <c r="L497" s="135"/>
      <c r="M497" s="135"/>
      <c r="N497" s="135"/>
      <c r="O497" s="135"/>
      <c r="P497" s="135"/>
      <c r="Q497" s="135"/>
    </row>
    <row r="498" customFormat="false" ht="15.75" hidden="false" customHeight="true" outlineLevel="0" collapsed="false">
      <c r="A498" s="135"/>
      <c r="B498" s="135"/>
      <c r="C498" s="135"/>
      <c r="D498" s="189"/>
      <c r="E498" s="135"/>
      <c r="F498" s="229"/>
      <c r="G498" s="229"/>
      <c r="H498" s="229"/>
      <c r="I498" s="135"/>
      <c r="J498" s="135"/>
      <c r="K498" s="135"/>
      <c r="L498" s="135"/>
      <c r="M498" s="135"/>
      <c r="N498" s="135"/>
      <c r="O498" s="135"/>
      <c r="P498" s="135"/>
      <c r="Q498" s="135"/>
    </row>
    <row r="499" customFormat="false" ht="15.75" hidden="false" customHeight="true" outlineLevel="0" collapsed="false">
      <c r="A499" s="135"/>
      <c r="B499" s="135"/>
      <c r="C499" s="135"/>
      <c r="D499" s="189"/>
      <c r="E499" s="135"/>
      <c r="F499" s="229"/>
      <c r="G499" s="229"/>
      <c r="H499" s="229"/>
      <c r="I499" s="135"/>
      <c r="J499" s="135"/>
      <c r="K499" s="135"/>
      <c r="L499" s="135"/>
      <c r="M499" s="135"/>
      <c r="N499" s="135"/>
      <c r="O499" s="135"/>
      <c r="P499" s="135"/>
      <c r="Q499" s="135"/>
    </row>
    <row r="500" customFormat="false" ht="15.75" hidden="false" customHeight="true" outlineLevel="0" collapsed="false">
      <c r="A500" s="135"/>
      <c r="B500" s="135"/>
      <c r="C500" s="135"/>
      <c r="D500" s="189"/>
      <c r="E500" s="135"/>
      <c r="F500" s="229"/>
      <c r="G500" s="229"/>
      <c r="H500" s="229"/>
      <c r="I500" s="135"/>
      <c r="J500" s="135"/>
      <c r="K500" s="135"/>
      <c r="L500" s="135"/>
      <c r="M500" s="135"/>
      <c r="N500" s="135"/>
      <c r="O500" s="135"/>
      <c r="P500" s="135"/>
      <c r="Q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N9"/>
  <dataValidations count="2">
    <dataValidation allowBlank="true" errorStyle="stop" operator="between" showDropDown="false" showErrorMessage="false" showInputMessage="false" sqref="E4:E500" type="list">
      <formula1>'CH1. Danh mục lựa chọn'!$B$118:$B$123</formula1>
      <formula2>0</formula2>
    </dataValidation>
    <dataValidation allowBlank="true" errorStyle="stop" operator="greaterThan" prompt="Số tiền không hợp lệ - Số tiền phải lớn hơn 0" showDropDown="false" showErrorMessage="true" showInputMessage="true" sqref="F4:F500"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S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9.86"/>
    <col collapsed="false" customWidth="true" hidden="false" outlineLevel="0" max="2" min="2" style="1" width="19.29"/>
    <col collapsed="false" customWidth="true" hidden="false" outlineLevel="0" max="3" min="3" style="1" width="15.71"/>
    <col collapsed="false" customWidth="true" hidden="false" outlineLevel="0" max="4" min="4" style="1" width="34.85"/>
    <col collapsed="false" customWidth="true" hidden="false" outlineLevel="0" max="5" min="5" style="1" width="22.71"/>
    <col collapsed="false" customWidth="true" hidden="false" outlineLevel="0" max="6" min="6" style="1" width="17.57"/>
    <col collapsed="false" customWidth="true" hidden="false" outlineLevel="0" max="7" min="7" style="1" width="18.57"/>
    <col collapsed="false" customWidth="true" hidden="false" outlineLevel="0" max="8" min="8" style="1" width="20.57"/>
    <col collapsed="false" customWidth="true" hidden="false" outlineLevel="0" max="9" min="9" style="1" width="32.43"/>
    <col collapsed="false" customWidth="true" hidden="false" outlineLevel="0" max="10" min="10" style="1" width="24.29"/>
    <col collapsed="false" customWidth="true" hidden="false" outlineLevel="0" max="11" min="11" style="1" width="31.71"/>
    <col collapsed="false" customWidth="true" hidden="false" outlineLevel="0" max="12" min="12" style="1" width="22.86"/>
    <col collapsed="false" customWidth="true" hidden="false" outlineLevel="0" max="13" min="13" style="1" width="32.86"/>
    <col collapsed="false" customWidth="true" hidden="false" outlineLevel="0" max="14" min="14" style="1" width="32.43"/>
    <col collapsed="false" customWidth="true" hidden="false" outlineLevel="0" max="15" min="15" style="1" width="30.14"/>
    <col collapsed="false" customWidth="true" hidden="false" outlineLevel="0" max="16" min="16" style="1" width="45"/>
    <col collapsed="false" customWidth="true" hidden="false" outlineLevel="0" max="17" min="17" style="1" width="69.29"/>
    <col collapsed="false" customWidth="true" hidden="false" outlineLevel="0" max="18" min="18" style="1" width="20.29"/>
    <col collapsed="false" customWidth="true" hidden="false" outlineLevel="0" max="19" min="19" style="1" width="33.86"/>
    <col collapsed="false" customWidth="true" hidden="false" outlineLevel="0" max="26" min="20" style="1" width="8.71"/>
  </cols>
  <sheetData>
    <row r="1" customFormat="false" ht="21.75" hidden="false" customHeight="true" outlineLevel="0" collapsed="false">
      <c r="A1" s="87" t="s">
        <v>2985</v>
      </c>
      <c r="B1" s="87" t="s">
        <v>867</v>
      </c>
      <c r="C1" s="87" t="s">
        <v>850</v>
      </c>
      <c r="D1" s="87" t="s">
        <v>2986</v>
      </c>
      <c r="E1" s="87" t="s">
        <v>2987</v>
      </c>
      <c r="F1" s="87" t="s">
        <v>2988</v>
      </c>
      <c r="G1" s="87" t="s">
        <v>2989</v>
      </c>
      <c r="H1" s="87" t="s">
        <v>872</v>
      </c>
      <c r="I1" s="87" t="s">
        <v>2990</v>
      </c>
      <c r="J1" s="87" t="s">
        <v>2991</v>
      </c>
      <c r="K1" s="87" t="s">
        <v>2992</v>
      </c>
      <c r="L1" s="87" t="s">
        <v>2993</v>
      </c>
      <c r="M1" s="87" t="s">
        <v>2994</v>
      </c>
      <c r="N1" s="87" t="s">
        <v>2995</v>
      </c>
      <c r="O1" s="87" t="s">
        <v>874</v>
      </c>
      <c r="P1" s="87" t="s">
        <v>521</v>
      </c>
      <c r="Q1" s="183" t="s">
        <v>480</v>
      </c>
      <c r="R1" s="87" t="s">
        <v>862</v>
      </c>
      <c r="S1" s="87" t="s">
        <v>875</v>
      </c>
    </row>
    <row r="2" customFormat="false" ht="18" hidden="false" customHeight="true" outlineLevel="0" collapsed="false">
      <c r="A2" s="176" t="s">
        <v>2996</v>
      </c>
      <c r="B2" s="176" t="s">
        <v>2997</v>
      </c>
      <c r="C2" s="176" t="s">
        <v>2857</v>
      </c>
      <c r="D2" s="176" t="s">
        <v>2998</v>
      </c>
      <c r="E2" s="176" t="s">
        <v>2999</v>
      </c>
      <c r="F2" s="176" t="s">
        <v>3000</v>
      </c>
      <c r="G2" s="176" t="s">
        <v>3001</v>
      </c>
      <c r="H2" s="176" t="s">
        <v>3002</v>
      </c>
      <c r="I2" s="176" t="s">
        <v>3003</v>
      </c>
      <c r="J2" s="176" t="s">
        <v>3004</v>
      </c>
      <c r="K2" s="176" t="s">
        <v>3005</v>
      </c>
      <c r="L2" s="176" t="s">
        <v>3006</v>
      </c>
      <c r="M2" s="176" t="s">
        <v>3007</v>
      </c>
      <c r="N2" s="176" t="s">
        <v>3008</v>
      </c>
      <c r="O2" s="176" t="s">
        <v>3009</v>
      </c>
      <c r="P2" s="176" t="s">
        <v>2703</v>
      </c>
      <c r="Q2" s="176" t="s">
        <v>2503</v>
      </c>
      <c r="R2" s="176" t="s">
        <v>2873</v>
      </c>
      <c r="S2" s="176" t="s">
        <v>3010</v>
      </c>
    </row>
    <row r="3" customFormat="false" ht="27.75" hidden="false" customHeight="true" outlineLevel="0" collapsed="false">
      <c r="A3" s="195" t="s">
        <v>3011</v>
      </c>
      <c r="B3" s="195" t="s">
        <v>3012</v>
      </c>
      <c r="C3" s="195" t="s">
        <v>3013</v>
      </c>
      <c r="D3" s="195" t="s">
        <v>2514</v>
      </c>
      <c r="E3" s="195" t="s">
        <v>3014</v>
      </c>
      <c r="F3" s="195" t="s">
        <v>88</v>
      </c>
      <c r="G3" s="195" t="s">
        <v>2521</v>
      </c>
      <c r="H3" s="195" t="s">
        <v>3015</v>
      </c>
      <c r="I3" s="195" t="s">
        <v>2514</v>
      </c>
      <c r="J3" s="195" t="s">
        <v>3016</v>
      </c>
      <c r="K3" s="195" t="s">
        <v>2514</v>
      </c>
      <c r="L3" s="195" t="s">
        <v>3017</v>
      </c>
      <c r="M3" s="195" t="s">
        <v>3018</v>
      </c>
      <c r="N3" s="195" t="s">
        <v>3019</v>
      </c>
      <c r="O3" s="195" t="s">
        <v>3020</v>
      </c>
      <c r="P3" s="195" t="s">
        <v>3021</v>
      </c>
      <c r="Q3" s="195" t="s">
        <v>2523</v>
      </c>
      <c r="R3" s="195" t="s">
        <v>2888</v>
      </c>
      <c r="S3" s="195" t="s">
        <v>3022</v>
      </c>
    </row>
    <row r="4" customFormat="false" ht="52.5" hidden="false" customHeight="true" outlineLevel="0" collapsed="false">
      <c r="A4" s="209" t="s">
        <v>132</v>
      </c>
      <c r="B4" s="210" t="str">
        <f aca="false">IFERROR(HYPERLINK("#'DL06. Đăng ký'!A"&amp;MATCH("ENR-2026-001",'DL06. Đăng ký'!A:A,0),"ENR-2026-001"),"ENR-2026-001")</f>
        <v>ENR-2026-001</v>
      </c>
      <c r="C4" s="210" t="str">
        <f aca="false">IFERROR(HYPERLINK("#'DL06. Đăng ký'!A"&amp;MATCH("HV001",'DL09. Học viên'!A:A,0),"HV001"),"HV001")</f>
        <v>HV001</v>
      </c>
      <c r="D4" s="209" t="s">
        <v>1112</v>
      </c>
      <c r="E4" s="209" t="s">
        <v>3023</v>
      </c>
      <c r="F4" s="210"/>
      <c r="G4" s="211" t="n">
        <v>46154.375</v>
      </c>
      <c r="H4" s="210" t="str">
        <f aca="false">IFERROR(HYPERLINK("#'DL06. Đăng ký'!A"&amp;MATCH("LOP-FOUND-PLA-01",'DL10. Lớp học'!A:A,0),"LOP-FOUND-PLA-01"),"LOP-FOUND-PLA-01")</f>
        <v>LOP-FOUND-PLA-01</v>
      </c>
      <c r="I4" s="209" t="s">
        <v>1117</v>
      </c>
      <c r="J4" s="211" t="n">
        <v>46155.375</v>
      </c>
      <c r="K4" s="209" t="s">
        <v>1123</v>
      </c>
      <c r="L4" s="209" t="s">
        <v>3024</v>
      </c>
      <c r="M4" s="211" t="n">
        <v>46155.375</v>
      </c>
      <c r="N4" s="230" t="n">
        <v>0</v>
      </c>
      <c r="O4" s="221" t="str">
        <f aca="false">IF(M4="","SLA: ?",IF(M4-G4&lt;=3,"Trong SLA 72h","Quá SLA 72h"))</f>
        <v>Trong SLA 72h</v>
      </c>
      <c r="P4" s="231" t="str">
        <f aca="false" t="array" ref="P4:P4">IF(AND(ISNUMBER(SEARCH("confirmed",D4)),ISNUMBER(SEARCH("confirmed",I4)),ISNUMBER(SEARCH("completed",K4))),INDEX('CH4. Thông điệp nhắc việc'!$G:$G,MATCH("NA089",'CH4. Thông điệp nhắc việc'!$A:$A,0)),IF(AND(ISNUMBER(SEARCH("confirmed",D4)),ISNUMBER(SEARCH("confirmed",I4)),NOT(ISNUMBER(SEARCH("completed",K4)))),INDEX('CH4. Thông điệp nhắc việc'!$G:$G,MATCH("NA090",'CH4. Thông điệp nhắc việc'!$A:$A,0)),""))</f>
        <v>Hoàn tất - set student.status = active (DL09)</v>
      </c>
      <c r="Q4" s="212" t="str">
        <f aca="true" t="array" ref="Q4:Q4">IF(AND(ISNUMBER(SEARCH("assigned",D4)),ISNUMBER(SEARCH("pending",I4)),(NOW()-N(G4))*24&gt;slaClassInfoZalo_hours),INDEX('CH4. Thông điệp nhắc việc'!$G:$G,MATCH("NA062",'CH4. Thông điệp nhắc việc'!$A:$A,0)),IF(AND(ISNUMBER(SEARCH("not_assigned",D4)),(NOW()-N(G4))*24&gt;slaPLR48_hours),INDEX('CH4. Thông điệp nhắc việc'!$G:$G,MATCH("NA063",'CH4. Thông điệp nhắc việc'!$A:$A,0)),IF(AND(ISNUMBER(SEARCH("assigned",D4)),(NOW()-N(G4))*24&gt;slaOBT_hours),INDEX('CH4. Thông điệp nhắc việc'!$G:$G,MATCH("NA010",'CH4. Thông điệp nhắc việc'!$A:$A,0)),IF(AND(ISNUMBER(SEARCH("in_progress",K4)),(NOW()-N(G4))*24&gt;slaOBT_hours),INDEX('CH4. Thông điệp nhắc việc'!$G:$G,MATCH("NA011",'CH4. Thông điệp nhắc việc'!$A:$A,0)),IF(ISNUMBER(SEARCH("completed",K4)),INDEX('CH4. Thông điệp nhắc việc'!$G:$G,MATCH("NA012",'CH4. Thông điệp nhắc việc'!$A:$A,0)),INDEX('CH4. Thông điệp nhắc việc'!$G:$G,MATCH("NA013",'CH4. Thông điệp nhắc việc'!$A:$A,0)))))))</f>
        <v>HV đã hoàn tất nhập học. Không cần làm gì thêm.</v>
      </c>
      <c r="R4" s="224" t="str">
        <f aca="false">IFERROR(VLOOKUP(C4,'DL09. Học viên'!$A:$B,2,FALSE()),"")</f>
        <v>Trần Minh Anh</v>
      </c>
      <c r="S4" s="224" t="str">
        <f aca="false">IFERROR(VLOOKUP(H4,'DL10. Lớp học'!$A:$B,2,FALSE()),"")</f>
        <v>Foundation PLA T7-CN sáng (06/2026)</v>
      </c>
    </row>
    <row r="5" customFormat="false" ht="52.5" hidden="false" customHeight="true" outlineLevel="0" collapsed="false">
      <c r="A5" s="209" t="s">
        <v>3025</v>
      </c>
      <c r="B5" s="210" t="str">
        <f aca="false">IFERROR(HYPERLINK("#'DL06. Đăng ký'!A"&amp;MATCH("ENR-2026-002",'DL06. Đăng ký'!A:A,0),"ENR-2026-002"),"ENR-2026-002")</f>
        <v>ENR-2026-002</v>
      </c>
      <c r="C5" s="210" t="str">
        <f aca="false">IFERROR(HYPERLINK("#'DL06. Đăng ký'!A"&amp;MATCH("HV002",'DL09. Học viên'!A:A,0),"HV002"),"HV002")</f>
        <v>HV002</v>
      </c>
      <c r="D5" s="209" t="s">
        <v>1112</v>
      </c>
      <c r="E5" s="209" t="s">
        <v>3026</v>
      </c>
      <c r="F5" s="210"/>
      <c r="G5" s="211" t="n">
        <v>46139.375</v>
      </c>
      <c r="H5" s="210" t="str">
        <f aca="false">IFERROR(HYPERLINK("#'DL06. Đăng ký'!A"&amp;MATCH("LOP-IELTS-6.5-04",'DL10. Lớp học'!A:A,0),"LOP-IELTS-6.5-04"),"LOP-IELTS-6.5-04")</f>
        <v>LOP-IELTS-6.5-04</v>
      </c>
      <c r="I5" s="209" t="s">
        <v>1117</v>
      </c>
      <c r="J5" s="211" t="n">
        <v>46140.375</v>
      </c>
      <c r="K5" s="209" t="s">
        <v>1123</v>
      </c>
      <c r="L5" s="209" t="s">
        <v>3024</v>
      </c>
      <c r="M5" s="211" t="n">
        <v>46140.375</v>
      </c>
      <c r="N5" s="230" t="n">
        <v>0</v>
      </c>
      <c r="O5" s="221" t="str">
        <f aca="false">IF(M5="","SLA: ?",IF(M5-G5&lt;=3,"Trong SLA 72h","Quá SLA 72h"))</f>
        <v>Trong SLA 72h</v>
      </c>
      <c r="P5" s="231" t="str">
        <f aca="false" t="array" ref="P5:P5">IF(AND(ISNUMBER(SEARCH("confirmed",D5)),ISNUMBER(SEARCH("confirmed",I5)),ISNUMBER(SEARCH("completed",K5))),INDEX('CH4. Thông điệp nhắc việc'!$G:$G,MATCH("NA089",'CH4. Thông điệp nhắc việc'!$A:$A,0)),IF(AND(ISNUMBER(SEARCH("confirmed",D5)),ISNUMBER(SEARCH("confirmed",I5)),NOT(ISNUMBER(SEARCH("completed",K5)))),INDEX('CH4. Thông điệp nhắc việc'!$G:$G,MATCH("NA090",'CH4. Thông điệp nhắc việc'!$A:$A,0)),""))</f>
        <v>Hoàn tất - set student.status = active (DL09)</v>
      </c>
      <c r="Q5" s="212" t="str">
        <f aca="true" t="array" ref="Q5:Q5">IF(AND(ISNUMBER(SEARCH("assigned",D5)),ISNUMBER(SEARCH("pending",I5)),(NOW()-N(G5))*24&gt;slaClassInfoZalo_hours),INDEX('CH4. Thông điệp nhắc việc'!$G:$G,MATCH("NA062",'CH4. Thông điệp nhắc việc'!$A:$A,0)),IF(AND(ISNUMBER(SEARCH("not_assigned",D5)),(NOW()-N(G5))*24&gt;slaPLR48_hours),INDEX('CH4. Thông điệp nhắc việc'!$G:$G,MATCH("NA063",'CH4. Thông điệp nhắc việc'!$A:$A,0)),IF(AND(ISNUMBER(SEARCH("assigned",D5)),(NOW()-N(G5))*24&gt;slaOBT_hours),INDEX('CH4. Thông điệp nhắc việc'!$G:$G,MATCH("NA010",'CH4. Thông điệp nhắc việc'!$A:$A,0)),IF(AND(ISNUMBER(SEARCH("in_progress",K5)),(NOW()-N(G5))*24&gt;slaOBT_hours),INDEX('CH4. Thông điệp nhắc việc'!$G:$G,MATCH("NA011",'CH4. Thông điệp nhắc việc'!$A:$A,0)),IF(ISNUMBER(SEARCH("completed",K5)),INDEX('CH4. Thông điệp nhắc việc'!$G:$G,MATCH("NA012",'CH4. Thông điệp nhắc việc'!$A:$A,0)),INDEX('CH4. Thông điệp nhắc việc'!$G:$G,MATCH("NA013",'CH4. Thông điệp nhắc việc'!$A:$A,0)))))))</f>
        <v>HV đã hoàn tất nhập học. Không cần làm gì thêm.</v>
      </c>
      <c r="R5" s="224" t="str">
        <f aca="false">IFERROR(VLOOKUP(C5,'DL09. Học viên'!$A:$B,2,FALSE()),"")</f>
        <v>Lê Thị Bích Ngọc</v>
      </c>
      <c r="S5" s="224" t="str">
        <f aca="false">IFERROR(VLOOKUP(H5,'DL10. Lớp học'!$A:$B,2,FALSE()),"")</f>
        <v>IELTS 6.5 Tối T2-T4-T6 (10/2025)</v>
      </c>
    </row>
    <row r="6" customFormat="false" ht="52.5" hidden="false" customHeight="true" outlineLevel="0" collapsed="false">
      <c r="A6" s="209" t="s">
        <v>3027</v>
      </c>
      <c r="B6" s="210" t="str">
        <f aca="false">IFERROR(HYPERLINK("#'DL06. Đăng ký'!A"&amp;MATCH("ENR-2026-003",'DL06. Đăng ký'!A:A,0),"ENR-2026-003"),"ENR-2026-003")</f>
        <v>ENR-2026-003</v>
      </c>
      <c r="C6" s="210" t="str">
        <f aca="false">IFERROR(HYPERLINK("#'DL06. Đăng ký'!A"&amp;MATCH("HV003",'DL09. Học viên'!A:A,0),"HV003"),"HV003")</f>
        <v>HV003</v>
      </c>
      <c r="D6" s="209" t="s">
        <v>1112</v>
      </c>
      <c r="E6" s="209" t="s">
        <v>3028</v>
      </c>
      <c r="F6" s="210"/>
      <c r="G6" s="211" t="n">
        <v>46159.375</v>
      </c>
      <c r="H6" s="210" t="str">
        <f aca="false">IFERROR(HYPERLINK("#'DL06. Đăng ký'!A"&amp;MATCH("LOP-IELTS-6.0-12",'DL10. Lớp học'!A:A,0),"LOP-IELTS-6.0-12"),"LOP-IELTS-6.0-12")</f>
        <v>LOP-IELTS-6.0-12</v>
      </c>
      <c r="I6" s="209" t="s">
        <v>1117</v>
      </c>
      <c r="J6" s="211" t="n">
        <v>46160.375</v>
      </c>
      <c r="K6" s="209" t="s">
        <v>1123</v>
      </c>
      <c r="L6" s="209" t="s">
        <v>3024</v>
      </c>
      <c r="M6" s="211" t="n">
        <v>46160.375</v>
      </c>
      <c r="N6" s="230" t="n">
        <v>0</v>
      </c>
      <c r="O6" s="221" t="str">
        <f aca="false">IF(M6="","SLA: ?",IF(M6-G6&lt;=3,"Trong SLA 72h","Quá SLA 72h"))</f>
        <v>Trong SLA 72h</v>
      </c>
      <c r="P6" s="231" t="str">
        <f aca="false" t="array" ref="P6:P6">IF(AND(ISNUMBER(SEARCH("confirmed",D6)),ISNUMBER(SEARCH("confirmed",I6)),ISNUMBER(SEARCH("completed",K6))),INDEX('CH4. Thông điệp nhắc việc'!$G:$G,MATCH("NA089",'CH4. Thông điệp nhắc việc'!$A:$A,0)),IF(AND(ISNUMBER(SEARCH("confirmed",D6)),ISNUMBER(SEARCH("confirmed",I6)),NOT(ISNUMBER(SEARCH("completed",K6)))),INDEX('CH4. Thông điệp nhắc việc'!$G:$G,MATCH("NA090",'CH4. Thông điệp nhắc việc'!$A:$A,0)),""))</f>
        <v>Hoàn tất - set student.status = active (DL09)</v>
      </c>
      <c r="Q6" s="212" t="str">
        <f aca="true" t="array" ref="Q6:Q6">IF(AND(ISNUMBER(SEARCH("assigned",D6)),ISNUMBER(SEARCH("pending",I6)),(NOW()-N(G6))*24&gt;slaClassInfoZalo_hours),INDEX('CH4. Thông điệp nhắc việc'!$G:$G,MATCH("NA062",'CH4. Thông điệp nhắc việc'!$A:$A,0)),IF(AND(ISNUMBER(SEARCH("not_assigned",D6)),(NOW()-N(G6))*24&gt;slaPLR48_hours),INDEX('CH4. Thông điệp nhắc việc'!$G:$G,MATCH("NA063",'CH4. Thông điệp nhắc việc'!$A:$A,0)),IF(AND(ISNUMBER(SEARCH("assigned",D6)),(NOW()-N(G6))*24&gt;slaOBT_hours),INDEX('CH4. Thông điệp nhắc việc'!$G:$G,MATCH("NA010",'CH4. Thông điệp nhắc việc'!$A:$A,0)),IF(AND(ISNUMBER(SEARCH("in_progress",K6)),(NOW()-N(G6))*24&gt;slaOBT_hours),INDEX('CH4. Thông điệp nhắc việc'!$G:$G,MATCH("NA011",'CH4. Thông điệp nhắc việc'!$A:$A,0)),IF(ISNUMBER(SEARCH("completed",K6)),INDEX('CH4. Thông điệp nhắc việc'!$G:$G,MATCH("NA012",'CH4. Thông điệp nhắc việc'!$A:$A,0)),INDEX('CH4. Thông điệp nhắc việc'!$G:$G,MATCH("NA013",'CH4. Thông điệp nhắc việc'!$A:$A,0)))))))</f>
        <v>HV đã hoàn tất nhập học. Không cần làm gì thêm.</v>
      </c>
      <c r="R6" s="224" t="str">
        <f aca="false">IFERROR(VLOOKUP(C6,'DL09. Học viên'!$A:$B,2,FALSE()),"")</f>
        <v>Phạm Quốc Cường</v>
      </c>
      <c r="S6" s="224" t="str">
        <f aca="false">IFERROR(VLOOKUP(H6,'DL10. Lớp học'!$A:$B,2,FALSE()),"")</f>
        <v>IELTS 6.0 Cuối tuần (01/2026)</v>
      </c>
    </row>
    <row r="7" customFormat="false" ht="52.5" hidden="false" customHeight="true" outlineLevel="0" collapsed="false">
      <c r="A7" s="209" t="s">
        <v>3029</v>
      </c>
      <c r="B7" s="210" t="str">
        <f aca="false">IFERROR(HYPERLINK("#'DL06. Đăng ký'!A"&amp;MATCH("ENR-2026-004",'DL06. Đăng ký'!A:A,0),"ENR-2026-004"),"ENR-2026-004")</f>
        <v>ENR-2026-004</v>
      </c>
      <c r="C7" s="210" t="str">
        <f aca="false">IFERROR(HYPERLINK("#'DL06. Đăng ký'!A"&amp;MATCH("HV004",'DL09. Học viên'!A:A,0),"HV004"),"HV004")</f>
        <v>HV004</v>
      </c>
      <c r="D7" s="209" t="s">
        <v>1112</v>
      </c>
      <c r="E7" s="209" t="s">
        <v>3026</v>
      </c>
      <c r="F7" s="210"/>
      <c r="G7" s="211" t="n">
        <v>46161.375</v>
      </c>
      <c r="H7" s="210" t="str">
        <f aca="false">IFERROR(HYPERLINK("#'DL06. Đăng ký'!A"&amp;MATCH("LOP-IELTS-7.0-02",'DL10. Lớp học'!A:A,0),"LOP-IELTS-7.0-02"),"LOP-IELTS-7.0-02")</f>
        <v>LOP-IELTS-7.0-02</v>
      </c>
      <c r="I7" s="209" t="s">
        <v>1117</v>
      </c>
      <c r="J7" s="211" t="n">
        <v>46162.375</v>
      </c>
      <c r="K7" s="209" t="s">
        <v>1123</v>
      </c>
      <c r="L7" s="209" t="s">
        <v>3024</v>
      </c>
      <c r="M7" s="211" t="n">
        <v>46162.375</v>
      </c>
      <c r="N7" s="230" t="n">
        <v>0</v>
      </c>
      <c r="O7" s="221" t="str">
        <f aca="false">IF(M7="","SLA: ?",IF(M7-G7&lt;=3,"Trong SLA 72h","Quá SLA 72h"))</f>
        <v>Trong SLA 72h</v>
      </c>
      <c r="P7" s="231" t="str">
        <f aca="false" t="array" ref="P7:P7">IF(AND(ISNUMBER(SEARCH("confirmed",D7)),ISNUMBER(SEARCH("confirmed",I7)),ISNUMBER(SEARCH("completed",K7))),INDEX('CH4. Thông điệp nhắc việc'!$G:$G,MATCH("NA089",'CH4. Thông điệp nhắc việc'!$A:$A,0)),IF(AND(ISNUMBER(SEARCH("confirmed",D7)),ISNUMBER(SEARCH("confirmed",I7)),NOT(ISNUMBER(SEARCH("completed",K7)))),INDEX('CH4. Thông điệp nhắc việc'!$G:$G,MATCH("NA090",'CH4. Thông điệp nhắc việc'!$A:$A,0)),""))</f>
        <v>Hoàn tất - set student.status = active (DL09)</v>
      </c>
      <c r="Q7" s="212" t="str">
        <f aca="true" t="array" ref="Q7:Q7">IF(AND(ISNUMBER(SEARCH("assigned",D7)),ISNUMBER(SEARCH("pending",I7)),(NOW()-N(G7))*24&gt;slaClassInfoZalo_hours),INDEX('CH4. Thông điệp nhắc việc'!$G:$G,MATCH("NA062",'CH4. Thông điệp nhắc việc'!$A:$A,0)),IF(AND(ISNUMBER(SEARCH("not_assigned",D7)),(NOW()-N(G7))*24&gt;slaPLR48_hours),INDEX('CH4. Thông điệp nhắc việc'!$G:$G,MATCH("NA063",'CH4. Thông điệp nhắc việc'!$A:$A,0)),IF(AND(ISNUMBER(SEARCH("assigned",D7)),(NOW()-N(G7))*24&gt;slaOBT_hours),INDEX('CH4. Thông điệp nhắc việc'!$G:$G,MATCH("NA010",'CH4. Thông điệp nhắc việc'!$A:$A,0)),IF(AND(ISNUMBER(SEARCH("in_progress",K7)),(NOW()-N(G7))*24&gt;slaOBT_hours),INDEX('CH4. Thông điệp nhắc việc'!$G:$G,MATCH("NA011",'CH4. Thông điệp nhắc việc'!$A:$A,0)),IF(ISNUMBER(SEARCH("completed",K7)),INDEX('CH4. Thông điệp nhắc việc'!$G:$G,MATCH("NA012",'CH4. Thông điệp nhắc việc'!$A:$A,0)),INDEX('CH4. Thông điệp nhắc việc'!$G:$G,MATCH("NA013",'CH4. Thông điệp nhắc việc'!$A:$A,0)))))))</f>
        <v>HV đã hoàn tất nhập học. Không cần làm gì thêm.</v>
      </c>
      <c r="R7" s="224" t="str">
        <f aca="false">IFERROR(VLOOKUP(C7,'DL09. Học viên'!$A:$B,2,FALSE()),"")</f>
        <v>Nguyễn Thị Dung</v>
      </c>
      <c r="S7" s="224" t="str">
        <f aca="false">IFERROR(VLOOKUP(H7,'DL10. Lớp học'!$A:$B,2,FALSE()),"")</f>
        <v>IELTS 7.0+ Tối T3-T5 (02/2026)</v>
      </c>
    </row>
    <row r="8" customFormat="false" ht="52.5" hidden="false" customHeight="true" outlineLevel="0" collapsed="false">
      <c r="A8" s="209" t="s">
        <v>3030</v>
      </c>
      <c r="B8" s="210" t="str">
        <f aca="false">IFERROR(HYPERLINK("#'DL06. Đăng ký'!A"&amp;MATCH("ENR-2026-005",'DL06. Đăng ký'!A:A,0),"ENR-2026-005"),"ENR-2026-005")</f>
        <v>ENR-2026-005</v>
      </c>
      <c r="C8" s="210" t="str">
        <f aca="false">IFERROR(HYPERLINK("#'DL06. Đăng ký'!A"&amp;MATCH("HV005",'DL09. Học viên'!A:A,0),"HV005"),"HV005")</f>
        <v>HV005</v>
      </c>
      <c r="D8" s="209" t="s">
        <v>1112</v>
      </c>
      <c r="E8" s="209" t="s">
        <v>3031</v>
      </c>
      <c r="F8" s="210"/>
      <c r="G8" s="211" t="n">
        <v>46164.375</v>
      </c>
      <c r="H8" s="210" t="str">
        <f aca="false">IFERROR(HYPERLINK("#'DL06. Đăng ký'!A"&amp;MATCH("LOP-IELTS-6.5-03",'DL10. Lớp học'!A:A,0),"LOP-IELTS-6.5-03"),"LOP-IELTS-6.5-03")</f>
        <v>LOP-IELTS-6.5-03</v>
      </c>
      <c r="I8" s="209" t="s">
        <v>1117</v>
      </c>
      <c r="J8" s="211" t="n">
        <v>46165.375</v>
      </c>
      <c r="K8" s="209" t="s">
        <v>1123</v>
      </c>
      <c r="L8" s="209" t="s">
        <v>3024</v>
      </c>
      <c r="M8" s="211" t="n">
        <v>46165.375</v>
      </c>
      <c r="N8" s="230" t="n">
        <v>0</v>
      </c>
      <c r="O8" s="221" t="str">
        <f aca="false">IF(M8="","SLA: ?",IF(M8-G8&lt;=3,"Trong SLA 72h","Quá SLA 72h"))</f>
        <v>Trong SLA 72h</v>
      </c>
      <c r="P8" s="231" t="str">
        <f aca="false" t="array" ref="P8:P8">IF(AND(ISNUMBER(SEARCH("confirmed",D8)),ISNUMBER(SEARCH("confirmed",I8)),ISNUMBER(SEARCH("completed",K8))),INDEX('CH4. Thông điệp nhắc việc'!$G:$G,MATCH("NA089",'CH4. Thông điệp nhắc việc'!$A:$A,0)),IF(AND(ISNUMBER(SEARCH("confirmed",D8)),ISNUMBER(SEARCH("confirmed",I8)),NOT(ISNUMBER(SEARCH("completed",K8)))),INDEX('CH4. Thông điệp nhắc việc'!$G:$G,MATCH("NA090",'CH4. Thông điệp nhắc việc'!$A:$A,0)),""))</f>
        <v>Hoàn tất - set student.status = active (DL09)</v>
      </c>
      <c r="Q8" s="212" t="str">
        <f aca="true" t="array" ref="Q8:Q8">IF(AND(ISNUMBER(SEARCH("assigned",D8)),ISNUMBER(SEARCH("pending",I8)),(NOW()-N(G8))*24&gt;slaClassInfoZalo_hours),INDEX('CH4. Thông điệp nhắc việc'!$G:$G,MATCH("NA062",'CH4. Thông điệp nhắc việc'!$A:$A,0)),IF(AND(ISNUMBER(SEARCH("not_assigned",D8)),(NOW()-N(G8))*24&gt;slaPLR48_hours),INDEX('CH4. Thông điệp nhắc việc'!$G:$G,MATCH("NA063",'CH4. Thông điệp nhắc việc'!$A:$A,0)),IF(AND(ISNUMBER(SEARCH("assigned",D8)),(NOW()-N(G8))*24&gt;slaOBT_hours),INDEX('CH4. Thông điệp nhắc việc'!$G:$G,MATCH("NA010",'CH4. Thông điệp nhắc việc'!$A:$A,0)),IF(AND(ISNUMBER(SEARCH("in_progress",K8)),(NOW()-N(G8))*24&gt;slaOBT_hours),INDEX('CH4. Thông điệp nhắc việc'!$G:$G,MATCH("NA011",'CH4. Thông điệp nhắc việc'!$A:$A,0)),IF(ISNUMBER(SEARCH("completed",K8)),INDEX('CH4. Thông điệp nhắc việc'!$G:$G,MATCH("NA012",'CH4. Thông điệp nhắc việc'!$A:$A,0)),INDEX('CH4. Thông điệp nhắc việc'!$G:$G,MATCH("NA013",'CH4. Thông điệp nhắc việc'!$A:$A,0)))))))</f>
        <v>HV đã hoàn tất nhập học. Không cần làm gì thêm.</v>
      </c>
      <c r="R8" s="224" t="str">
        <f aca="false">IFERROR(VLOOKUP(C8,'DL09. Học viên'!$A:$B,2,FALSE()),"")</f>
        <v>Võ Hoàng Em</v>
      </c>
      <c r="S8" s="224" t="str">
        <f aca="false">IFERROR(VLOOKUP(H8,'DL10. Lớp học'!$A:$B,2,FALSE()),"")</f>
        <v>IELTS 6.5 Tối (05/2025)</v>
      </c>
    </row>
    <row r="9" customFormat="false" ht="52.5" hidden="false" customHeight="true" outlineLevel="0" collapsed="false">
      <c r="A9" s="209" t="s">
        <v>3032</v>
      </c>
      <c r="B9" s="210" t="str">
        <f aca="false">IFERROR(HYPERLINK("#'DL06. Đăng ký'!A"&amp;MATCH("ENR-2026-006",'DL06. Đăng ký'!A:A,0),"ENR-2026-006"),"ENR-2026-006")</f>
        <v>ENR-2026-006</v>
      </c>
      <c r="C9" s="210" t="str">
        <f aca="false">IFERROR(HYPERLINK("#'DL06. Đăng ký'!A"&amp;MATCH("HV006",'DL09. Học viên'!A:A,0),"HV006"),"HV006")</f>
        <v>HV006</v>
      </c>
      <c r="D9" s="209" t="s">
        <v>1111</v>
      </c>
      <c r="E9" s="209" t="s">
        <v>3033</v>
      </c>
      <c r="F9" s="210"/>
      <c r="G9" s="211" t="n">
        <v>46203.375</v>
      </c>
      <c r="H9" s="210" t="str">
        <f aca="false">IFERROR(HYPERLINK("#'DL06. Đăng ký'!A"&amp;MATCH("LOP-FOUND-02",'DL10. Lớp học'!A:A,0),"LOP-FOUND-02"),"LOP-FOUND-02")</f>
        <v>LOP-FOUND-02</v>
      </c>
      <c r="I9" s="209" t="s">
        <v>1116</v>
      </c>
      <c r="J9" s="211"/>
      <c r="K9" s="209" t="s">
        <v>292</v>
      </c>
      <c r="L9" s="209" t="s">
        <v>3034</v>
      </c>
      <c r="M9" s="211"/>
      <c r="N9" s="230" t="n">
        <v>0</v>
      </c>
      <c r="O9" s="221" t="str">
        <f aca="false">IF(M9="","SLA: ?",IF(M9-G9&lt;=3,"Trong SLA 72h","Quá SLA 72h"))</f>
        <v>SLA: ?</v>
      </c>
      <c r="P9" s="231" t="str">
        <f aca="false" t="array" ref="P9:P9">IF(AND(ISNUMBER(SEARCH("confirmed",D9)),ISNUMBER(SEARCH("confirmed",I9)),ISNUMBER(SEARCH("completed",K9))),INDEX('CH4. Thông điệp nhắc việc'!$G:$G,MATCH("NA089",'CH4. Thông điệp nhắc việc'!$A:$A,0)),IF(AND(ISNUMBER(SEARCH("confirmed",D9)),ISNUMBER(SEARCH("confirmed",I9)),NOT(ISNUMBER(SEARCH("completed",K9)))),INDEX('CH4. Thông điệp nhắc việc'!$G:$G,MATCH("NA090",'CH4. Thông điệp nhắc việc'!$A:$A,0)),""))</f>
        <v/>
      </c>
      <c r="Q9" s="212" t="str">
        <f aca="true" t="array" ref="Q9:Q9">IF(AND(ISNUMBER(SEARCH("assigned",D9)),ISNUMBER(SEARCH("pending",I9)),(NOW()-N(G9))*24&gt;slaClassInfoZalo_hours),INDEX('CH4. Thông điệp nhắc việc'!$G:$G,MATCH("NA062",'CH4. Thông điệp nhắc việc'!$A:$A,0)),IF(AND(ISNUMBER(SEARCH("not_assigned",D9)),(NOW()-N(G9))*24&gt;slaPLR48_hours),INDEX('CH4. Thông điệp nhắc việc'!$G:$G,MATCH("NA063",'CH4. Thông điệp nhắc việc'!$A:$A,0)),IF(AND(ISNUMBER(SEARCH("assigned",D9)),(NOW()-N(G9))*24&gt;slaOBT_hours),INDEX('CH4. Thông điệp nhắc việc'!$G:$G,MATCH("NA010",'CH4. Thông điệp nhắc việc'!$A:$A,0)),IF(AND(ISNUMBER(SEARCH("in_progress",K9)),(NOW()-N(G9))*24&gt;slaOBT_hours),INDEX('CH4. Thông điệp nhắc việc'!$G:$G,MATCH("NA011",'CH4. Thông điệp nhắc việc'!$A:$A,0)),IF(ISNUMBER(SEARCH("completed",K9)),INDEX('CH4. Thông điệp nhắc việc'!$G:$G,MATCH("NA012",'CH4. Thông điệp nhắc việc'!$A:$A,0)),INDEX('CH4. Thông điệp nhắc việc'!$G:$G,MATCH("NA013",'CH4. Thông điệp nhắc việc'!$A:$A,0)))))))</f>
        <v>Đã xếp lớp nhưng quá 24 giờ (cấu hình slaClassInfoZalo_hours) chưa gửi thông tin lớp. Việc cần làm: gửi thông tin lớp qua Zalo cho HV ngay.</v>
      </c>
      <c r="R9" s="224" t="str">
        <f aca="false">IFERROR(VLOOKUP(C9,'DL09. Học viên'!$A:$B,2,FALSE()),"")</f>
        <v>Đặng Thu Hà</v>
      </c>
      <c r="S9" s="224" t="str">
        <f aca="false">IFERROR(VLOOKUP(H9,'DL10. Lớp học'!$A:$B,2,FALSE()),"")</f>
        <v>Foundation Tối T2-T4-T6 (07/2026)</v>
      </c>
    </row>
    <row r="10" customFormat="false" ht="52.5" hidden="false" customHeight="true" outlineLevel="0" collapsed="false">
      <c r="A10" s="209" t="s">
        <v>3035</v>
      </c>
      <c r="B10" s="210" t="str">
        <f aca="false">IFERROR(HYPERLINK("#'DL06. Đăng ký'!A"&amp;MATCH("ENR-2026-008",'DL06. Đăng ký'!A:A,0),"ENR-2026-008"),"ENR-2026-008")</f>
        <v>ENR-2026-008</v>
      </c>
      <c r="C10" s="210" t="str">
        <f aca="false">IFERROR(HYPERLINK("#'DL06. Đăng ký'!A"&amp;MATCH("HV008",'DL09. Học viên'!A:A,0),"HV008"),"HV008")</f>
        <v>HV008</v>
      </c>
      <c r="D10" s="209" t="s">
        <v>1111</v>
      </c>
      <c r="E10" s="209" t="s">
        <v>3036</v>
      </c>
      <c r="F10" s="210"/>
      <c r="G10" s="211" t="n">
        <v>46204.375</v>
      </c>
      <c r="H10" s="210" t="str">
        <f aca="false">IFERROR(HYPERLINK("#'DL06. Đăng ký'!A"&amp;MATCH("LOP-IELTS-6.5-03",'DL10. Lớp học'!A:A,0),"LOP-IELTS-6.5-03"),"LOP-IELTS-6.5-03")</f>
        <v>LOP-IELTS-6.5-03</v>
      </c>
      <c r="I10" s="209" t="s">
        <v>1116</v>
      </c>
      <c r="J10" s="211"/>
      <c r="K10" s="209" t="s">
        <v>292</v>
      </c>
      <c r="L10" s="209" t="s">
        <v>3037</v>
      </c>
      <c r="M10" s="211"/>
      <c r="N10" s="230" t="n">
        <v>0</v>
      </c>
      <c r="O10" s="221" t="str">
        <f aca="false">IF(M10="","SLA: ?",IF(M10-G10&lt;=3,"Trong SLA 72h","Quá SLA 72h"))</f>
        <v>SLA: ?</v>
      </c>
      <c r="P10" s="231" t="str">
        <f aca="false" t="array" ref="P10:P10">IF(AND(ISNUMBER(SEARCH("confirmed",D10)),ISNUMBER(SEARCH("confirmed",I10)),ISNUMBER(SEARCH("completed",K10))),INDEX('CH4. Thông điệp nhắc việc'!$G:$G,MATCH("NA089",'CH4. Thông điệp nhắc việc'!$A:$A,0)),IF(AND(ISNUMBER(SEARCH("confirmed",D10)),ISNUMBER(SEARCH("confirmed",I10)),NOT(ISNUMBER(SEARCH("completed",K10)))),INDEX('CH4. Thông điệp nhắc việc'!$G:$G,MATCH("NA090",'CH4. Thông điệp nhắc việc'!$A:$A,0)),""))</f>
        <v/>
      </c>
      <c r="Q10" s="212" t="str">
        <f aca="true" t="array" ref="Q10:Q10">IF(AND(ISNUMBER(SEARCH("assigned",D10)),ISNUMBER(SEARCH("pending",I10)),(NOW()-N(G10))*24&gt;slaClassInfoZalo_hours),INDEX('CH4. Thông điệp nhắc việc'!$G:$G,MATCH("NA062",'CH4. Thông điệp nhắc việc'!$A:$A,0)),IF(AND(ISNUMBER(SEARCH("not_assigned",D10)),(NOW()-N(G10))*24&gt;slaPLR48_hours),INDEX('CH4. Thông điệp nhắc việc'!$G:$G,MATCH("NA063",'CH4. Thông điệp nhắc việc'!$A:$A,0)),IF(AND(ISNUMBER(SEARCH("assigned",D10)),(NOW()-N(G10))*24&gt;slaOBT_hours),INDEX('CH4. Thông điệp nhắc việc'!$G:$G,MATCH("NA010",'CH4. Thông điệp nhắc việc'!$A:$A,0)),IF(AND(ISNUMBER(SEARCH("in_progress",K10)),(NOW()-N(G10))*24&gt;slaOBT_hours),INDEX('CH4. Thông điệp nhắc việc'!$G:$G,MATCH("NA011",'CH4. Thông điệp nhắc việc'!$A:$A,0)),IF(ISNUMBER(SEARCH("completed",K10)),INDEX('CH4. Thông điệp nhắc việc'!$G:$G,MATCH("NA012",'CH4. Thông điệp nhắc việc'!$A:$A,0)),INDEX('CH4. Thông điệp nhắc việc'!$G:$G,MATCH("NA013",'CH4. Thông điệp nhắc việc'!$A:$A,0)))))))</f>
        <v>Đã xếp lớp nhưng quá 24 giờ (cấu hình slaClassInfoZalo_hours) chưa gửi thông tin lớp. Việc cần làm: gửi thông tin lớp qua Zalo cho HV ngay.</v>
      </c>
      <c r="R10" s="224" t="str">
        <f aca="false">IFERROR(VLOOKUP(C10,'DL09. Học viên'!$A:$B,2,FALSE()),"")</f>
        <v>Hồ Thị Hoa</v>
      </c>
      <c r="S10" s="224" t="str">
        <f aca="false">IFERROR(VLOOKUP(H10,'DL10. Lớp học'!$A:$B,2,FALSE()),"")</f>
        <v>IELTS 6.5 Tối (05/2025)</v>
      </c>
    </row>
    <row r="11" customFormat="false" ht="52.5" hidden="false" customHeight="true" outlineLevel="0" collapsed="false">
      <c r="A11" s="209" t="s">
        <v>3038</v>
      </c>
      <c r="B11" s="210" t="str">
        <f aca="false">IFERROR(HYPERLINK("#'DL06. Đăng ký'!A"&amp;MATCH("ENR-2026-009",'DL06. Đăng ký'!A:A,0),"ENR-2026-009"),"ENR-2026-009")</f>
        <v>ENR-2026-009</v>
      </c>
      <c r="C11" s="210" t="str">
        <f aca="false">IFERROR(HYPERLINK("#'DL06. Đăng ký'!A"&amp;MATCH("HV009",'DL09. Học viên'!A:A,0),"HV009"),"HV009")</f>
        <v>HV009</v>
      </c>
      <c r="D11" s="209" t="s">
        <v>1112</v>
      </c>
      <c r="E11" s="209" t="s">
        <v>3039</v>
      </c>
      <c r="F11" s="210"/>
      <c r="G11" s="211" t="n">
        <v>46179.375</v>
      </c>
      <c r="H11" s="210" t="str">
        <f aca="false">IFERROR(HYPERLINK("#'DL06. Đăng ký'!A"&amp;MATCH("LOP-FOUND-PLA-01",'DL10. Lớp học'!A:A,0),"LOP-FOUND-PLA-01"),"LOP-FOUND-PLA-01")</f>
        <v>LOP-FOUND-PLA-01</v>
      </c>
      <c r="I11" s="209" t="s">
        <v>1117</v>
      </c>
      <c r="J11" s="211" t="n">
        <v>46179.625</v>
      </c>
      <c r="K11" s="209" t="s">
        <v>1123</v>
      </c>
      <c r="L11" s="209" t="s">
        <v>3024</v>
      </c>
      <c r="M11" s="211" t="n">
        <v>46180.375</v>
      </c>
      <c r="N11" s="230" t="n">
        <v>0</v>
      </c>
      <c r="O11" s="221" t="str">
        <f aca="false">IF(M11="","SLA: ?",IF(M11-G11&lt;=3,"Trong SLA 72h","Quá SLA 72h"))</f>
        <v>Trong SLA 72h</v>
      </c>
      <c r="P11" s="231" t="str">
        <f aca="false" t="array" ref="P11:P11">IF(AND(ISNUMBER(SEARCH("confirmed",D11)),ISNUMBER(SEARCH("confirmed",I11)),ISNUMBER(SEARCH("completed",K11))),INDEX('CH4. Thông điệp nhắc việc'!$G:$G,MATCH("NA089",'CH4. Thông điệp nhắc việc'!$A:$A,0)),IF(AND(ISNUMBER(SEARCH("confirmed",D11)),ISNUMBER(SEARCH("confirmed",I11)),NOT(ISNUMBER(SEARCH("completed",K11)))),INDEX('CH4. Thông điệp nhắc việc'!$G:$G,MATCH("NA090",'CH4. Thông điệp nhắc việc'!$A:$A,0)),""))</f>
        <v>Hoàn tất - set student.status = active (DL09)</v>
      </c>
      <c r="Q11" s="212" t="str">
        <f aca="true" t="array" ref="Q11:Q11">IF(AND(ISNUMBER(SEARCH("assigned",D11)),ISNUMBER(SEARCH("pending",I11)),(NOW()-N(G11))*24&gt;slaClassInfoZalo_hours),INDEX('CH4. Thông điệp nhắc việc'!$G:$G,MATCH("NA062",'CH4. Thông điệp nhắc việc'!$A:$A,0)),IF(AND(ISNUMBER(SEARCH("not_assigned",D11)),(NOW()-N(G11))*24&gt;slaPLR48_hours),INDEX('CH4. Thông điệp nhắc việc'!$G:$G,MATCH("NA063",'CH4. Thông điệp nhắc việc'!$A:$A,0)),IF(AND(ISNUMBER(SEARCH("assigned",D11)),(NOW()-N(G11))*24&gt;slaOBT_hours),INDEX('CH4. Thông điệp nhắc việc'!$G:$G,MATCH("NA010",'CH4. Thông điệp nhắc việc'!$A:$A,0)),IF(AND(ISNUMBER(SEARCH("in_progress",K11)),(NOW()-N(G11))*24&gt;slaOBT_hours),INDEX('CH4. Thông điệp nhắc việc'!$G:$G,MATCH("NA011",'CH4. Thông điệp nhắc việc'!$A:$A,0)),IF(ISNUMBER(SEARCH("completed",K11)),INDEX('CH4. Thông điệp nhắc việc'!$G:$G,MATCH("NA012",'CH4. Thông điệp nhắc việc'!$A:$A,0)),INDEX('CH4. Thông điệp nhắc việc'!$G:$G,MATCH("NA013",'CH4. Thông điệp nhắc việc'!$A:$A,0)))))))</f>
        <v>HV đã hoàn tất nhập học. Không cần làm gì thêm.</v>
      </c>
      <c r="R11" s="224" t="str">
        <f aca="false">IFERROR(VLOOKUP(C11,'DL09. Học viên'!$A:$B,2,FALSE()),"")</f>
        <v>Lý Gia Khang</v>
      </c>
      <c r="S11" s="224" t="str">
        <f aca="false">IFERROR(VLOOKUP(H11,'DL10. Lớp học'!$A:$B,2,FALSE()),"")</f>
        <v>Foundation PLA T7-CN sáng (06/2026)</v>
      </c>
    </row>
    <row r="12" customFormat="false" ht="52.5" hidden="false" customHeight="true" outlineLevel="0" collapsed="false">
      <c r="A12" s="209" t="s">
        <v>3040</v>
      </c>
      <c r="B12" s="210" t="str">
        <f aca="false">IFERROR(HYPERLINK("#'DL06. Đăng ký'!A"&amp;MATCH("ENR-2026-010",'DL06. Đăng ký'!A:A,0),"ENR-2026-010"),"ENR-2026-010")</f>
        <v>ENR-2026-010</v>
      </c>
      <c r="C12" s="210" t="str">
        <f aca="false">IFERROR(HYPERLINK("#'DL06. Đăng ký'!A"&amp;MATCH("HV010",'DL09. Học viên'!A:A,0),"HV010"),"HV010")</f>
        <v>HV010</v>
      </c>
      <c r="D12" s="209" t="s">
        <v>1112</v>
      </c>
      <c r="E12" s="209" t="s">
        <v>3039</v>
      </c>
      <c r="F12" s="210"/>
      <c r="G12" s="211" t="n">
        <v>46181.375</v>
      </c>
      <c r="H12" s="210" t="str">
        <f aca="false">IFERROR(HYPERLINK("#'DL06. Đăng ký'!A"&amp;MATCH("LOP-FOUND-PLA-01",'DL10. Lớp học'!A:A,0),"LOP-FOUND-PLA-01"),"LOP-FOUND-PLA-01")</f>
        <v>LOP-FOUND-PLA-01</v>
      </c>
      <c r="I12" s="209" t="s">
        <v>1117</v>
      </c>
      <c r="J12" s="211" t="n">
        <v>46181.625</v>
      </c>
      <c r="K12" s="209" t="s">
        <v>1123</v>
      </c>
      <c r="L12" s="209" t="s">
        <v>3024</v>
      </c>
      <c r="M12" s="211" t="n">
        <v>46182.375</v>
      </c>
      <c r="N12" s="230" t="n">
        <v>0</v>
      </c>
      <c r="O12" s="221" t="str">
        <f aca="false">IF(M12="","SLA: ?",IF(M12-G12&lt;=3,"Trong SLA 72h","Quá SLA 72h"))</f>
        <v>Trong SLA 72h</v>
      </c>
      <c r="P12" s="231" t="str">
        <f aca="false" t="array" ref="P12:P12">IF(AND(ISNUMBER(SEARCH("confirmed",D12)),ISNUMBER(SEARCH("confirmed",I12)),ISNUMBER(SEARCH("completed",K12))),INDEX('CH4. Thông điệp nhắc việc'!$G:$G,MATCH("NA089",'CH4. Thông điệp nhắc việc'!$A:$A,0)),IF(AND(ISNUMBER(SEARCH("confirmed",D12)),ISNUMBER(SEARCH("confirmed",I12)),NOT(ISNUMBER(SEARCH("completed",K12)))),INDEX('CH4. Thông điệp nhắc việc'!$G:$G,MATCH("NA090",'CH4. Thông điệp nhắc việc'!$A:$A,0)),""))</f>
        <v>Hoàn tất - set student.status = active (DL09)</v>
      </c>
      <c r="Q12" s="212" t="str">
        <f aca="true" t="array" ref="Q12:Q12">IF(AND(ISNUMBER(SEARCH("assigned",D12)),ISNUMBER(SEARCH("pending",I12)),(NOW()-N(G12))*24&gt;slaClassInfoZalo_hours),INDEX('CH4. Thông điệp nhắc việc'!$G:$G,MATCH("NA062",'CH4. Thông điệp nhắc việc'!$A:$A,0)),IF(AND(ISNUMBER(SEARCH("not_assigned",D12)),(NOW()-N(G12))*24&gt;slaPLR48_hours),INDEX('CH4. Thông điệp nhắc việc'!$G:$G,MATCH("NA063",'CH4. Thông điệp nhắc việc'!$A:$A,0)),IF(AND(ISNUMBER(SEARCH("assigned",D12)),(NOW()-N(G12))*24&gt;slaOBT_hours),INDEX('CH4. Thông điệp nhắc việc'!$G:$G,MATCH("NA010",'CH4. Thông điệp nhắc việc'!$A:$A,0)),IF(AND(ISNUMBER(SEARCH("in_progress",K12)),(NOW()-N(G12))*24&gt;slaOBT_hours),INDEX('CH4. Thông điệp nhắc việc'!$G:$G,MATCH("NA011",'CH4. Thông điệp nhắc việc'!$A:$A,0)),IF(ISNUMBER(SEARCH("completed",K12)),INDEX('CH4. Thông điệp nhắc việc'!$G:$G,MATCH("NA012",'CH4. Thông điệp nhắc việc'!$A:$A,0)),INDEX('CH4. Thông điệp nhắc việc'!$G:$G,MATCH("NA013",'CH4. Thông điệp nhắc việc'!$A:$A,0)))))))</f>
        <v>HV đã hoàn tất nhập học. Không cần làm gì thêm.</v>
      </c>
      <c r="R12" s="224" t="str">
        <f aca="false">IFERROR(VLOOKUP(C12,'DL09. Học viên'!$A:$B,2,FALSE()),"")</f>
        <v>Trương Mỹ Lan</v>
      </c>
      <c r="S12" s="224" t="str">
        <f aca="false">IFERROR(VLOOKUP(H12,'DL10. Lớp học'!$A:$B,2,FALSE()),"")</f>
        <v>Foundation PLA T7-CN sáng (06/2026)</v>
      </c>
    </row>
    <row r="13" customFormat="false" ht="52.5" hidden="false" customHeight="true" outlineLevel="0" collapsed="false">
      <c r="A13" s="209" t="s">
        <v>3041</v>
      </c>
      <c r="B13" s="210" t="str">
        <f aca="false">IFERROR(HYPERLINK("#'DL06. Đăng ký'!A"&amp;MATCH("ENR-2026-011",'DL06. Đăng ký'!A:A,0),"ENR-2026-011"),"ENR-2026-011")</f>
        <v>ENR-2026-011</v>
      </c>
      <c r="C13" s="210" t="str">
        <f aca="false">IFERROR(HYPERLINK("#'DL06. Đăng ký'!A"&amp;MATCH("HV011",'DL09. Học viên'!A:A,0),"HV011"),"HV011")</f>
        <v>HV011</v>
      </c>
      <c r="D13" s="209" t="s">
        <v>1112</v>
      </c>
      <c r="E13" s="209" t="s">
        <v>3039</v>
      </c>
      <c r="F13" s="210"/>
      <c r="G13" s="211" t="n">
        <v>46183.375</v>
      </c>
      <c r="H13" s="210" t="str">
        <f aca="false">IFERROR(HYPERLINK("#'DL06. Đăng ký'!A"&amp;MATCH("LOP-IELTS-6.5-04",'DL10. Lớp học'!A:A,0),"LOP-IELTS-6.5-04"),"LOP-IELTS-6.5-04")</f>
        <v>LOP-IELTS-6.5-04</v>
      </c>
      <c r="I13" s="209" t="s">
        <v>1117</v>
      </c>
      <c r="J13" s="211" t="n">
        <v>46183.625</v>
      </c>
      <c r="K13" s="209" t="s">
        <v>1123</v>
      </c>
      <c r="L13" s="209" t="s">
        <v>3024</v>
      </c>
      <c r="M13" s="211" t="n">
        <v>46184.375</v>
      </c>
      <c r="N13" s="230" t="n">
        <v>0</v>
      </c>
      <c r="O13" s="221" t="str">
        <f aca="false">IF(M13="","SLA: ?",IF(M13-G13&lt;=3,"Trong SLA 72h","Quá SLA 72h"))</f>
        <v>Trong SLA 72h</v>
      </c>
      <c r="P13" s="231" t="str">
        <f aca="false" t="array" ref="P13:P13">IF(AND(ISNUMBER(SEARCH("confirmed",D13)),ISNUMBER(SEARCH("confirmed",I13)),ISNUMBER(SEARCH("completed",K13))),INDEX('CH4. Thông điệp nhắc việc'!$G:$G,MATCH("NA089",'CH4. Thông điệp nhắc việc'!$A:$A,0)),IF(AND(ISNUMBER(SEARCH("confirmed",D13)),ISNUMBER(SEARCH("confirmed",I13)),NOT(ISNUMBER(SEARCH("completed",K13)))),INDEX('CH4. Thông điệp nhắc việc'!$G:$G,MATCH("NA090",'CH4. Thông điệp nhắc việc'!$A:$A,0)),""))</f>
        <v>Hoàn tất - set student.status = active (DL09)</v>
      </c>
      <c r="Q13" s="212" t="str">
        <f aca="true" t="array" ref="Q13:Q13">IF(AND(ISNUMBER(SEARCH("assigned",D13)),ISNUMBER(SEARCH("pending",I13)),(NOW()-N(G13))*24&gt;slaClassInfoZalo_hours),INDEX('CH4. Thông điệp nhắc việc'!$G:$G,MATCH("NA062",'CH4. Thông điệp nhắc việc'!$A:$A,0)),IF(AND(ISNUMBER(SEARCH("not_assigned",D13)),(NOW()-N(G13))*24&gt;slaPLR48_hours),INDEX('CH4. Thông điệp nhắc việc'!$G:$G,MATCH("NA063",'CH4. Thông điệp nhắc việc'!$A:$A,0)),IF(AND(ISNUMBER(SEARCH("assigned",D13)),(NOW()-N(G13))*24&gt;slaOBT_hours),INDEX('CH4. Thông điệp nhắc việc'!$G:$G,MATCH("NA010",'CH4. Thông điệp nhắc việc'!$A:$A,0)),IF(AND(ISNUMBER(SEARCH("in_progress",K13)),(NOW()-N(G13))*24&gt;slaOBT_hours),INDEX('CH4. Thông điệp nhắc việc'!$G:$G,MATCH("NA011",'CH4. Thông điệp nhắc việc'!$A:$A,0)),IF(ISNUMBER(SEARCH("completed",K13)),INDEX('CH4. Thông điệp nhắc việc'!$G:$G,MATCH("NA012",'CH4. Thông điệp nhắc việc'!$A:$A,0)),INDEX('CH4. Thông điệp nhắc việc'!$G:$G,MATCH("NA013",'CH4. Thông điệp nhắc việc'!$A:$A,0)))))))</f>
        <v>HV đã hoàn tất nhập học. Không cần làm gì thêm.</v>
      </c>
      <c r="R13" s="224" t="str">
        <f aca="false">IFERROR(VLOOKUP(C13,'DL09. Học viên'!$A:$B,2,FALSE()),"")</f>
        <v>Phan Đức Minh</v>
      </c>
      <c r="S13" s="224" t="str">
        <f aca="false">IFERROR(VLOOKUP(H13,'DL10. Lớp học'!$A:$B,2,FALSE()),"")</f>
        <v>IELTS 6.5 Tối T2-T4-T6 (10/2025)</v>
      </c>
    </row>
    <row r="14" customFormat="false" ht="52.5" hidden="false" customHeight="true" outlineLevel="0" collapsed="false">
      <c r="A14" s="209" t="s">
        <v>3042</v>
      </c>
      <c r="B14" s="210" t="str">
        <f aca="false">IFERROR(HYPERLINK("#'DL06. Đăng ký'!A"&amp;MATCH("ENR-2026-012",'DL06. Đăng ký'!A:A,0),"ENR-2026-012"),"ENR-2026-012")</f>
        <v>ENR-2026-012</v>
      </c>
      <c r="C14" s="210" t="str">
        <f aca="false">IFERROR(HYPERLINK("#'DL06. Đăng ký'!A"&amp;MATCH("HV012",'DL09. Học viên'!A:A,0),"HV012"),"HV012")</f>
        <v>HV012</v>
      </c>
      <c r="D14" s="209" t="s">
        <v>1112</v>
      </c>
      <c r="E14" s="209" t="s">
        <v>3039</v>
      </c>
      <c r="F14" s="210"/>
      <c r="G14" s="211" t="n">
        <v>46187.375</v>
      </c>
      <c r="H14" s="210" t="str">
        <f aca="false">IFERROR(HYPERLINK("#'DL06. Đăng ký'!A"&amp;MATCH("LOP-IELTS-6.0-12",'DL10. Lớp học'!A:A,0),"LOP-IELTS-6.0-12"),"LOP-IELTS-6.0-12")</f>
        <v>LOP-IELTS-6.0-12</v>
      </c>
      <c r="I14" s="209" t="s">
        <v>1117</v>
      </c>
      <c r="J14" s="211" t="n">
        <v>46187.625</v>
      </c>
      <c r="K14" s="209" t="s">
        <v>1123</v>
      </c>
      <c r="L14" s="209" t="s">
        <v>3024</v>
      </c>
      <c r="M14" s="211" t="n">
        <v>46188.375</v>
      </c>
      <c r="N14" s="230" t="n">
        <v>0</v>
      </c>
      <c r="O14" s="221" t="str">
        <f aca="false">IF(M14="","SLA: ?",IF(M14-G14&lt;=3,"Trong SLA 72h","Quá SLA 72h"))</f>
        <v>Trong SLA 72h</v>
      </c>
      <c r="P14" s="231" t="str">
        <f aca="false" t="array" ref="P14:P14">IF(AND(ISNUMBER(SEARCH("confirmed",D14)),ISNUMBER(SEARCH("confirmed",I14)),ISNUMBER(SEARCH("completed",K14))),INDEX('CH4. Thông điệp nhắc việc'!$G:$G,MATCH("NA089",'CH4. Thông điệp nhắc việc'!$A:$A,0)),IF(AND(ISNUMBER(SEARCH("confirmed",D14)),ISNUMBER(SEARCH("confirmed",I14)),NOT(ISNUMBER(SEARCH("completed",K14)))),INDEX('CH4. Thông điệp nhắc việc'!$G:$G,MATCH("NA090",'CH4. Thông điệp nhắc việc'!$A:$A,0)),""))</f>
        <v>Hoàn tất - set student.status = active (DL09)</v>
      </c>
      <c r="Q14" s="212" t="str">
        <f aca="true" t="array" ref="Q14:Q14">IF(AND(ISNUMBER(SEARCH("assigned",D14)),ISNUMBER(SEARCH("pending",I14)),(NOW()-N(G14))*24&gt;slaClassInfoZalo_hours),INDEX('CH4. Thông điệp nhắc việc'!$G:$G,MATCH("NA062",'CH4. Thông điệp nhắc việc'!$A:$A,0)),IF(AND(ISNUMBER(SEARCH("not_assigned",D14)),(NOW()-N(G14))*24&gt;slaPLR48_hours),INDEX('CH4. Thông điệp nhắc việc'!$G:$G,MATCH("NA063",'CH4. Thông điệp nhắc việc'!$A:$A,0)),IF(AND(ISNUMBER(SEARCH("assigned",D14)),(NOW()-N(G14))*24&gt;slaOBT_hours),INDEX('CH4. Thông điệp nhắc việc'!$G:$G,MATCH("NA010",'CH4. Thông điệp nhắc việc'!$A:$A,0)),IF(AND(ISNUMBER(SEARCH("in_progress",K14)),(NOW()-N(G14))*24&gt;slaOBT_hours),INDEX('CH4. Thông điệp nhắc việc'!$G:$G,MATCH("NA011",'CH4. Thông điệp nhắc việc'!$A:$A,0)),IF(ISNUMBER(SEARCH("completed",K14)),INDEX('CH4. Thông điệp nhắc việc'!$G:$G,MATCH("NA012",'CH4. Thông điệp nhắc việc'!$A:$A,0)),INDEX('CH4. Thông điệp nhắc việc'!$G:$G,MATCH("NA013",'CH4. Thông điệp nhắc việc'!$A:$A,0)))))))</f>
        <v>HV đã hoàn tất nhập học. Không cần làm gì thêm.</v>
      </c>
      <c r="R14" s="224" t="str">
        <f aca="false">IFERROR(VLOOKUP(C14,'DL09. Học viên'!$A:$B,2,FALSE()),"")</f>
        <v>Vũ Thảo Nhi</v>
      </c>
      <c r="S14" s="224" t="str">
        <f aca="false">IFERROR(VLOOKUP(H14,'DL10. Lớp học'!$A:$B,2,FALSE()),"")</f>
        <v>IELTS 6.0 Cuối tuần (01/2026)</v>
      </c>
    </row>
    <row r="15" customFormat="false" ht="52.5" hidden="false" customHeight="true" outlineLevel="0" collapsed="false">
      <c r="A15" s="209" t="s">
        <v>3043</v>
      </c>
      <c r="B15" s="210" t="str">
        <f aca="false">IFERROR(HYPERLINK("#'DL06. Đăng ký'!A"&amp;MATCH("ENR-2026-013",'DL06. Đăng ký'!A:A,0),"ENR-2026-013"),"ENR-2026-013")</f>
        <v>ENR-2026-013</v>
      </c>
      <c r="C15" s="210" t="str">
        <f aca="false">IFERROR(HYPERLINK("#'DL06. Đăng ký'!A"&amp;MATCH("HV013",'DL09. Học viên'!A:A,0),"HV013"),"HV013")</f>
        <v>HV013</v>
      </c>
      <c r="D15" s="209" t="s">
        <v>1112</v>
      </c>
      <c r="E15" s="209" t="s">
        <v>3039</v>
      </c>
      <c r="F15" s="210"/>
      <c r="G15" s="211" t="n">
        <v>46191.375</v>
      </c>
      <c r="H15" s="210" t="str">
        <f aca="false">IFERROR(HYPERLINK("#'DL06. Đăng ký'!A"&amp;MATCH("LOP-IELTS-7.0-02",'DL10. Lớp học'!A:A,0),"LOP-IELTS-7.0-02"),"LOP-IELTS-7.0-02")</f>
        <v>LOP-IELTS-7.0-02</v>
      </c>
      <c r="I15" s="209" t="s">
        <v>1117</v>
      </c>
      <c r="J15" s="211" t="n">
        <v>46191.625</v>
      </c>
      <c r="K15" s="209" t="s">
        <v>1123</v>
      </c>
      <c r="L15" s="209" t="s">
        <v>3024</v>
      </c>
      <c r="M15" s="211" t="n">
        <v>46192.375</v>
      </c>
      <c r="N15" s="230" t="n">
        <v>0</v>
      </c>
      <c r="O15" s="221" t="str">
        <f aca="false">IF(M15="","SLA: ?",IF(M15-G15&lt;=3,"Trong SLA 72h","Quá SLA 72h"))</f>
        <v>Trong SLA 72h</v>
      </c>
      <c r="P15" s="231" t="str">
        <f aca="false" t="array" ref="P15:P15">IF(AND(ISNUMBER(SEARCH("confirmed",D15)),ISNUMBER(SEARCH("confirmed",I15)),ISNUMBER(SEARCH("completed",K15))),INDEX('CH4. Thông điệp nhắc việc'!$G:$G,MATCH("NA089",'CH4. Thông điệp nhắc việc'!$A:$A,0)),IF(AND(ISNUMBER(SEARCH("confirmed",D15)),ISNUMBER(SEARCH("confirmed",I15)),NOT(ISNUMBER(SEARCH("completed",K15)))),INDEX('CH4. Thông điệp nhắc việc'!$G:$G,MATCH("NA090",'CH4. Thông điệp nhắc việc'!$A:$A,0)),""))</f>
        <v>Hoàn tất - set student.status = active (DL09)</v>
      </c>
      <c r="Q15" s="212" t="str">
        <f aca="true" t="array" ref="Q15:Q15">IF(AND(ISNUMBER(SEARCH("assigned",D15)),ISNUMBER(SEARCH("pending",I15)),(NOW()-N(G15))*24&gt;slaClassInfoZalo_hours),INDEX('CH4. Thông điệp nhắc việc'!$G:$G,MATCH("NA062",'CH4. Thông điệp nhắc việc'!$A:$A,0)),IF(AND(ISNUMBER(SEARCH("not_assigned",D15)),(NOW()-N(G15))*24&gt;slaPLR48_hours),INDEX('CH4. Thông điệp nhắc việc'!$G:$G,MATCH("NA063",'CH4. Thông điệp nhắc việc'!$A:$A,0)),IF(AND(ISNUMBER(SEARCH("assigned",D15)),(NOW()-N(G15))*24&gt;slaOBT_hours),INDEX('CH4. Thông điệp nhắc việc'!$G:$G,MATCH("NA010",'CH4. Thông điệp nhắc việc'!$A:$A,0)),IF(AND(ISNUMBER(SEARCH("in_progress",K15)),(NOW()-N(G15))*24&gt;slaOBT_hours),INDEX('CH4. Thông điệp nhắc việc'!$G:$G,MATCH("NA011",'CH4. Thông điệp nhắc việc'!$A:$A,0)),IF(ISNUMBER(SEARCH("completed",K15)),INDEX('CH4. Thông điệp nhắc việc'!$G:$G,MATCH("NA012",'CH4. Thông điệp nhắc việc'!$A:$A,0)),INDEX('CH4. Thông điệp nhắc việc'!$G:$G,MATCH("NA013",'CH4. Thông điệp nhắc việc'!$A:$A,0)))))))</f>
        <v>HV đã hoàn tất nhập học. Không cần làm gì thêm.</v>
      </c>
      <c r="R15" s="224" t="str">
        <f aca="false">IFERROR(VLOOKUP(C15,'DL09. Học viên'!$A:$B,2,FALSE()),"")</f>
        <v>Đinh Công Phú</v>
      </c>
      <c r="S15" s="224" t="str">
        <f aca="false">IFERROR(VLOOKUP(H15,'DL10. Lớp học'!$A:$B,2,FALSE()),"")</f>
        <v>IELTS 7.0+ Tối T3-T5 (02/2026)</v>
      </c>
    </row>
    <row r="16" customFormat="false" ht="52.5" hidden="false" customHeight="true" outlineLevel="0" collapsed="false">
      <c r="A16" s="209" t="s">
        <v>3044</v>
      </c>
      <c r="B16" s="210" t="str">
        <f aca="false">IFERROR(HYPERLINK("#'DL06. Đăng ký'!A"&amp;MATCH("ENR-2026-014",'DL06. Đăng ký'!A:A,0),"ENR-2026-014"),"ENR-2026-014")</f>
        <v>ENR-2026-014</v>
      </c>
      <c r="C16" s="210" t="str">
        <f aca="false">IFERROR(HYPERLINK("#'DL06. Đăng ký'!A"&amp;MATCH("HV014",'DL09. Học viên'!A:A,0),"HV014"),"HV014")</f>
        <v>HV014</v>
      </c>
      <c r="D16" s="209" t="s">
        <v>1112</v>
      </c>
      <c r="E16" s="209" t="s">
        <v>3039</v>
      </c>
      <c r="F16" s="210"/>
      <c r="G16" s="211" t="n">
        <v>46199.375</v>
      </c>
      <c r="H16" s="210" t="str">
        <f aca="false">IFERROR(HYPERLINK("#'DL06. Đăng ký'!A"&amp;MATCH("LOP-IELTS-6.5-03",'DL10. Lớp học'!A:A,0),"LOP-IELTS-6.5-03"),"LOP-IELTS-6.5-03")</f>
        <v>LOP-IELTS-6.5-03</v>
      </c>
      <c r="I16" s="209" t="s">
        <v>1117</v>
      </c>
      <c r="J16" s="211" t="n">
        <v>46199.625</v>
      </c>
      <c r="K16" s="209" t="s">
        <v>1123</v>
      </c>
      <c r="L16" s="209" t="s">
        <v>3024</v>
      </c>
      <c r="M16" s="211" t="n">
        <v>46200.375</v>
      </c>
      <c r="N16" s="230" t="n">
        <v>0</v>
      </c>
      <c r="O16" s="221" t="str">
        <f aca="false">IF(M16="","SLA: ?",IF(M16-G16&lt;=3,"Trong SLA 72h","Quá SLA 72h"))</f>
        <v>Trong SLA 72h</v>
      </c>
      <c r="P16" s="231" t="str">
        <f aca="false" t="array" ref="P16:P16">IF(AND(ISNUMBER(SEARCH("confirmed",D16)),ISNUMBER(SEARCH("confirmed",I16)),ISNUMBER(SEARCH("completed",K16))),INDEX('CH4. Thông điệp nhắc việc'!$G:$G,MATCH("NA089",'CH4. Thông điệp nhắc việc'!$A:$A,0)),IF(AND(ISNUMBER(SEARCH("confirmed",D16)),ISNUMBER(SEARCH("confirmed",I16)),NOT(ISNUMBER(SEARCH("completed",K16)))),INDEX('CH4. Thông điệp nhắc việc'!$G:$G,MATCH("NA090",'CH4. Thông điệp nhắc việc'!$A:$A,0)),""))</f>
        <v>Hoàn tất - set student.status = active (DL09)</v>
      </c>
      <c r="Q16" s="212" t="str">
        <f aca="true" t="array" ref="Q16:Q16">IF(AND(ISNUMBER(SEARCH("assigned",D16)),ISNUMBER(SEARCH("pending",I16)),(NOW()-N(G16))*24&gt;slaClassInfoZalo_hours),INDEX('CH4. Thông điệp nhắc việc'!$G:$G,MATCH("NA062",'CH4. Thông điệp nhắc việc'!$A:$A,0)),IF(AND(ISNUMBER(SEARCH("not_assigned",D16)),(NOW()-N(G16))*24&gt;slaPLR48_hours),INDEX('CH4. Thông điệp nhắc việc'!$G:$G,MATCH("NA063",'CH4. Thông điệp nhắc việc'!$A:$A,0)),IF(AND(ISNUMBER(SEARCH("assigned",D16)),(NOW()-N(G16))*24&gt;slaOBT_hours),INDEX('CH4. Thông điệp nhắc việc'!$G:$G,MATCH("NA010",'CH4. Thông điệp nhắc việc'!$A:$A,0)),IF(AND(ISNUMBER(SEARCH("in_progress",K16)),(NOW()-N(G16))*24&gt;slaOBT_hours),INDEX('CH4. Thông điệp nhắc việc'!$G:$G,MATCH("NA011",'CH4. Thông điệp nhắc việc'!$A:$A,0)),IF(ISNUMBER(SEARCH("completed",K16)),INDEX('CH4. Thông điệp nhắc việc'!$G:$G,MATCH("NA012",'CH4. Thông điệp nhắc việc'!$A:$A,0)),INDEX('CH4. Thông điệp nhắc việc'!$G:$G,MATCH("NA013",'CH4. Thông điệp nhắc việc'!$A:$A,0)))))))</f>
        <v>HV đã hoàn tất nhập học. Không cần làm gì thêm.</v>
      </c>
      <c r="R16" s="224" t="str">
        <f aca="false">IFERROR(VLOOKUP(C16,'DL09. Học viên'!$A:$B,2,FALSE()),"")</f>
        <v>Mai Xuân Quỳnh</v>
      </c>
      <c r="S16" s="224" t="str">
        <f aca="false">IFERROR(VLOOKUP(H16,'DL10. Lớp học'!$A:$B,2,FALSE()),"")</f>
        <v>IELTS 6.5 Tối (05/2025)</v>
      </c>
    </row>
    <row r="17" customFormat="false" ht="15" hidden="false" customHeight="true" outlineLevel="0" collapsed="false">
      <c r="A17" s="135"/>
      <c r="B17" s="135"/>
      <c r="C17" s="135"/>
      <c r="D17" s="135"/>
      <c r="E17" s="135"/>
      <c r="F17" s="135"/>
      <c r="G17" s="189"/>
      <c r="H17" s="135"/>
      <c r="I17" s="135"/>
      <c r="J17" s="189"/>
      <c r="K17" s="135"/>
      <c r="L17" s="135"/>
      <c r="M17" s="189"/>
      <c r="N17" s="135"/>
      <c r="O17" s="135"/>
      <c r="P17" s="135"/>
      <c r="Q17" s="135"/>
      <c r="R17" s="135"/>
      <c r="S17" s="135"/>
    </row>
    <row r="18" customFormat="false" ht="15" hidden="false" customHeight="true" outlineLevel="0" collapsed="false">
      <c r="A18" s="135"/>
      <c r="B18" s="135"/>
      <c r="C18" s="135"/>
      <c r="D18" s="135"/>
      <c r="E18" s="135"/>
      <c r="F18" s="135"/>
      <c r="G18" s="189"/>
      <c r="H18" s="135"/>
      <c r="I18" s="135"/>
      <c r="J18" s="189"/>
      <c r="K18" s="135"/>
      <c r="L18" s="135"/>
      <c r="M18" s="189"/>
      <c r="N18" s="135"/>
      <c r="O18" s="135"/>
      <c r="P18" s="135"/>
      <c r="Q18" s="135"/>
      <c r="R18" s="135"/>
      <c r="S18" s="135"/>
    </row>
    <row r="19" customFormat="false" ht="15" hidden="false" customHeight="true" outlineLevel="0" collapsed="false">
      <c r="A19" s="135"/>
      <c r="B19" s="135"/>
      <c r="C19" s="135"/>
      <c r="D19" s="135"/>
      <c r="E19" s="135"/>
      <c r="F19" s="135"/>
      <c r="G19" s="189"/>
      <c r="H19" s="135"/>
      <c r="I19" s="135"/>
      <c r="J19" s="189"/>
      <c r="K19" s="135"/>
      <c r="L19" s="135"/>
      <c r="M19" s="189"/>
      <c r="N19" s="135"/>
      <c r="O19" s="135"/>
      <c r="P19" s="135"/>
      <c r="Q19" s="135"/>
      <c r="R19" s="135"/>
      <c r="S19" s="135"/>
    </row>
    <row r="20" customFormat="false" ht="15" hidden="false" customHeight="true" outlineLevel="0" collapsed="false">
      <c r="A20" s="135"/>
      <c r="B20" s="135"/>
      <c r="C20" s="135"/>
      <c r="D20" s="135"/>
      <c r="E20" s="135"/>
      <c r="F20" s="135"/>
      <c r="G20" s="189"/>
      <c r="H20" s="135"/>
      <c r="I20" s="135"/>
      <c r="J20" s="189"/>
      <c r="K20" s="135"/>
      <c r="L20" s="135"/>
      <c r="M20" s="189"/>
      <c r="N20" s="135"/>
      <c r="O20" s="135"/>
      <c r="P20" s="135"/>
      <c r="Q20" s="135"/>
      <c r="R20" s="135"/>
      <c r="S20" s="135"/>
    </row>
    <row r="21" customFormat="false" ht="15.75" hidden="false" customHeight="true" outlineLevel="0" collapsed="false">
      <c r="A21" s="135"/>
      <c r="B21" s="135"/>
      <c r="C21" s="135"/>
      <c r="D21" s="135"/>
      <c r="E21" s="135"/>
      <c r="F21" s="135"/>
      <c r="G21" s="189"/>
      <c r="H21" s="135"/>
      <c r="I21" s="135"/>
      <c r="J21" s="189"/>
      <c r="K21" s="135"/>
      <c r="L21" s="135"/>
      <c r="M21" s="189"/>
      <c r="N21" s="135"/>
      <c r="O21" s="135"/>
      <c r="P21" s="135"/>
      <c r="Q21" s="135"/>
      <c r="R21" s="135"/>
      <c r="S21" s="135"/>
    </row>
    <row r="22" customFormat="false" ht="15.75" hidden="false" customHeight="true" outlineLevel="0" collapsed="false">
      <c r="A22" s="135"/>
      <c r="B22" s="135"/>
      <c r="C22" s="135"/>
      <c r="D22" s="135"/>
      <c r="E22" s="135"/>
      <c r="F22" s="135"/>
      <c r="G22" s="189"/>
      <c r="H22" s="135"/>
      <c r="I22" s="135"/>
      <c r="J22" s="189"/>
      <c r="K22" s="135"/>
      <c r="L22" s="135"/>
      <c r="M22" s="189"/>
      <c r="N22" s="135"/>
      <c r="O22" s="135"/>
      <c r="P22" s="135"/>
      <c r="Q22" s="135"/>
      <c r="R22" s="135"/>
      <c r="S22" s="135"/>
    </row>
    <row r="23" customFormat="false" ht="15.75" hidden="false" customHeight="true" outlineLevel="0" collapsed="false">
      <c r="A23" s="135"/>
      <c r="B23" s="135"/>
      <c r="C23" s="135"/>
      <c r="D23" s="135"/>
      <c r="E23" s="135"/>
      <c r="F23" s="135"/>
      <c r="G23" s="189"/>
      <c r="H23" s="135"/>
      <c r="I23" s="135"/>
      <c r="J23" s="189"/>
      <c r="K23" s="135"/>
      <c r="L23" s="135"/>
      <c r="M23" s="189"/>
      <c r="N23" s="135"/>
      <c r="O23" s="135"/>
      <c r="P23" s="135"/>
      <c r="Q23" s="135"/>
      <c r="R23" s="135"/>
      <c r="S23" s="135"/>
    </row>
    <row r="24" customFormat="false" ht="15.75" hidden="false" customHeight="true" outlineLevel="0" collapsed="false">
      <c r="A24" s="135"/>
      <c r="B24" s="135"/>
      <c r="C24" s="135"/>
      <c r="D24" s="135"/>
      <c r="E24" s="135"/>
      <c r="F24" s="135"/>
      <c r="G24" s="189"/>
      <c r="H24" s="135"/>
      <c r="I24" s="135"/>
      <c r="J24" s="189"/>
      <c r="K24" s="135"/>
      <c r="L24" s="135"/>
      <c r="M24" s="189"/>
      <c r="N24" s="135"/>
      <c r="O24" s="135"/>
      <c r="P24" s="135"/>
      <c r="Q24" s="135"/>
      <c r="R24" s="135"/>
      <c r="S24" s="135"/>
    </row>
    <row r="25" customFormat="false" ht="15.75" hidden="false" customHeight="true" outlineLevel="0" collapsed="false">
      <c r="A25" s="135"/>
      <c r="B25" s="135"/>
      <c r="C25" s="135"/>
      <c r="D25" s="135"/>
      <c r="E25" s="135"/>
      <c r="F25" s="135"/>
      <c r="G25" s="189"/>
      <c r="H25" s="135"/>
      <c r="I25" s="135"/>
      <c r="J25" s="189"/>
      <c r="K25" s="135"/>
      <c r="L25" s="135"/>
      <c r="M25" s="189"/>
      <c r="N25" s="135"/>
      <c r="O25" s="135"/>
      <c r="P25" s="135"/>
      <c r="Q25" s="135"/>
      <c r="R25" s="135"/>
      <c r="S25" s="135"/>
    </row>
    <row r="26" customFormat="false" ht="15.75" hidden="false" customHeight="true" outlineLevel="0" collapsed="false">
      <c r="A26" s="135"/>
      <c r="B26" s="135"/>
      <c r="C26" s="135"/>
      <c r="D26" s="135"/>
      <c r="E26" s="135"/>
      <c r="F26" s="135"/>
      <c r="G26" s="189"/>
      <c r="H26" s="135"/>
      <c r="I26" s="135"/>
      <c r="J26" s="189"/>
      <c r="K26" s="135"/>
      <c r="L26" s="135"/>
      <c r="M26" s="189"/>
      <c r="N26" s="135"/>
      <c r="O26" s="135"/>
      <c r="P26" s="135"/>
      <c r="Q26" s="135"/>
      <c r="R26" s="135"/>
      <c r="S26" s="135"/>
    </row>
    <row r="27" customFormat="false" ht="15.75" hidden="false" customHeight="true" outlineLevel="0" collapsed="false">
      <c r="A27" s="135"/>
      <c r="B27" s="135"/>
      <c r="C27" s="135"/>
      <c r="D27" s="135"/>
      <c r="E27" s="135"/>
      <c r="F27" s="135"/>
      <c r="G27" s="189"/>
      <c r="H27" s="135"/>
      <c r="I27" s="135"/>
      <c r="J27" s="189"/>
      <c r="K27" s="135"/>
      <c r="L27" s="135"/>
      <c r="M27" s="189"/>
      <c r="N27" s="135"/>
      <c r="O27" s="135"/>
      <c r="P27" s="135"/>
      <c r="Q27" s="135"/>
      <c r="R27" s="135"/>
      <c r="S27" s="135"/>
    </row>
    <row r="28" customFormat="false" ht="15.75" hidden="false" customHeight="true" outlineLevel="0" collapsed="false">
      <c r="A28" s="135"/>
      <c r="B28" s="135"/>
      <c r="C28" s="135"/>
      <c r="D28" s="135"/>
      <c r="E28" s="135"/>
      <c r="F28" s="135"/>
      <c r="G28" s="189"/>
      <c r="H28" s="135"/>
      <c r="I28" s="135"/>
      <c r="J28" s="189"/>
      <c r="K28" s="135"/>
      <c r="L28" s="135"/>
      <c r="M28" s="189"/>
      <c r="N28" s="135"/>
      <c r="O28" s="135"/>
      <c r="P28" s="135"/>
      <c r="Q28" s="135"/>
      <c r="R28" s="135"/>
      <c r="S28" s="135"/>
    </row>
    <row r="29" customFormat="false" ht="15.75" hidden="false" customHeight="true" outlineLevel="0" collapsed="false">
      <c r="A29" s="135"/>
      <c r="B29" s="135"/>
      <c r="C29" s="135"/>
      <c r="D29" s="135"/>
      <c r="E29" s="135"/>
      <c r="F29" s="135"/>
      <c r="G29" s="189"/>
      <c r="H29" s="135"/>
      <c r="I29" s="135"/>
      <c r="J29" s="189"/>
      <c r="K29" s="135"/>
      <c r="L29" s="135"/>
      <c r="M29" s="189"/>
      <c r="N29" s="135"/>
      <c r="O29" s="135"/>
      <c r="P29" s="135"/>
      <c r="Q29" s="135"/>
      <c r="R29" s="135"/>
      <c r="S29" s="135"/>
    </row>
    <row r="30" customFormat="false" ht="15.75" hidden="false" customHeight="true" outlineLevel="0" collapsed="false">
      <c r="A30" s="135"/>
      <c r="B30" s="135"/>
      <c r="C30" s="135"/>
      <c r="D30" s="135"/>
      <c r="E30" s="135"/>
      <c r="F30" s="135"/>
      <c r="G30" s="189"/>
      <c r="H30" s="135"/>
      <c r="I30" s="135"/>
      <c r="J30" s="189"/>
      <c r="K30" s="135"/>
      <c r="L30" s="135"/>
      <c r="M30" s="189"/>
      <c r="N30" s="135"/>
      <c r="O30" s="135"/>
      <c r="P30" s="135"/>
      <c r="Q30" s="135"/>
      <c r="R30" s="135"/>
      <c r="S30" s="135"/>
    </row>
    <row r="31" customFormat="false" ht="15.75" hidden="false" customHeight="true" outlineLevel="0" collapsed="false">
      <c r="A31" s="135"/>
      <c r="B31" s="135"/>
      <c r="C31" s="135"/>
      <c r="D31" s="135"/>
      <c r="E31" s="135"/>
      <c r="F31" s="135"/>
      <c r="G31" s="189"/>
      <c r="H31" s="135"/>
      <c r="I31" s="135"/>
      <c r="J31" s="189"/>
      <c r="K31" s="135"/>
      <c r="L31" s="135"/>
      <c r="M31" s="189"/>
      <c r="N31" s="135"/>
      <c r="O31" s="135"/>
      <c r="P31" s="135"/>
      <c r="Q31" s="135"/>
      <c r="R31" s="135"/>
      <c r="S31" s="135"/>
    </row>
    <row r="32" customFormat="false" ht="15.75" hidden="false" customHeight="true" outlineLevel="0" collapsed="false">
      <c r="A32" s="135"/>
      <c r="B32" s="135"/>
      <c r="C32" s="135"/>
      <c r="D32" s="135"/>
      <c r="E32" s="135"/>
      <c r="F32" s="135"/>
      <c r="G32" s="189"/>
      <c r="H32" s="135"/>
      <c r="I32" s="135"/>
      <c r="J32" s="189"/>
      <c r="K32" s="135"/>
      <c r="L32" s="135"/>
      <c r="M32" s="189"/>
      <c r="N32" s="135"/>
      <c r="O32" s="135"/>
      <c r="P32" s="135"/>
      <c r="Q32" s="135"/>
      <c r="R32" s="135"/>
      <c r="S32" s="135"/>
    </row>
    <row r="33" customFormat="false" ht="15.75" hidden="false" customHeight="true" outlineLevel="0" collapsed="false">
      <c r="A33" s="135"/>
      <c r="B33" s="135"/>
      <c r="C33" s="135"/>
      <c r="D33" s="135"/>
      <c r="E33" s="135"/>
      <c r="F33" s="135"/>
      <c r="G33" s="189"/>
      <c r="H33" s="135"/>
      <c r="I33" s="135"/>
      <c r="J33" s="189"/>
      <c r="K33" s="135"/>
      <c r="L33" s="135"/>
      <c r="M33" s="189"/>
      <c r="N33" s="135"/>
      <c r="O33" s="135"/>
      <c r="P33" s="135"/>
      <c r="Q33" s="135"/>
      <c r="R33" s="135"/>
      <c r="S33" s="135"/>
    </row>
    <row r="34" customFormat="false" ht="15.75" hidden="false" customHeight="true" outlineLevel="0" collapsed="false">
      <c r="A34" s="135"/>
      <c r="B34" s="135"/>
      <c r="C34" s="135"/>
      <c r="D34" s="135"/>
      <c r="E34" s="135"/>
      <c r="F34" s="135"/>
      <c r="G34" s="189"/>
      <c r="H34" s="135"/>
      <c r="I34" s="135"/>
      <c r="J34" s="189"/>
      <c r="K34" s="135"/>
      <c r="L34" s="135"/>
      <c r="M34" s="189"/>
      <c r="N34" s="135"/>
      <c r="O34" s="135"/>
      <c r="P34" s="135"/>
      <c r="Q34" s="135"/>
      <c r="R34" s="135"/>
      <c r="S34" s="135"/>
    </row>
    <row r="35" customFormat="false" ht="15.75" hidden="false" customHeight="true" outlineLevel="0" collapsed="false">
      <c r="A35" s="135"/>
      <c r="B35" s="135"/>
      <c r="C35" s="135"/>
      <c r="D35" s="135"/>
      <c r="E35" s="135"/>
      <c r="F35" s="135"/>
      <c r="G35" s="189"/>
      <c r="H35" s="135"/>
      <c r="I35" s="135"/>
      <c r="J35" s="189"/>
      <c r="K35" s="135"/>
      <c r="L35" s="135"/>
      <c r="M35" s="189"/>
      <c r="N35" s="135"/>
      <c r="O35" s="135"/>
      <c r="P35" s="135"/>
      <c r="Q35" s="135"/>
      <c r="R35" s="135"/>
      <c r="S35" s="135"/>
    </row>
    <row r="36" customFormat="false" ht="15.75" hidden="false" customHeight="true" outlineLevel="0" collapsed="false">
      <c r="A36" s="135"/>
      <c r="B36" s="135"/>
      <c r="C36" s="135"/>
      <c r="D36" s="135"/>
      <c r="E36" s="135"/>
      <c r="F36" s="135"/>
      <c r="G36" s="189"/>
      <c r="H36" s="135"/>
      <c r="I36" s="135"/>
      <c r="J36" s="189"/>
      <c r="K36" s="135"/>
      <c r="L36" s="135"/>
      <c r="M36" s="189"/>
      <c r="N36" s="135"/>
      <c r="O36" s="135"/>
      <c r="P36" s="135"/>
      <c r="Q36" s="135"/>
      <c r="R36" s="135"/>
      <c r="S36" s="135"/>
    </row>
    <row r="37" customFormat="false" ht="15.75" hidden="false" customHeight="true" outlineLevel="0" collapsed="false">
      <c r="A37" s="135"/>
      <c r="B37" s="135"/>
      <c r="C37" s="135"/>
      <c r="D37" s="135"/>
      <c r="E37" s="135"/>
      <c r="F37" s="135"/>
      <c r="G37" s="189"/>
      <c r="H37" s="135"/>
      <c r="I37" s="135"/>
      <c r="J37" s="189"/>
      <c r="K37" s="135"/>
      <c r="L37" s="135"/>
      <c r="M37" s="189"/>
      <c r="N37" s="135"/>
      <c r="O37" s="135"/>
      <c r="P37" s="135"/>
      <c r="Q37" s="135"/>
      <c r="R37" s="135"/>
      <c r="S37" s="135"/>
    </row>
    <row r="38" customFormat="false" ht="15.75" hidden="false" customHeight="true" outlineLevel="0" collapsed="false">
      <c r="A38" s="135"/>
      <c r="B38" s="135"/>
      <c r="C38" s="135"/>
      <c r="D38" s="135"/>
      <c r="E38" s="135"/>
      <c r="F38" s="135"/>
      <c r="G38" s="189"/>
      <c r="H38" s="135"/>
      <c r="I38" s="135"/>
      <c r="J38" s="189"/>
      <c r="K38" s="135"/>
      <c r="L38" s="135"/>
      <c r="M38" s="189"/>
      <c r="N38" s="135"/>
      <c r="O38" s="135"/>
      <c r="P38" s="135"/>
      <c r="Q38" s="135"/>
      <c r="R38" s="135"/>
      <c r="S38" s="135"/>
    </row>
    <row r="39" customFormat="false" ht="15.75" hidden="false" customHeight="true" outlineLevel="0" collapsed="false">
      <c r="A39" s="135"/>
      <c r="B39" s="135"/>
      <c r="C39" s="135"/>
      <c r="D39" s="135"/>
      <c r="E39" s="135"/>
      <c r="F39" s="135"/>
      <c r="G39" s="189"/>
      <c r="H39" s="135"/>
      <c r="I39" s="135"/>
      <c r="J39" s="189"/>
      <c r="K39" s="135"/>
      <c r="L39" s="135"/>
      <c r="M39" s="189"/>
      <c r="N39" s="135"/>
      <c r="O39" s="135"/>
      <c r="P39" s="135"/>
      <c r="Q39" s="135"/>
      <c r="R39" s="135"/>
      <c r="S39" s="135"/>
    </row>
    <row r="40" customFormat="false" ht="15.75" hidden="false" customHeight="true" outlineLevel="0" collapsed="false">
      <c r="A40" s="135"/>
      <c r="B40" s="135"/>
      <c r="C40" s="135"/>
      <c r="D40" s="135"/>
      <c r="E40" s="135"/>
      <c r="F40" s="135"/>
      <c r="G40" s="189"/>
      <c r="H40" s="135"/>
      <c r="I40" s="135"/>
      <c r="J40" s="189"/>
      <c r="K40" s="135"/>
      <c r="L40" s="135"/>
      <c r="M40" s="189"/>
      <c r="N40" s="135"/>
      <c r="O40" s="135"/>
      <c r="P40" s="135"/>
      <c r="Q40" s="135"/>
      <c r="R40" s="135"/>
      <c r="S40" s="135"/>
    </row>
    <row r="41" customFormat="false" ht="15.75" hidden="false" customHeight="true" outlineLevel="0" collapsed="false">
      <c r="A41" s="135"/>
      <c r="B41" s="135"/>
      <c r="C41" s="135"/>
      <c r="D41" s="135"/>
      <c r="E41" s="135"/>
      <c r="F41" s="135"/>
      <c r="G41" s="189"/>
      <c r="H41" s="135"/>
      <c r="I41" s="135"/>
      <c r="J41" s="189"/>
      <c r="K41" s="135"/>
      <c r="L41" s="135"/>
      <c r="M41" s="189"/>
      <c r="N41" s="135"/>
      <c r="O41" s="135"/>
      <c r="P41" s="135"/>
      <c r="Q41" s="135"/>
      <c r="R41" s="135"/>
      <c r="S41" s="135"/>
    </row>
    <row r="42" customFormat="false" ht="15.75" hidden="false" customHeight="true" outlineLevel="0" collapsed="false">
      <c r="A42" s="135"/>
      <c r="B42" s="135"/>
      <c r="C42" s="135"/>
      <c r="D42" s="135"/>
      <c r="E42" s="135"/>
      <c r="F42" s="135"/>
      <c r="G42" s="189"/>
      <c r="H42" s="135"/>
      <c r="I42" s="135"/>
      <c r="J42" s="189"/>
      <c r="K42" s="135"/>
      <c r="L42" s="135"/>
      <c r="M42" s="189"/>
      <c r="N42" s="135"/>
      <c r="O42" s="135"/>
      <c r="P42" s="135"/>
      <c r="Q42" s="135"/>
      <c r="R42" s="135"/>
      <c r="S42" s="135"/>
    </row>
    <row r="43" customFormat="false" ht="15.75" hidden="false" customHeight="true" outlineLevel="0" collapsed="false">
      <c r="A43" s="135"/>
      <c r="B43" s="135"/>
      <c r="C43" s="135"/>
      <c r="D43" s="135"/>
      <c r="E43" s="135"/>
      <c r="F43" s="135"/>
      <c r="G43" s="189"/>
      <c r="H43" s="135"/>
      <c r="I43" s="135"/>
      <c r="J43" s="189"/>
      <c r="K43" s="135"/>
      <c r="L43" s="135"/>
      <c r="M43" s="189"/>
      <c r="N43" s="135"/>
      <c r="O43" s="135"/>
      <c r="P43" s="135"/>
      <c r="Q43" s="135"/>
      <c r="R43" s="135"/>
      <c r="S43" s="135"/>
    </row>
    <row r="44" customFormat="false" ht="15.75" hidden="false" customHeight="true" outlineLevel="0" collapsed="false">
      <c r="A44" s="135"/>
      <c r="B44" s="135"/>
      <c r="C44" s="135"/>
      <c r="D44" s="135"/>
      <c r="E44" s="135"/>
      <c r="F44" s="135"/>
      <c r="G44" s="189"/>
      <c r="H44" s="135"/>
      <c r="I44" s="135"/>
      <c r="J44" s="189"/>
      <c r="K44" s="135"/>
      <c r="L44" s="135"/>
      <c r="M44" s="189"/>
      <c r="N44" s="135"/>
      <c r="O44" s="135"/>
      <c r="P44" s="135"/>
      <c r="Q44" s="135"/>
      <c r="R44" s="135"/>
      <c r="S44" s="135"/>
    </row>
    <row r="45" customFormat="false" ht="15.75" hidden="false" customHeight="true" outlineLevel="0" collapsed="false">
      <c r="A45" s="135"/>
      <c r="B45" s="135"/>
      <c r="C45" s="135"/>
      <c r="D45" s="135"/>
      <c r="E45" s="135"/>
      <c r="F45" s="135"/>
      <c r="G45" s="189"/>
      <c r="H45" s="135"/>
      <c r="I45" s="135"/>
      <c r="J45" s="189"/>
      <c r="K45" s="135"/>
      <c r="L45" s="135"/>
      <c r="M45" s="189"/>
      <c r="N45" s="135"/>
      <c r="O45" s="135"/>
      <c r="P45" s="135"/>
      <c r="Q45" s="135"/>
      <c r="R45" s="135"/>
      <c r="S45" s="135"/>
    </row>
    <row r="46" customFormat="false" ht="15.75" hidden="false" customHeight="true" outlineLevel="0" collapsed="false">
      <c r="A46" s="135"/>
      <c r="B46" s="135"/>
      <c r="C46" s="135"/>
      <c r="D46" s="135"/>
      <c r="E46" s="135"/>
      <c r="F46" s="135"/>
      <c r="G46" s="189"/>
      <c r="H46" s="135"/>
      <c r="I46" s="135"/>
      <c r="J46" s="189"/>
      <c r="K46" s="135"/>
      <c r="L46" s="135"/>
      <c r="M46" s="189"/>
      <c r="N46" s="135"/>
      <c r="O46" s="135"/>
      <c r="P46" s="135"/>
      <c r="Q46" s="135"/>
      <c r="R46" s="135"/>
      <c r="S46" s="135"/>
    </row>
    <row r="47" customFormat="false" ht="15.75" hidden="false" customHeight="true" outlineLevel="0" collapsed="false">
      <c r="A47" s="135"/>
      <c r="B47" s="135"/>
      <c r="C47" s="135"/>
      <c r="D47" s="135"/>
      <c r="E47" s="135"/>
      <c r="F47" s="135"/>
      <c r="G47" s="189"/>
      <c r="H47" s="135"/>
      <c r="I47" s="135"/>
      <c r="J47" s="189"/>
      <c r="K47" s="135"/>
      <c r="L47" s="135"/>
      <c r="M47" s="189"/>
      <c r="N47" s="135"/>
      <c r="O47" s="135"/>
      <c r="P47" s="135"/>
      <c r="Q47" s="135"/>
      <c r="R47" s="135"/>
      <c r="S47" s="135"/>
    </row>
    <row r="48" customFormat="false" ht="15.75" hidden="false" customHeight="true" outlineLevel="0" collapsed="false">
      <c r="A48" s="135"/>
      <c r="B48" s="135"/>
      <c r="C48" s="135"/>
      <c r="D48" s="135"/>
      <c r="E48" s="135"/>
      <c r="F48" s="135"/>
      <c r="G48" s="189"/>
      <c r="H48" s="135"/>
      <c r="I48" s="135"/>
      <c r="J48" s="189"/>
      <c r="K48" s="135"/>
      <c r="L48" s="135"/>
      <c r="M48" s="189"/>
      <c r="N48" s="135"/>
      <c r="O48" s="135"/>
      <c r="P48" s="135"/>
      <c r="Q48" s="135"/>
      <c r="R48" s="135"/>
      <c r="S48" s="135"/>
    </row>
    <row r="49" customFormat="false" ht="15.75" hidden="false" customHeight="true" outlineLevel="0" collapsed="false">
      <c r="A49" s="135"/>
      <c r="B49" s="135"/>
      <c r="C49" s="135"/>
      <c r="D49" s="135"/>
      <c r="E49" s="135"/>
      <c r="F49" s="135"/>
      <c r="G49" s="189"/>
      <c r="H49" s="135"/>
      <c r="I49" s="135"/>
      <c r="J49" s="189"/>
      <c r="K49" s="135"/>
      <c r="L49" s="135"/>
      <c r="M49" s="189"/>
      <c r="N49" s="135"/>
      <c r="O49" s="135"/>
      <c r="P49" s="135"/>
      <c r="Q49" s="135"/>
      <c r="R49" s="135"/>
      <c r="S49" s="135"/>
    </row>
    <row r="50" customFormat="false" ht="15.75" hidden="false" customHeight="true" outlineLevel="0" collapsed="false">
      <c r="A50" s="135"/>
      <c r="B50" s="135"/>
      <c r="C50" s="135"/>
      <c r="D50" s="135"/>
      <c r="E50" s="135"/>
      <c r="F50" s="135"/>
      <c r="G50" s="189"/>
      <c r="H50" s="135"/>
      <c r="I50" s="135"/>
      <c r="J50" s="189"/>
      <c r="K50" s="135"/>
      <c r="L50" s="135"/>
      <c r="M50" s="189"/>
      <c r="N50" s="135"/>
      <c r="O50" s="135"/>
      <c r="P50" s="135"/>
      <c r="Q50" s="135"/>
      <c r="R50" s="135"/>
      <c r="S50" s="135"/>
    </row>
    <row r="51" customFormat="false" ht="15.75" hidden="false" customHeight="true" outlineLevel="0" collapsed="false">
      <c r="A51" s="135"/>
      <c r="B51" s="135"/>
      <c r="C51" s="135"/>
      <c r="D51" s="135"/>
      <c r="E51" s="135"/>
      <c r="F51" s="135"/>
      <c r="G51" s="189"/>
      <c r="H51" s="135"/>
      <c r="I51" s="135"/>
      <c r="J51" s="189"/>
      <c r="K51" s="135"/>
      <c r="L51" s="135"/>
      <c r="M51" s="189"/>
      <c r="N51" s="135"/>
      <c r="O51" s="135"/>
      <c r="P51" s="135"/>
      <c r="Q51" s="135"/>
      <c r="R51" s="135"/>
      <c r="S51" s="135"/>
    </row>
    <row r="52" customFormat="false" ht="15.75" hidden="false" customHeight="true" outlineLevel="0" collapsed="false">
      <c r="A52" s="135"/>
      <c r="B52" s="135"/>
      <c r="C52" s="135"/>
      <c r="D52" s="135"/>
      <c r="E52" s="135"/>
      <c r="F52" s="135"/>
      <c r="G52" s="189"/>
      <c r="H52" s="135"/>
      <c r="I52" s="135"/>
      <c r="J52" s="189"/>
      <c r="K52" s="135"/>
      <c r="L52" s="135"/>
      <c r="M52" s="189"/>
      <c r="N52" s="135"/>
      <c r="O52" s="135"/>
      <c r="P52" s="135"/>
      <c r="Q52" s="135"/>
      <c r="R52" s="135"/>
      <c r="S52" s="135"/>
    </row>
    <row r="53" customFormat="false" ht="15.75" hidden="false" customHeight="true" outlineLevel="0" collapsed="false">
      <c r="A53" s="135"/>
      <c r="B53" s="135"/>
      <c r="C53" s="135"/>
      <c r="D53" s="135"/>
      <c r="E53" s="135"/>
      <c r="F53" s="135"/>
      <c r="G53" s="189"/>
      <c r="H53" s="135"/>
      <c r="I53" s="135"/>
      <c r="J53" s="189"/>
      <c r="K53" s="135"/>
      <c r="L53" s="135"/>
      <c r="M53" s="189"/>
      <c r="N53" s="135"/>
      <c r="O53" s="135"/>
      <c r="P53" s="135"/>
      <c r="Q53" s="135"/>
      <c r="R53" s="135"/>
      <c r="S53" s="135"/>
    </row>
    <row r="54" customFormat="false" ht="15.75" hidden="false" customHeight="true" outlineLevel="0" collapsed="false">
      <c r="A54" s="135"/>
      <c r="B54" s="135"/>
      <c r="C54" s="135"/>
      <c r="D54" s="135"/>
      <c r="E54" s="135"/>
      <c r="F54" s="135"/>
      <c r="G54" s="189"/>
      <c r="H54" s="135"/>
      <c r="I54" s="135"/>
      <c r="J54" s="189"/>
      <c r="K54" s="135"/>
      <c r="L54" s="135"/>
      <c r="M54" s="189"/>
      <c r="N54" s="135"/>
      <c r="O54" s="135"/>
      <c r="P54" s="135"/>
      <c r="Q54" s="135"/>
      <c r="R54" s="135"/>
      <c r="S54" s="135"/>
    </row>
    <row r="55" customFormat="false" ht="15.75" hidden="false" customHeight="true" outlineLevel="0" collapsed="false">
      <c r="A55" s="135"/>
      <c r="B55" s="135"/>
      <c r="C55" s="135"/>
      <c r="D55" s="135"/>
      <c r="E55" s="135"/>
      <c r="F55" s="135"/>
      <c r="G55" s="189"/>
      <c r="H55" s="135"/>
      <c r="I55" s="135"/>
      <c r="J55" s="189"/>
      <c r="K55" s="135"/>
      <c r="L55" s="135"/>
      <c r="M55" s="189"/>
      <c r="N55" s="135"/>
      <c r="O55" s="135"/>
      <c r="P55" s="135"/>
      <c r="Q55" s="135"/>
      <c r="R55" s="135"/>
      <c r="S55" s="135"/>
    </row>
    <row r="56" customFormat="false" ht="15.75" hidden="false" customHeight="true" outlineLevel="0" collapsed="false">
      <c r="A56" s="135"/>
      <c r="B56" s="135"/>
      <c r="C56" s="135"/>
      <c r="D56" s="135"/>
      <c r="E56" s="135"/>
      <c r="F56" s="135"/>
      <c r="G56" s="189"/>
      <c r="H56" s="135"/>
      <c r="I56" s="135"/>
      <c r="J56" s="189"/>
      <c r="K56" s="135"/>
      <c r="L56" s="135"/>
      <c r="M56" s="189"/>
      <c r="N56" s="135"/>
      <c r="O56" s="135"/>
      <c r="P56" s="135"/>
      <c r="Q56" s="135"/>
      <c r="R56" s="135"/>
      <c r="S56" s="135"/>
    </row>
    <row r="57" customFormat="false" ht="15.75" hidden="false" customHeight="true" outlineLevel="0" collapsed="false">
      <c r="A57" s="135"/>
      <c r="B57" s="135"/>
      <c r="C57" s="135"/>
      <c r="D57" s="135"/>
      <c r="E57" s="135"/>
      <c r="F57" s="135"/>
      <c r="G57" s="189"/>
      <c r="H57" s="135"/>
      <c r="I57" s="135"/>
      <c r="J57" s="189"/>
      <c r="K57" s="135"/>
      <c r="L57" s="135"/>
      <c r="M57" s="189"/>
      <c r="N57" s="135"/>
      <c r="O57" s="135"/>
      <c r="P57" s="135"/>
      <c r="Q57" s="135"/>
      <c r="R57" s="135"/>
      <c r="S57" s="135"/>
    </row>
    <row r="58" customFormat="false" ht="15.75" hidden="false" customHeight="true" outlineLevel="0" collapsed="false">
      <c r="A58" s="135"/>
      <c r="B58" s="135"/>
      <c r="C58" s="135"/>
      <c r="D58" s="135"/>
      <c r="E58" s="135"/>
      <c r="F58" s="135"/>
      <c r="G58" s="189"/>
      <c r="H58" s="135"/>
      <c r="I58" s="135"/>
      <c r="J58" s="189"/>
      <c r="K58" s="135"/>
      <c r="L58" s="135"/>
      <c r="M58" s="189"/>
      <c r="N58" s="135"/>
      <c r="O58" s="135"/>
      <c r="P58" s="135"/>
      <c r="Q58" s="135"/>
      <c r="R58" s="135"/>
      <c r="S58" s="135"/>
    </row>
    <row r="59" customFormat="false" ht="15.75" hidden="false" customHeight="true" outlineLevel="0" collapsed="false">
      <c r="A59" s="135"/>
      <c r="B59" s="135"/>
      <c r="C59" s="135"/>
      <c r="D59" s="135"/>
      <c r="E59" s="135"/>
      <c r="F59" s="135"/>
      <c r="G59" s="189"/>
      <c r="H59" s="135"/>
      <c r="I59" s="135"/>
      <c r="J59" s="189"/>
      <c r="K59" s="135"/>
      <c r="L59" s="135"/>
      <c r="M59" s="189"/>
      <c r="N59" s="135"/>
      <c r="O59" s="135"/>
      <c r="P59" s="135"/>
      <c r="Q59" s="135"/>
      <c r="R59" s="135"/>
      <c r="S59" s="135"/>
    </row>
    <row r="60" customFormat="false" ht="15.75" hidden="false" customHeight="true" outlineLevel="0" collapsed="false">
      <c r="A60" s="135"/>
      <c r="B60" s="135"/>
      <c r="C60" s="135"/>
      <c r="D60" s="135"/>
      <c r="E60" s="135"/>
      <c r="F60" s="135"/>
      <c r="G60" s="189"/>
      <c r="H60" s="135"/>
      <c r="I60" s="135"/>
      <c r="J60" s="189"/>
      <c r="K60" s="135"/>
      <c r="L60" s="135"/>
      <c r="M60" s="189"/>
      <c r="N60" s="135"/>
      <c r="O60" s="135"/>
      <c r="P60" s="135"/>
      <c r="Q60" s="135"/>
      <c r="R60" s="135"/>
      <c r="S60" s="135"/>
    </row>
    <row r="61" customFormat="false" ht="15.75" hidden="false" customHeight="true" outlineLevel="0" collapsed="false">
      <c r="A61" s="135"/>
      <c r="B61" s="135"/>
      <c r="C61" s="135"/>
      <c r="D61" s="135"/>
      <c r="E61" s="135"/>
      <c r="F61" s="135"/>
      <c r="G61" s="189"/>
      <c r="H61" s="135"/>
      <c r="I61" s="135"/>
      <c r="J61" s="189"/>
      <c r="K61" s="135"/>
      <c r="L61" s="135"/>
      <c r="M61" s="189"/>
      <c r="N61" s="135"/>
      <c r="O61" s="135"/>
      <c r="P61" s="135"/>
      <c r="Q61" s="135"/>
      <c r="R61" s="135"/>
      <c r="S61" s="135"/>
    </row>
    <row r="62" customFormat="false" ht="15.75" hidden="false" customHeight="true" outlineLevel="0" collapsed="false">
      <c r="A62" s="135"/>
      <c r="B62" s="135"/>
      <c r="C62" s="135"/>
      <c r="D62" s="135"/>
      <c r="E62" s="135"/>
      <c r="F62" s="135"/>
      <c r="G62" s="189"/>
      <c r="H62" s="135"/>
      <c r="I62" s="135"/>
      <c r="J62" s="189"/>
      <c r="K62" s="135"/>
      <c r="L62" s="135"/>
      <c r="M62" s="189"/>
      <c r="N62" s="135"/>
      <c r="O62" s="135"/>
      <c r="P62" s="135"/>
      <c r="Q62" s="135"/>
      <c r="R62" s="135"/>
      <c r="S62" s="135"/>
    </row>
    <row r="63" customFormat="false" ht="15.75" hidden="false" customHeight="true" outlineLevel="0" collapsed="false">
      <c r="A63" s="135"/>
      <c r="B63" s="135"/>
      <c r="C63" s="135"/>
      <c r="D63" s="135"/>
      <c r="E63" s="135"/>
      <c r="F63" s="135"/>
      <c r="G63" s="189"/>
      <c r="H63" s="135"/>
      <c r="I63" s="135"/>
      <c r="J63" s="189"/>
      <c r="K63" s="135"/>
      <c r="L63" s="135"/>
      <c r="M63" s="189"/>
      <c r="N63" s="135"/>
      <c r="O63" s="135"/>
      <c r="P63" s="135"/>
      <c r="Q63" s="135"/>
      <c r="R63" s="135"/>
      <c r="S63" s="135"/>
    </row>
    <row r="64" customFormat="false" ht="15.75" hidden="false" customHeight="true" outlineLevel="0" collapsed="false">
      <c r="A64" s="135"/>
      <c r="B64" s="135"/>
      <c r="C64" s="135"/>
      <c r="D64" s="135"/>
      <c r="E64" s="135"/>
      <c r="F64" s="135"/>
      <c r="G64" s="189"/>
      <c r="H64" s="135"/>
      <c r="I64" s="135"/>
      <c r="J64" s="189"/>
      <c r="K64" s="135"/>
      <c r="L64" s="135"/>
      <c r="M64" s="189"/>
      <c r="N64" s="135"/>
      <c r="O64" s="135"/>
      <c r="P64" s="135"/>
      <c r="Q64" s="135"/>
      <c r="R64" s="135"/>
      <c r="S64" s="135"/>
    </row>
    <row r="65" customFormat="false" ht="15.75" hidden="false" customHeight="true" outlineLevel="0" collapsed="false">
      <c r="A65" s="135"/>
      <c r="B65" s="135"/>
      <c r="C65" s="135"/>
      <c r="D65" s="135"/>
      <c r="E65" s="135"/>
      <c r="F65" s="135"/>
      <c r="G65" s="189"/>
      <c r="H65" s="135"/>
      <c r="I65" s="135"/>
      <c r="J65" s="189"/>
      <c r="K65" s="135"/>
      <c r="L65" s="135"/>
      <c r="M65" s="189"/>
      <c r="N65" s="135"/>
      <c r="O65" s="135"/>
      <c r="P65" s="135"/>
      <c r="Q65" s="135"/>
      <c r="R65" s="135"/>
      <c r="S65" s="135"/>
    </row>
    <row r="66" customFormat="false" ht="15.75" hidden="false" customHeight="true" outlineLevel="0" collapsed="false">
      <c r="A66" s="135"/>
      <c r="B66" s="135"/>
      <c r="C66" s="135"/>
      <c r="D66" s="135"/>
      <c r="E66" s="135"/>
      <c r="F66" s="135"/>
      <c r="G66" s="189"/>
      <c r="H66" s="135"/>
      <c r="I66" s="135"/>
      <c r="J66" s="189"/>
      <c r="K66" s="135"/>
      <c r="L66" s="135"/>
      <c r="M66" s="189"/>
      <c r="N66" s="135"/>
      <c r="O66" s="135"/>
      <c r="P66" s="135"/>
      <c r="Q66" s="135"/>
      <c r="R66" s="135"/>
      <c r="S66" s="135"/>
    </row>
    <row r="67" customFormat="false" ht="15.75" hidden="false" customHeight="true" outlineLevel="0" collapsed="false">
      <c r="A67" s="135"/>
      <c r="B67" s="135"/>
      <c r="C67" s="135"/>
      <c r="D67" s="135"/>
      <c r="E67" s="135"/>
      <c r="F67" s="135"/>
      <c r="G67" s="189"/>
      <c r="H67" s="135"/>
      <c r="I67" s="135"/>
      <c r="J67" s="189"/>
      <c r="K67" s="135"/>
      <c r="L67" s="135"/>
      <c r="M67" s="189"/>
      <c r="N67" s="135"/>
      <c r="O67" s="135"/>
      <c r="P67" s="135"/>
      <c r="Q67" s="135"/>
      <c r="R67" s="135"/>
      <c r="S67" s="135"/>
    </row>
    <row r="68" customFormat="false" ht="15.75" hidden="false" customHeight="true" outlineLevel="0" collapsed="false">
      <c r="A68" s="135"/>
      <c r="B68" s="135"/>
      <c r="C68" s="135"/>
      <c r="D68" s="135"/>
      <c r="E68" s="135"/>
      <c r="F68" s="135"/>
      <c r="G68" s="189"/>
      <c r="H68" s="135"/>
      <c r="I68" s="135"/>
      <c r="J68" s="189"/>
      <c r="K68" s="135"/>
      <c r="L68" s="135"/>
      <c r="M68" s="189"/>
      <c r="N68" s="135"/>
      <c r="O68" s="135"/>
      <c r="P68" s="135"/>
      <c r="Q68" s="135"/>
      <c r="R68" s="135"/>
      <c r="S68" s="135"/>
    </row>
    <row r="69" customFormat="false" ht="15.75" hidden="false" customHeight="true" outlineLevel="0" collapsed="false">
      <c r="A69" s="135"/>
      <c r="B69" s="135"/>
      <c r="C69" s="135"/>
      <c r="D69" s="135"/>
      <c r="E69" s="135"/>
      <c r="F69" s="135"/>
      <c r="G69" s="189"/>
      <c r="H69" s="135"/>
      <c r="I69" s="135"/>
      <c r="J69" s="189"/>
      <c r="K69" s="135"/>
      <c r="L69" s="135"/>
      <c r="M69" s="189"/>
      <c r="N69" s="135"/>
      <c r="O69" s="135"/>
      <c r="P69" s="135"/>
      <c r="Q69" s="135"/>
      <c r="R69" s="135"/>
      <c r="S69" s="135"/>
    </row>
    <row r="70" customFormat="false" ht="15.75" hidden="false" customHeight="true" outlineLevel="0" collapsed="false">
      <c r="A70" s="135"/>
      <c r="B70" s="135"/>
      <c r="C70" s="135"/>
      <c r="D70" s="135"/>
      <c r="E70" s="135"/>
      <c r="F70" s="135"/>
      <c r="G70" s="189"/>
      <c r="H70" s="135"/>
      <c r="I70" s="135"/>
      <c r="J70" s="189"/>
      <c r="K70" s="135"/>
      <c r="L70" s="135"/>
      <c r="M70" s="189"/>
      <c r="N70" s="135"/>
      <c r="O70" s="135"/>
      <c r="P70" s="135"/>
      <c r="Q70" s="135"/>
      <c r="R70" s="135"/>
      <c r="S70" s="135"/>
    </row>
    <row r="71" customFormat="false" ht="15.75" hidden="false" customHeight="true" outlineLevel="0" collapsed="false">
      <c r="A71" s="135"/>
      <c r="B71" s="135"/>
      <c r="C71" s="135"/>
      <c r="D71" s="135"/>
      <c r="E71" s="135"/>
      <c r="F71" s="135"/>
      <c r="G71" s="189"/>
      <c r="H71" s="135"/>
      <c r="I71" s="135"/>
      <c r="J71" s="189"/>
      <c r="K71" s="135"/>
      <c r="L71" s="135"/>
      <c r="M71" s="189"/>
      <c r="N71" s="135"/>
      <c r="O71" s="135"/>
      <c r="P71" s="135"/>
      <c r="Q71" s="135"/>
      <c r="R71" s="135"/>
      <c r="S71" s="135"/>
    </row>
    <row r="72" customFormat="false" ht="15.75" hidden="false" customHeight="true" outlineLevel="0" collapsed="false">
      <c r="A72" s="135"/>
      <c r="B72" s="135"/>
      <c r="C72" s="135"/>
      <c r="D72" s="135"/>
      <c r="E72" s="135"/>
      <c r="F72" s="135"/>
      <c r="G72" s="189"/>
      <c r="H72" s="135"/>
      <c r="I72" s="135"/>
      <c r="J72" s="189"/>
      <c r="K72" s="135"/>
      <c r="L72" s="135"/>
      <c r="M72" s="189"/>
      <c r="N72" s="135"/>
      <c r="O72" s="135"/>
      <c r="P72" s="135"/>
      <c r="Q72" s="135"/>
      <c r="R72" s="135"/>
      <c r="S72" s="135"/>
    </row>
    <row r="73" customFormat="false" ht="15.75" hidden="false" customHeight="true" outlineLevel="0" collapsed="false">
      <c r="A73" s="135"/>
      <c r="B73" s="135"/>
      <c r="C73" s="135"/>
      <c r="D73" s="135"/>
      <c r="E73" s="135"/>
      <c r="F73" s="135"/>
      <c r="G73" s="189"/>
      <c r="H73" s="135"/>
      <c r="I73" s="135"/>
      <c r="J73" s="189"/>
      <c r="K73" s="135"/>
      <c r="L73" s="135"/>
      <c r="M73" s="189"/>
      <c r="N73" s="135"/>
      <c r="O73" s="135"/>
      <c r="P73" s="135"/>
      <c r="Q73" s="135"/>
      <c r="R73" s="135"/>
      <c r="S73" s="135"/>
    </row>
    <row r="74" customFormat="false" ht="15.75" hidden="false" customHeight="true" outlineLevel="0" collapsed="false">
      <c r="A74" s="135"/>
      <c r="B74" s="135"/>
      <c r="C74" s="135"/>
      <c r="D74" s="135"/>
      <c r="E74" s="135"/>
      <c r="F74" s="135"/>
      <c r="G74" s="189"/>
      <c r="H74" s="135"/>
      <c r="I74" s="135"/>
      <c r="J74" s="189"/>
      <c r="K74" s="135"/>
      <c r="L74" s="135"/>
      <c r="M74" s="189"/>
      <c r="N74" s="135"/>
      <c r="O74" s="135"/>
      <c r="P74" s="135"/>
      <c r="Q74" s="135"/>
      <c r="R74" s="135"/>
      <c r="S74" s="135"/>
    </row>
    <row r="75" customFormat="false" ht="15.75" hidden="false" customHeight="true" outlineLevel="0" collapsed="false">
      <c r="A75" s="135"/>
      <c r="B75" s="135"/>
      <c r="C75" s="135"/>
      <c r="D75" s="135"/>
      <c r="E75" s="135"/>
      <c r="F75" s="135"/>
      <c r="G75" s="189"/>
      <c r="H75" s="135"/>
      <c r="I75" s="135"/>
      <c r="J75" s="189"/>
      <c r="K75" s="135"/>
      <c r="L75" s="135"/>
      <c r="M75" s="189"/>
      <c r="N75" s="135"/>
      <c r="O75" s="135"/>
      <c r="P75" s="135"/>
      <c r="Q75" s="135"/>
      <c r="R75" s="135"/>
      <c r="S75" s="135"/>
    </row>
    <row r="76" customFormat="false" ht="15.75" hidden="false" customHeight="true" outlineLevel="0" collapsed="false">
      <c r="A76" s="135"/>
      <c r="B76" s="135"/>
      <c r="C76" s="135"/>
      <c r="D76" s="135"/>
      <c r="E76" s="135"/>
      <c r="F76" s="135"/>
      <c r="G76" s="189"/>
      <c r="H76" s="135"/>
      <c r="I76" s="135"/>
      <c r="J76" s="189"/>
      <c r="K76" s="135"/>
      <c r="L76" s="135"/>
      <c r="M76" s="189"/>
      <c r="N76" s="135"/>
      <c r="O76" s="135"/>
      <c r="P76" s="135"/>
      <c r="Q76" s="135"/>
      <c r="R76" s="135"/>
      <c r="S76" s="135"/>
    </row>
    <row r="77" customFormat="false" ht="15.75" hidden="false" customHeight="true" outlineLevel="0" collapsed="false">
      <c r="A77" s="135"/>
      <c r="B77" s="135"/>
      <c r="C77" s="135"/>
      <c r="D77" s="135"/>
      <c r="E77" s="135"/>
      <c r="F77" s="135"/>
      <c r="G77" s="189"/>
      <c r="H77" s="135"/>
      <c r="I77" s="135"/>
      <c r="J77" s="189"/>
      <c r="K77" s="135"/>
      <c r="L77" s="135"/>
      <c r="M77" s="189"/>
      <c r="N77" s="135"/>
      <c r="O77" s="135"/>
      <c r="P77" s="135"/>
      <c r="Q77" s="135"/>
      <c r="R77" s="135"/>
      <c r="S77" s="135"/>
    </row>
    <row r="78" customFormat="false" ht="15.75" hidden="false" customHeight="true" outlineLevel="0" collapsed="false">
      <c r="A78" s="135"/>
      <c r="B78" s="135"/>
      <c r="C78" s="135"/>
      <c r="D78" s="135"/>
      <c r="E78" s="135"/>
      <c r="F78" s="135"/>
      <c r="G78" s="189"/>
      <c r="H78" s="135"/>
      <c r="I78" s="135"/>
      <c r="J78" s="189"/>
      <c r="K78" s="135"/>
      <c r="L78" s="135"/>
      <c r="M78" s="189"/>
      <c r="N78" s="135"/>
      <c r="O78" s="135"/>
      <c r="P78" s="135"/>
      <c r="Q78" s="135"/>
      <c r="R78" s="135"/>
      <c r="S78" s="135"/>
    </row>
    <row r="79" customFormat="false" ht="15.75" hidden="false" customHeight="true" outlineLevel="0" collapsed="false">
      <c r="A79" s="135"/>
      <c r="B79" s="135"/>
      <c r="C79" s="135"/>
      <c r="D79" s="135"/>
      <c r="E79" s="135"/>
      <c r="F79" s="135"/>
      <c r="G79" s="189"/>
      <c r="H79" s="135"/>
      <c r="I79" s="135"/>
      <c r="J79" s="189"/>
      <c r="K79" s="135"/>
      <c r="L79" s="135"/>
      <c r="M79" s="189"/>
      <c r="N79" s="135"/>
      <c r="O79" s="135"/>
      <c r="P79" s="135"/>
      <c r="Q79" s="135"/>
      <c r="R79" s="135"/>
      <c r="S79" s="135"/>
    </row>
    <row r="80" customFormat="false" ht="15.75" hidden="false" customHeight="true" outlineLevel="0" collapsed="false">
      <c r="A80" s="135"/>
      <c r="B80" s="135"/>
      <c r="C80" s="135"/>
      <c r="D80" s="135"/>
      <c r="E80" s="135"/>
      <c r="F80" s="135"/>
      <c r="G80" s="189"/>
      <c r="H80" s="135"/>
      <c r="I80" s="135"/>
      <c r="J80" s="189"/>
      <c r="K80" s="135"/>
      <c r="L80" s="135"/>
      <c r="M80" s="189"/>
      <c r="N80" s="135"/>
      <c r="O80" s="135"/>
      <c r="P80" s="135"/>
      <c r="Q80" s="135"/>
      <c r="R80" s="135"/>
      <c r="S80" s="135"/>
    </row>
    <row r="81" customFormat="false" ht="15.75" hidden="false" customHeight="true" outlineLevel="0" collapsed="false">
      <c r="A81" s="135"/>
      <c r="B81" s="135"/>
      <c r="C81" s="135"/>
      <c r="D81" s="135"/>
      <c r="E81" s="135"/>
      <c r="F81" s="135"/>
      <c r="G81" s="189"/>
      <c r="H81" s="135"/>
      <c r="I81" s="135"/>
      <c r="J81" s="189"/>
      <c r="K81" s="135"/>
      <c r="L81" s="135"/>
      <c r="M81" s="189"/>
      <c r="N81" s="135"/>
      <c r="O81" s="135"/>
      <c r="P81" s="135"/>
      <c r="Q81" s="135"/>
      <c r="R81" s="135"/>
      <c r="S81" s="135"/>
    </row>
    <row r="82" customFormat="false" ht="15.75" hidden="false" customHeight="true" outlineLevel="0" collapsed="false">
      <c r="A82" s="135"/>
      <c r="B82" s="135"/>
      <c r="C82" s="135"/>
      <c r="D82" s="135"/>
      <c r="E82" s="135"/>
      <c r="F82" s="135"/>
      <c r="G82" s="189"/>
      <c r="H82" s="135"/>
      <c r="I82" s="135"/>
      <c r="J82" s="189"/>
      <c r="K82" s="135"/>
      <c r="L82" s="135"/>
      <c r="M82" s="189"/>
      <c r="N82" s="135"/>
      <c r="O82" s="135"/>
      <c r="P82" s="135"/>
      <c r="Q82" s="135"/>
      <c r="R82" s="135"/>
      <c r="S82" s="135"/>
    </row>
    <row r="83" customFormat="false" ht="15.75" hidden="false" customHeight="true" outlineLevel="0" collapsed="false">
      <c r="A83" s="135"/>
      <c r="B83" s="135"/>
      <c r="C83" s="135"/>
      <c r="D83" s="135"/>
      <c r="E83" s="135"/>
      <c r="F83" s="135"/>
      <c r="G83" s="189"/>
      <c r="H83" s="135"/>
      <c r="I83" s="135"/>
      <c r="J83" s="189"/>
      <c r="K83" s="135"/>
      <c r="L83" s="135"/>
      <c r="M83" s="189"/>
      <c r="N83" s="135"/>
      <c r="O83" s="135"/>
      <c r="P83" s="135"/>
      <c r="Q83" s="135"/>
      <c r="R83" s="135"/>
      <c r="S83" s="135"/>
    </row>
    <row r="84" customFormat="false" ht="15.75" hidden="false" customHeight="true" outlineLevel="0" collapsed="false">
      <c r="A84" s="135"/>
      <c r="B84" s="135"/>
      <c r="C84" s="135"/>
      <c r="D84" s="135"/>
      <c r="E84" s="135"/>
      <c r="F84" s="135"/>
      <c r="G84" s="189"/>
      <c r="H84" s="135"/>
      <c r="I84" s="135"/>
      <c r="J84" s="189"/>
      <c r="K84" s="135"/>
      <c r="L84" s="135"/>
      <c r="M84" s="189"/>
      <c r="N84" s="135"/>
      <c r="O84" s="135"/>
      <c r="P84" s="135"/>
      <c r="Q84" s="135"/>
      <c r="R84" s="135"/>
      <c r="S84" s="135"/>
    </row>
    <row r="85" customFormat="false" ht="15.75" hidden="false" customHeight="true" outlineLevel="0" collapsed="false">
      <c r="A85" s="135"/>
      <c r="B85" s="135"/>
      <c r="C85" s="135"/>
      <c r="D85" s="135"/>
      <c r="E85" s="135"/>
      <c r="F85" s="135"/>
      <c r="G85" s="189"/>
      <c r="H85" s="135"/>
      <c r="I85" s="135"/>
      <c r="J85" s="189"/>
      <c r="K85" s="135"/>
      <c r="L85" s="135"/>
      <c r="M85" s="189"/>
      <c r="N85" s="135"/>
      <c r="O85" s="135"/>
      <c r="P85" s="135"/>
      <c r="Q85" s="135"/>
      <c r="R85" s="135"/>
      <c r="S85" s="135"/>
    </row>
    <row r="86" customFormat="false" ht="15.75" hidden="false" customHeight="true" outlineLevel="0" collapsed="false">
      <c r="A86" s="135"/>
      <c r="B86" s="135"/>
      <c r="C86" s="135"/>
      <c r="D86" s="135"/>
      <c r="E86" s="135"/>
      <c r="F86" s="135"/>
      <c r="G86" s="189"/>
      <c r="H86" s="135"/>
      <c r="I86" s="135"/>
      <c r="J86" s="189"/>
      <c r="K86" s="135"/>
      <c r="L86" s="135"/>
      <c r="M86" s="189"/>
      <c r="N86" s="135"/>
      <c r="O86" s="135"/>
      <c r="P86" s="135"/>
      <c r="Q86" s="135"/>
      <c r="R86" s="135"/>
      <c r="S86" s="135"/>
    </row>
    <row r="87" customFormat="false" ht="15.75" hidden="false" customHeight="true" outlineLevel="0" collapsed="false">
      <c r="A87" s="135"/>
      <c r="B87" s="135"/>
      <c r="C87" s="135"/>
      <c r="D87" s="135"/>
      <c r="E87" s="135"/>
      <c r="F87" s="135"/>
      <c r="G87" s="189"/>
      <c r="H87" s="135"/>
      <c r="I87" s="135"/>
      <c r="J87" s="189"/>
      <c r="K87" s="135"/>
      <c r="L87" s="135"/>
      <c r="M87" s="189"/>
      <c r="N87" s="135"/>
      <c r="O87" s="135"/>
      <c r="P87" s="135"/>
      <c r="Q87" s="135"/>
      <c r="R87" s="135"/>
      <c r="S87" s="135"/>
    </row>
    <row r="88" customFormat="false" ht="15.75" hidden="false" customHeight="true" outlineLevel="0" collapsed="false">
      <c r="A88" s="135"/>
      <c r="B88" s="135"/>
      <c r="C88" s="135"/>
      <c r="D88" s="135"/>
      <c r="E88" s="135"/>
      <c r="F88" s="135"/>
      <c r="G88" s="189"/>
      <c r="H88" s="135"/>
      <c r="I88" s="135"/>
      <c r="J88" s="189"/>
      <c r="K88" s="135"/>
      <c r="L88" s="135"/>
      <c r="M88" s="189"/>
      <c r="N88" s="135"/>
      <c r="O88" s="135"/>
      <c r="P88" s="135"/>
      <c r="Q88" s="135"/>
      <c r="R88" s="135"/>
      <c r="S88" s="135"/>
    </row>
    <row r="89" customFormat="false" ht="15.75" hidden="false" customHeight="true" outlineLevel="0" collapsed="false">
      <c r="A89" s="135"/>
      <c r="B89" s="135"/>
      <c r="C89" s="135"/>
      <c r="D89" s="135"/>
      <c r="E89" s="135"/>
      <c r="F89" s="135"/>
      <c r="G89" s="189"/>
      <c r="H89" s="135"/>
      <c r="I89" s="135"/>
      <c r="J89" s="189"/>
      <c r="K89" s="135"/>
      <c r="L89" s="135"/>
      <c r="M89" s="189"/>
      <c r="N89" s="135"/>
      <c r="O89" s="135"/>
      <c r="P89" s="135"/>
      <c r="Q89" s="135"/>
      <c r="R89" s="135"/>
      <c r="S89" s="135"/>
    </row>
    <row r="90" customFormat="false" ht="15.75" hidden="false" customHeight="true" outlineLevel="0" collapsed="false">
      <c r="A90" s="135"/>
      <c r="B90" s="135"/>
      <c r="C90" s="135"/>
      <c r="D90" s="135"/>
      <c r="E90" s="135"/>
      <c r="F90" s="135"/>
      <c r="G90" s="189"/>
      <c r="H90" s="135"/>
      <c r="I90" s="135"/>
      <c r="J90" s="189"/>
      <c r="K90" s="135"/>
      <c r="L90" s="135"/>
      <c r="M90" s="189"/>
      <c r="N90" s="135"/>
      <c r="O90" s="135"/>
      <c r="P90" s="135"/>
      <c r="Q90" s="135"/>
      <c r="R90" s="135"/>
      <c r="S90" s="135"/>
    </row>
    <row r="91" customFormat="false" ht="15.75" hidden="false" customHeight="true" outlineLevel="0" collapsed="false">
      <c r="A91" s="135"/>
      <c r="B91" s="135"/>
      <c r="C91" s="135"/>
      <c r="D91" s="135"/>
      <c r="E91" s="135"/>
      <c r="F91" s="135"/>
      <c r="G91" s="189"/>
      <c r="H91" s="135"/>
      <c r="I91" s="135"/>
      <c r="J91" s="189"/>
      <c r="K91" s="135"/>
      <c r="L91" s="135"/>
      <c r="M91" s="189"/>
      <c r="N91" s="135"/>
      <c r="O91" s="135"/>
      <c r="P91" s="135"/>
      <c r="Q91" s="135"/>
      <c r="R91" s="135"/>
      <c r="S91" s="135"/>
    </row>
    <row r="92" customFormat="false" ht="15.75" hidden="false" customHeight="true" outlineLevel="0" collapsed="false">
      <c r="A92" s="135"/>
      <c r="B92" s="135"/>
      <c r="C92" s="135"/>
      <c r="D92" s="135"/>
      <c r="E92" s="135"/>
      <c r="F92" s="135"/>
      <c r="G92" s="189"/>
      <c r="H92" s="135"/>
      <c r="I92" s="135"/>
      <c r="J92" s="189"/>
      <c r="K92" s="135"/>
      <c r="L92" s="135"/>
      <c r="M92" s="189"/>
      <c r="N92" s="135"/>
      <c r="O92" s="135"/>
      <c r="P92" s="135"/>
      <c r="Q92" s="135"/>
      <c r="R92" s="135"/>
      <c r="S92" s="135"/>
    </row>
    <row r="93" customFormat="false" ht="15.75" hidden="false" customHeight="true" outlineLevel="0" collapsed="false">
      <c r="A93" s="135"/>
      <c r="B93" s="135"/>
      <c r="C93" s="135"/>
      <c r="D93" s="135"/>
      <c r="E93" s="135"/>
      <c r="F93" s="135"/>
      <c r="G93" s="189"/>
      <c r="H93" s="135"/>
      <c r="I93" s="135"/>
      <c r="J93" s="189"/>
      <c r="K93" s="135"/>
      <c r="L93" s="135"/>
      <c r="M93" s="189"/>
      <c r="N93" s="135"/>
      <c r="O93" s="135"/>
      <c r="P93" s="135"/>
      <c r="Q93" s="135"/>
      <c r="R93" s="135"/>
      <c r="S93" s="135"/>
    </row>
    <row r="94" customFormat="false" ht="15.75" hidden="false" customHeight="true" outlineLevel="0" collapsed="false">
      <c r="A94" s="135"/>
      <c r="B94" s="135"/>
      <c r="C94" s="135"/>
      <c r="D94" s="135"/>
      <c r="E94" s="135"/>
      <c r="F94" s="135"/>
      <c r="G94" s="189"/>
      <c r="H94" s="135"/>
      <c r="I94" s="135"/>
      <c r="J94" s="189"/>
      <c r="K94" s="135"/>
      <c r="L94" s="135"/>
      <c r="M94" s="189"/>
      <c r="N94" s="135"/>
      <c r="O94" s="135"/>
      <c r="P94" s="135"/>
      <c r="Q94" s="135"/>
      <c r="R94" s="135"/>
      <c r="S94" s="135"/>
    </row>
    <row r="95" customFormat="false" ht="15.75" hidden="false" customHeight="true" outlineLevel="0" collapsed="false">
      <c r="A95" s="135"/>
      <c r="B95" s="135"/>
      <c r="C95" s="135"/>
      <c r="D95" s="135"/>
      <c r="E95" s="135"/>
      <c r="F95" s="135"/>
      <c r="G95" s="189"/>
      <c r="H95" s="135"/>
      <c r="I95" s="135"/>
      <c r="J95" s="189"/>
      <c r="K95" s="135"/>
      <c r="L95" s="135"/>
      <c r="M95" s="189"/>
      <c r="N95" s="135"/>
      <c r="O95" s="135"/>
      <c r="P95" s="135"/>
      <c r="Q95" s="135"/>
      <c r="R95" s="135"/>
      <c r="S95" s="135"/>
    </row>
    <row r="96" customFormat="false" ht="15.75" hidden="false" customHeight="true" outlineLevel="0" collapsed="false">
      <c r="A96" s="135"/>
      <c r="B96" s="135"/>
      <c r="C96" s="135"/>
      <c r="D96" s="135"/>
      <c r="E96" s="135"/>
      <c r="F96" s="135"/>
      <c r="G96" s="189"/>
      <c r="H96" s="135"/>
      <c r="I96" s="135"/>
      <c r="J96" s="189"/>
      <c r="K96" s="135"/>
      <c r="L96" s="135"/>
      <c r="M96" s="189"/>
      <c r="N96" s="135"/>
      <c r="O96" s="135"/>
      <c r="P96" s="135"/>
      <c r="Q96" s="135"/>
      <c r="R96" s="135"/>
      <c r="S96" s="135"/>
    </row>
    <row r="97" customFormat="false" ht="15.75" hidden="false" customHeight="true" outlineLevel="0" collapsed="false">
      <c r="A97" s="135"/>
      <c r="B97" s="135"/>
      <c r="C97" s="135"/>
      <c r="D97" s="135"/>
      <c r="E97" s="135"/>
      <c r="F97" s="135"/>
      <c r="G97" s="189"/>
      <c r="H97" s="135"/>
      <c r="I97" s="135"/>
      <c r="J97" s="189"/>
      <c r="K97" s="135"/>
      <c r="L97" s="135"/>
      <c r="M97" s="189"/>
      <c r="N97" s="135"/>
      <c r="O97" s="135"/>
      <c r="P97" s="135"/>
      <c r="Q97" s="135"/>
      <c r="R97" s="135"/>
      <c r="S97" s="135"/>
    </row>
    <row r="98" customFormat="false" ht="15.75" hidden="false" customHeight="true" outlineLevel="0" collapsed="false">
      <c r="A98" s="135"/>
      <c r="B98" s="135"/>
      <c r="C98" s="135"/>
      <c r="D98" s="135"/>
      <c r="E98" s="135"/>
      <c r="F98" s="135"/>
      <c r="G98" s="189"/>
      <c r="H98" s="135"/>
      <c r="I98" s="135"/>
      <c r="J98" s="189"/>
      <c r="K98" s="135"/>
      <c r="L98" s="135"/>
      <c r="M98" s="189"/>
      <c r="N98" s="135"/>
      <c r="O98" s="135"/>
      <c r="P98" s="135"/>
      <c r="Q98" s="135"/>
      <c r="R98" s="135"/>
      <c r="S98" s="135"/>
    </row>
    <row r="99" customFormat="false" ht="15.75" hidden="false" customHeight="true" outlineLevel="0" collapsed="false">
      <c r="A99" s="135"/>
      <c r="B99" s="135"/>
      <c r="C99" s="135"/>
      <c r="D99" s="135"/>
      <c r="E99" s="135"/>
      <c r="F99" s="135"/>
      <c r="G99" s="189"/>
      <c r="H99" s="135"/>
      <c r="I99" s="135"/>
      <c r="J99" s="189"/>
      <c r="K99" s="135"/>
      <c r="L99" s="135"/>
      <c r="M99" s="189"/>
      <c r="N99" s="135"/>
      <c r="O99" s="135"/>
      <c r="P99" s="135"/>
      <c r="Q99" s="135"/>
      <c r="R99" s="135"/>
      <c r="S99" s="135"/>
    </row>
    <row r="100" customFormat="false" ht="15.75" hidden="false" customHeight="true" outlineLevel="0" collapsed="false">
      <c r="A100" s="135"/>
      <c r="B100" s="135"/>
      <c r="C100" s="135"/>
      <c r="D100" s="135"/>
      <c r="E100" s="135"/>
      <c r="F100" s="135"/>
      <c r="G100" s="189"/>
      <c r="H100" s="135"/>
      <c r="I100" s="135"/>
      <c r="J100" s="189"/>
      <c r="K100" s="135"/>
      <c r="L100" s="135"/>
      <c r="M100" s="189"/>
      <c r="N100" s="135"/>
      <c r="O100" s="135"/>
      <c r="P100" s="135"/>
      <c r="Q100" s="135"/>
      <c r="R100" s="135"/>
      <c r="S100" s="135"/>
    </row>
    <row r="101" customFormat="false" ht="15.75" hidden="false" customHeight="true" outlineLevel="0" collapsed="false">
      <c r="A101" s="135"/>
      <c r="B101" s="135"/>
      <c r="C101" s="135"/>
      <c r="D101" s="135"/>
      <c r="E101" s="135"/>
      <c r="F101" s="135"/>
      <c r="G101" s="189"/>
      <c r="H101" s="135"/>
      <c r="I101" s="135"/>
      <c r="J101" s="189"/>
      <c r="K101" s="135"/>
      <c r="L101" s="135"/>
      <c r="M101" s="189"/>
      <c r="N101" s="135"/>
      <c r="O101" s="135"/>
      <c r="P101" s="135"/>
      <c r="Q101" s="135"/>
      <c r="R101" s="135"/>
      <c r="S101" s="135"/>
    </row>
    <row r="102" customFormat="false" ht="15.75" hidden="false" customHeight="true" outlineLevel="0" collapsed="false">
      <c r="A102" s="135"/>
      <c r="B102" s="135"/>
      <c r="C102" s="135"/>
      <c r="D102" s="135"/>
      <c r="E102" s="135"/>
      <c r="F102" s="135"/>
      <c r="G102" s="189"/>
      <c r="H102" s="135"/>
      <c r="I102" s="135"/>
      <c r="J102" s="189"/>
      <c r="K102" s="135"/>
      <c r="L102" s="135"/>
      <c r="M102" s="189"/>
      <c r="N102" s="135"/>
      <c r="O102" s="135"/>
      <c r="P102" s="135"/>
      <c r="Q102" s="135"/>
      <c r="R102" s="135"/>
      <c r="S102" s="135"/>
    </row>
    <row r="103" customFormat="false" ht="15.75" hidden="false" customHeight="true" outlineLevel="0" collapsed="false">
      <c r="A103" s="135"/>
      <c r="B103" s="135"/>
      <c r="C103" s="135"/>
      <c r="D103" s="135"/>
      <c r="E103" s="135"/>
      <c r="F103" s="135"/>
      <c r="G103" s="189"/>
      <c r="H103" s="135"/>
      <c r="I103" s="135"/>
      <c r="J103" s="189"/>
      <c r="K103" s="135"/>
      <c r="L103" s="135"/>
      <c r="M103" s="189"/>
      <c r="N103" s="135"/>
      <c r="O103" s="135"/>
      <c r="P103" s="135"/>
      <c r="Q103" s="135"/>
      <c r="R103" s="135"/>
      <c r="S103" s="135"/>
    </row>
    <row r="104" customFormat="false" ht="15.75" hidden="false" customHeight="true" outlineLevel="0" collapsed="false">
      <c r="A104" s="135"/>
      <c r="B104" s="135"/>
      <c r="C104" s="135"/>
      <c r="D104" s="135"/>
      <c r="E104" s="135"/>
      <c r="F104" s="135"/>
      <c r="G104" s="189"/>
      <c r="H104" s="135"/>
      <c r="I104" s="135"/>
      <c r="J104" s="189"/>
      <c r="K104" s="135"/>
      <c r="L104" s="135"/>
      <c r="M104" s="189"/>
      <c r="N104" s="135"/>
      <c r="O104" s="135"/>
      <c r="P104" s="135"/>
      <c r="Q104" s="135"/>
      <c r="R104" s="135"/>
      <c r="S104" s="135"/>
    </row>
    <row r="105" customFormat="false" ht="15.75" hidden="false" customHeight="true" outlineLevel="0" collapsed="false">
      <c r="A105" s="135"/>
      <c r="B105" s="135"/>
      <c r="C105" s="135"/>
      <c r="D105" s="135"/>
      <c r="E105" s="135"/>
      <c r="F105" s="135"/>
      <c r="G105" s="189"/>
      <c r="H105" s="135"/>
      <c r="I105" s="135"/>
      <c r="J105" s="189"/>
      <c r="K105" s="135"/>
      <c r="L105" s="135"/>
      <c r="M105" s="189"/>
      <c r="N105" s="135"/>
      <c r="O105" s="135"/>
      <c r="P105" s="135"/>
      <c r="Q105" s="135"/>
      <c r="R105" s="135"/>
      <c r="S105" s="135"/>
    </row>
    <row r="106" customFormat="false" ht="15.75" hidden="false" customHeight="true" outlineLevel="0" collapsed="false">
      <c r="A106" s="135"/>
      <c r="B106" s="135"/>
      <c r="C106" s="135"/>
      <c r="D106" s="135"/>
      <c r="E106" s="135"/>
      <c r="F106" s="135"/>
      <c r="G106" s="189"/>
      <c r="H106" s="135"/>
      <c r="I106" s="135"/>
      <c r="J106" s="189"/>
      <c r="K106" s="135"/>
      <c r="L106" s="135"/>
      <c r="M106" s="189"/>
      <c r="N106" s="135"/>
      <c r="O106" s="135"/>
      <c r="P106" s="135"/>
      <c r="Q106" s="135"/>
      <c r="R106" s="135"/>
      <c r="S106" s="135"/>
    </row>
    <row r="107" customFormat="false" ht="15.75" hidden="false" customHeight="true" outlineLevel="0" collapsed="false">
      <c r="A107" s="135"/>
      <c r="B107" s="135"/>
      <c r="C107" s="135"/>
      <c r="D107" s="135"/>
      <c r="E107" s="135"/>
      <c r="F107" s="135"/>
      <c r="G107" s="189"/>
      <c r="H107" s="135"/>
      <c r="I107" s="135"/>
      <c r="J107" s="189"/>
      <c r="K107" s="135"/>
      <c r="L107" s="135"/>
      <c r="M107" s="189"/>
      <c r="N107" s="135"/>
      <c r="O107" s="135"/>
      <c r="P107" s="135"/>
      <c r="Q107" s="135"/>
      <c r="R107" s="135"/>
      <c r="S107" s="135"/>
    </row>
    <row r="108" customFormat="false" ht="15.75" hidden="false" customHeight="true" outlineLevel="0" collapsed="false">
      <c r="A108" s="135"/>
      <c r="B108" s="135"/>
      <c r="C108" s="135"/>
      <c r="D108" s="135"/>
      <c r="E108" s="135"/>
      <c r="F108" s="135"/>
      <c r="G108" s="189"/>
      <c r="H108" s="135"/>
      <c r="I108" s="135"/>
      <c r="J108" s="189"/>
      <c r="K108" s="135"/>
      <c r="L108" s="135"/>
      <c r="M108" s="189"/>
      <c r="N108" s="135"/>
      <c r="O108" s="135"/>
      <c r="P108" s="135"/>
      <c r="Q108" s="135"/>
      <c r="R108" s="135"/>
      <c r="S108" s="135"/>
    </row>
    <row r="109" customFormat="false" ht="15.75" hidden="false" customHeight="true" outlineLevel="0" collapsed="false">
      <c r="A109" s="135"/>
      <c r="B109" s="135"/>
      <c r="C109" s="135"/>
      <c r="D109" s="135"/>
      <c r="E109" s="135"/>
      <c r="F109" s="135"/>
      <c r="G109" s="189"/>
      <c r="H109" s="135"/>
      <c r="I109" s="135"/>
      <c r="J109" s="189"/>
      <c r="K109" s="135"/>
      <c r="L109" s="135"/>
      <c r="M109" s="189"/>
      <c r="N109" s="135"/>
      <c r="O109" s="135"/>
      <c r="P109" s="135"/>
      <c r="Q109" s="135"/>
      <c r="R109" s="135"/>
      <c r="S109" s="135"/>
    </row>
    <row r="110" customFormat="false" ht="15.75" hidden="false" customHeight="true" outlineLevel="0" collapsed="false">
      <c r="A110" s="135"/>
      <c r="B110" s="135"/>
      <c r="C110" s="135"/>
      <c r="D110" s="135"/>
      <c r="E110" s="135"/>
      <c r="F110" s="135"/>
      <c r="G110" s="189"/>
      <c r="H110" s="135"/>
      <c r="I110" s="135"/>
      <c r="J110" s="189"/>
      <c r="K110" s="135"/>
      <c r="L110" s="135"/>
      <c r="M110" s="189"/>
      <c r="N110" s="135"/>
      <c r="O110" s="135"/>
      <c r="P110" s="135"/>
      <c r="Q110" s="135"/>
      <c r="R110" s="135"/>
      <c r="S110" s="135"/>
    </row>
    <row r="111" customFormat="false" ht="15.75" hidden="false" customHeight="true" outlineLevel="0" collapsed="false">
      <c r="A111" s="135"/>
      <c r="B111" s="135"/>
      <c r="C111" s="135"/>
      <c r="D111" s="135"/>
      <c r="E111" s="135"/>
      <c r="F111" s="135"/>
      <c r="G111" s="189"/>
      <c r="H111" s="135"/>
      <c r="I111" s="135"/>
      <c r="J111" s="189"/>
      <c r="K111" s="135"/>
      <c r="L111" s="135"/>
      <c r="M111" s="189"/>
      <c r="N111" s="135"/>
      <c r="O111" s="135"/>
      <c r="P111" s="135"/>
      <c r="Q111" s="135"/>
      <c r="R111" s="135"/>
      <c r="S111" s="135"/>
    </row>
    <row r="112" customFormat="false" ht="15.75" hidden="false" customHeight="true" outlineLevel="0" collapsed="false">
      <c r="A112" s="135"/>
      <c r="B112" s="135"/>
      <c r="C112" s="135"/>
      <c r="D112" s="135"/>
      <c r="E112" s="135"/>
      <c r="F112" s="135"/>
      <c r="G112" s="189"/>
      <c r="H112" s="135"/>
      <c r="I112" s="135"/>
      <c r="J112" s="189"/>
      <c r="K112" s="135"/>
      <c r="L112" s="135"/>
      <c r="M112" s="189"/>
      <c r="N112" s="135"/>
      <c r="O112" s="135"/>
      <c r="P112" s="135"/>
      <c r="Q112" s="135"/>
      <c r="R112" s="135"/>
      <c r="S112" s="135"/>
    </row>
    <row r="113" customFormat="false" ht="15.75" hidden="false" customHeight="true" outlineLevel="0" collapsed="false">
      <c r="A113" s="135"/>
      <c r="B113" s="135"/>
      <c r="C113" s="135"/>
      <c r="D113" s="135"/>
      <c r="E113" s="135"/>
      <c r="F113" s="135"/>
      <c r="G113" s="189"/>
      <c r="H113" s="135"/>
      <c r="I113" s="135"/>
      <c r="J113" s="189"/>
      <c r="K113" s="135"/>
      <c r="L113" s="135"/>
      <c r="M113" s="189"/>
      <c r="N113" s="135"/>
      <c r="O113" s="135"/>
      <c r="P113" s="135"/>
      <c r="Q113" s="135"/>
      <c r="R113" s="135"/>
      <c r="S113" s="135"/>
    </row>
    <row r="114" customFormat="false" ht="15.75" hidden="false" customHeight="true" outlineLevel="0" collapsed="false">
      <c r="A114" s="135"/>
      <c r="B114" s="135"/>
      <c r="C114" s="135"/>
      <c r="D114" s="135"/>
      <c r="E114" s="135"/>
      <c r="F114" s="135"/>
      <c r="G114" s="189"/>
      <c r="H114" s="135"/>
      <c r="I114" s="135"/>
      <c r="J114" s="189"/>
      <c r="K114" s="135"/>
      <c r="L114" s="135"/>
      <c r="M114" s="189"/>
      <c r="N114" s="135"/>
      <c r="O114" s="135"/>
      <c r="P114" s="135"/>
      <c r="Q114" s="135"/>
      <c r="R114" s="135"/>
      <c r="S114" s="135"/>
    </row>
    <row r="115" customFormat="false" ht="15.75" hidden="false" customHeight="true" outlineLevel="0" collapsed="false">
      <c r="A115" s="135"/>
      <c r="B115" s="135"/>
      <c r="C115" s="135"/>
      <c r="D115" s="135"/>
      <c r="E115" s="135"/>
      <c r="F115" s="135"/>
      <c r="G115" s="189"/>
      <c r="H115" s="135"/>
      <c r="I115" s="135"/>
      <c r="J115" s="189"/>
      <c r="K115" s="135"/>
      <c r="L115" s="135"/>
      <c r="M115" s="189"/>
      <c r="N115" s="135"/>
      <c r="O115" s="135"/>
      <c r="P115" s="135"/>
      <c r="Q115" s="135"/>
      <c r="R115" s="135"/>
      <c r="S115" s="135"/>
    </row>
    <row r="116" customFormat="false" ht="15.75" hidden="false" customHeight="true" outlineLevel="0" collapsed="false">
      <c r="A116" s="135"/>
      <c r="B116" s="135"/>
      <c r="C116" s="135"/>
      <c r="D116" s="135"/>
      <c r="E116" s="135"/>
      <c r="F116" s="135"/>
      <c r="G116" s="189"/>
      <c r="H116" s="135"/>
      <c r="I116" s="135"/>
      <c r="J116" s="189"/>
      <c r="K116" s="135"/>
      <c r="L116" s="135"/>
      <c r="M116" s="189"/>
      <c r="N116" s="135"/>
      <c r="O116" s="135"/>
      <c r="P116" s="135"/>
      <c r="Q116" s="135"/>
      <c r="R116" s="135"/>
      <c r="S116" s="135"/>
    </row>
    <row r="117" customFormat="false" ht="15.75" hidden="false" customHeight="true" outlineLevel="0" collapsed="false">
      <c r="A117" s="135"/>
      <c r="B117" s="135"/>
      <c r="C117" s="135"/>
      <c r="D117" s="135"/>
      <c r="E117" s="135"/>
      <c r="F117" s="135"/>
      <c r="G117" s="189"/>
      <c r="H117" s="135"/>
      <c r="I117" s="135"/>
      <c r="J117" s="189"/>
      <c r="K117" s="135"/>
      <c r="L117" s="135"/>
      <c r="M117" s="189"/>
      <c r="N117" s="135"/>
      <c r="O117" s="135"/>
      <c r="P117" s="135"/>
      <c r="Q117" s="135"/>
      <c r="R117" s="135"/>
      <c r="S117" s="135"/>
    </row>
    <row r="118" customFormat="false" ht="15.75" hidden="false" customHeight="true" outlineLevel="0" collapsed="false">
      <c r="A118" s="135"/>
      <c r="B118" s="135"/>
      <c r="C118" s="135"/>
      <c r="D118" s="135"/>
      <c r="E118" s="135"/>
      <c r="F118" s="135"/>
      <c r="G118" s="189"/>
      <c r="H118" s="135"/>
      <c r="I118" s="135"/>
      <c r="J118" s="189"/>
      <c r="K118" s="135"/>
      <c r="L118" s="135"/>
      <c r="M118" s="189"/>
      <c r="N118" s="135"/>
      <c r="O118" s="135"/>
      <c r="P118" s="135"/>
      <c r="Q118" s="135"/>
      <c r="R118" s="135"/>
      <c r="S118" s="135"/>
    </row>
    <row r="119" customFormat="false" ht="15.75" hidden="false" customHeight="true" outlineLevel="0" collapsed="false">
      <c r="A119" s="135"/>
      <c r="B119" s="135"/>
      <c r="C119" s="135"/>
      <c r="D119" s="135"/>
      <c r="E119" s="135"/>
      <c r="F119" s="135"/>
      <c r="G119" s="189"/>
      <c r="H119" s="135"/>
      <c r="I119" s="135"/>
      <c r="J119" s="189"/>
      <c r="K119" s="135"/>
      <c r="L119" s="135"/>
      <c r="M119" s="189"/>
      <c r="N119" s="135"/>
      <c r="O119" s="135"/>
      <c r="P119" s="135"/>
      <c r="Q119" s="135"/>
      <c r="R119" s="135"/>
      <c r="S119" s="135"/>
    </row>
    <row r="120" customFormat="false" ht="15.75" hidden="false" customHeight="true" outlineLevel="0" collapsed="false">
      <c r="A120" s="135"/>
      <c r="B120" s="135"/>
      <c r="C120" s="135"/>
      <c r="D120" s="135"/>
      <c r="E120" s="135"/>
      <c r="F120" s="135"/>
      <c r="G120" s="189"/>
      <c r="H120" s="135"/>
      <c r="I120" s="135"/>
      <c r="J120" s="189"/>
      <c r="K120" s="135"/>
      <c r="L120" s="135"/>
      <c r="M120" s="189"/>
      <c r="N120" s="135"/>
      <c r="O120" s="135"/>
      <c r="P120" s="135"/>
      <c r="Q120" s="135"/>
      <c r="R120" s="135"/>
      <c r="S120" s="135"/>
    </row>
    <row r="121" customFormat="false" ht="15.75" hidden="false" customHeight="true" outlineLevel="0" collapsed="false">
      <c r="A121" s="135"/>
      <c r="B121" s="135"/>
      <c r="C121" s="135"/>
      <c r="D121" s="135"/>
      <c r="E121" s="135"/>
      <c r="F121" s="135"/>
      <c r="G121" s="189"/>
      <c r="H121" s="135"/>
      <c r="I121" s="135"/>
      <c r="J121" s="189"/>
      <c r="K121" s="135"/>
      <c r="L121" s="135"/>
      <c r="M121" s="189"/>
      <c r="N121" s="135"/>
      <c r="O121" s="135"/>
      <c r="P121" s="135"/>
      <c r="Q121" s="135"/>
      <c r="R121" s="135"/>
      <c r="S121" s="135"/>
    </row>
    <row r="122" customFormat="false" ht="15.75" hidden="false" customHeight="true" outlineLevel="0" collapsed="false">
      <c r="A122" s="135"/>
      <c r="B122" s="135"/>
      <c r="C122" s="135"/>
      <c r="D122" s="135"/>
      <c r="E122" s="135"/>
      <c r="F122" s="135"/>
      <c r="G122" s="189"/>
      <c r="H122" s="135"/>
      <c r="I122" s="135"/>
      <c r="J122" s="189"/>
      <c r="K122" s="135"/>
      <c r="L122" s="135"/>
      <c r="M122" s="189"/>
      <c r="N122" s="135"/>
      <c r="O122" s="135"/>
      <c r="P122" s="135"/>
      <c r="Q122" s="135"/>
      <c r="R122" s="135"/>
      <c r="S122" s="135"/>
    </row>
    <row r="123" customFormat="false" ht="15.75" hidden="false" customHeight="true" outlineLevel="0" collapsed="false">
      <c r="A123" s="135"/>
      <c r="B123" s="135"/>
      <c r="C123" s="135"/>
      <c r="D123" s="135"/>
      <c r="E123" s="135"/>
      <c r="F123" s="135"/>
      <c r="G123" s="189"/>
      <c r="H123" s="135"/>
      <c r="I123" s="135"/>
      <c r="J123" s="189"/>
      <c r="K123" s="135"/>
      <c r="L123" s="135"/>
      <c r="M123" s="189"/>
      <c r="N123" s="135"/>
      <c r="O123" s="135"/>
      <c r="P123" s="135"/>
      <c r="Q123" s="135"/>
      <c r="R123" s="135"/>
      <c r="S123" s="135"/>
    </row>
    <row r="124" customFormat="false" ht="15.75" hidden="false" customHeight="true" outlineLevel="0" collapsed="false">
      <c r="A124" s="135"/>
      <c r="B124" s="135"/>
      <c r="C124" s="135"/>
      <c r="D124" s="135"/>
      <c r="E124" s="135"/>
      <c r="F124" s="135"/>
      <c r="G124" s="189"/>
      <c r="H124" s="135"/>
      <c r="I124" s="135"/>
      <c r="J124" s="189"/>
      <c r="K124" s="135"/>
      <c r="L124" s="135"/>
      <c r="M124" s="189"/>
      <c r="N124" s="135"/>
      <c r="O124" s="135"/>
      <c r="P124" s="135"/>
      <c r="Q124" s="135"/>
      <c r="R124" s="135"/>
      <c r="S124" s="135"/>
    </row>
    <row r="125" customFormat="false" ht="15.75" hidden="false" customHeight="true" outlineLevel="0" collapsed="false">
      <c r="A125" s="135"/>
      <c r="B125" s="135"/>
      <c r="C125" s="135"/>
      <c r="D125" s="135"/>
      <c r="E125" s="135"/>
      <c r="F125" s="135"/>
      <c r="G125" s="189"/>
      <c r="H125" s="135"/>
      <c r="I125" s="135"/>
      <c r="J125" s="189"/>
      <c r="K125" s="135"/>
      <c r="L125" s="135"/>
      <c r="M125" s="189"/>
      <c r="N125" s="135"/>
      <c r="O125" s="135"/>
      <c r="P125" s="135"/>
      <c r="Q125" s="135"/>
      <c r="R125" s="135"/>
      <c r="S125" s="135"/>
    </row>
    <row r="126" customFormat="false" ht="15.75" hidden="false" customHeight="true" outlineLevel="0" collapsed="false">
      <c r="A126" s="135"/>
      <c r="B126" s="135"/>
      <c r="C126" s="135"/>
      <c r="D126" s="135"/>
      <c r="E126" s="135"/>
      <c r="F126" s="135"/>
      <c r="G126" s="189"/>
      <c r="H126" s="135"/>
      <c r="I126" s="135"/>
      <c r="J126" s="189"/>
      <c r="K126" s="135"/>
      <c r="L126" s="135"/>
      <c r="M126" s="189"/>
      <c r="N126" s="135"/>
      <c r="O126" s="135"/>
      <c r="P126" s="135"/>
      <c r="Q126" s="135"/>
      <c r="R126" s="135"/>
      <c r="S126" s="135"/>
    </row>
    <row r="127" customFormat="false" ht="15.75" hidden="false" customHeight="true" outlineLevel="0" collapsed="false">
      <c r="A127" s="135"/>
      <c r="B127" s="135"/>
      <c r="C127" s="135"/>
      <c r="D127" s="135"/>
      <c r="E127" s="135"/>
      <c r="F127" s="135"/>
      <c r="G127" s="189"/>
      <c r="H127" s="135"/>
      <c r="I127" s="135"/>
      <c r="J127" s="189"/>
      <c r="K127" s="135"/>
      <c r="L127" s="135"/>
      <c r="M127" s="189"/>
      <c r="N127" s="135"/>
      <c r="O127" s="135"/>
      <c r="P127" s="135"/>
      <c r="Q127" s="135"/>
      <c r="R127" s="135"/>
      <c r="S127" s="135"/>
    </row>
    <row r="128" customFormat="false" ht="15.75" hidden="false" customHeight="true" outlineLevel="0" collapsed="false">
      <c r="A128" s="135"/>
      <c r="B128" s="135"/>
      <c r="C128" s="135"/>
      <c r="D128" s="135"/>
      <c r="E128" s="135"/>
      <c r="F128" s="135"/>
      <c r="G128" s="189"/>
      <c r="H128" s="135"/>
      <c r="I128" s="135"/>
      <c r="J128" s="189"/>
      <c r="K128" s="135"/>
      <c r="L128" s="135"/>
      <c r="M128" s="189"/>
      <c r="N128" s="135"/>
      <c r="O128" s="135"/>
      <c r="P128" s="135"/>
      <c r="Q128" s="135"/>
      <c r="R128" s="135"/>
      <c r="S128" s="135"/>
    </row>
    <row r="129" customFormat="false" ht="15.75" hidden="false" customHeight="true" outlineLevel="0" collapsed="false">
      <c r="A129" s="135"/>
      <c r="B129" s="135"/>
      <c r="C129" s="135"/>
      <c r="D129" s="135"/>
      <c r="E129" s="135"/>
      <c r="F129" s="135"/>
      <c r="G129" s="189"/>
      <c r="H129" s="135"/>
      <c r="I129" s="135"/>
      <c r="J129" s="189"/>
      <c r="K129" s="135"/>
      <c r="L129" s="135"/>
      <c r="M129" s="189"/>
      <c r="N129" s="135"/>
      <c r="O129" s="135"/>
      <c r="P129" s="135"/>
      <c r="Q129" s="135"/>
      <c r="R129" s="135"/>
      <c r="S129" s="135"/>
    </row>
    <row r="130" customFormat="false" ht="15.75" hidden="false" customHeight="true" outlineLevel="0" collapsed="false">
      <c r="A130" s="135"/>
      <c r="B130" s="135"/>
      <c r="C130" s="135"/>
      <c r="D130" s="135"/>
      <c r="E130" s="135"/>
      <c r="F130" s="135"/>
      <c r="G130" s="189"/>
      <c r="H130" s="135"/>
      <c r="I130" s="135"/>
      <c r="J130" s="189"/>
      <c r="K130" s="135"/>
      <c r="L130" s="135"/>
      <c r="M130" s="189"/>
      <c r="N130" s="135"/>
      <c r="O130" s="135"/>
      <c r="P130" s="135"/>
      <c r="Q130" s="135"/>
      <c r="R130" s="135"/>
      <c r="S130" s="135"/>
    </row>
    <row r="131" customFormat="false" ht="15.75" hidden="false" customHeight="true" outlineLevel="0" collapsed="false">
      <c r="A131" s="135"/>
      <c r="B131" s="135"/>
      <c r="C131" s="135"/>
      <c r="D131" s="135"/>
      <c r="E131" s="135"/>
      <c r="F131" s="135"/>
      <c r="G131" s="189"/>
      <c r="H131" s="135"/>
      <c r="I131" s="135"/>
      <c r="J131" s="189"/>
      <c r="K131" s="135"/>
      <c r="L131" s="135"/>
      <c r="M131" s="189"/>
      <c r="N131" s="135"/>
      <c r="O131" s="135"/>
      <c r="P131" s="135"/>
      <c r="Q131" s="135"/>
      <c r="R131" s="135"/>
      <c r="S131" s="135"/>
    </row>
    <row r="132" customFormat="false" ht="15.75" hidden="false" customHeight="true" outlineLevel="0" collapsed="false">
      <c r="A132" s="135"/>
      <c r="B132" s="135"/>
      <c r="C132" s="135"/>
      <c r="D132" s="135"/>
      <c r="E132" s="135"/>
      <c r="F132" s="135"/>
      <c r="G132" s="189"/>
      <c r="H132" s="135"/>
      <c r="I132" s="135"/>
      <c r="J132" s="189"/>
      <c r="K132" s="135"/>
      <c r="L132" s="135"/>
      <c r="M132" s="189"/>
      <c r="N132" s="135"/>
      <c r="O132" s="135"/>
      <c r="P132" s="135"/>
      <c r="Q132" s="135"/>
      <c r="R132" s="135"/>
      <c r="S132" s="135"/>
    </row>
    <row r="133" customFormat="false" ht="15.75" hidden="false" customHeight="true" outlineLevel="0" collapsed="false">
      <c r="A133" s="135"/>
      <c r="B133" s="135"/>
      <c r="C133" s="135"/>
      <c r="D133" s="135"/>
      <c r="E133" s="135"/>
      <c r="F133" s="135"/>
      <c r="G133" s="189"/>
      <c r="H133" s="135"/>
      <c r="I133" s="135"/>
      <c r="J133" s="189"/>
      <c r="K133" s="135"/>
      <c r="L133" s="135"/>
      <c r="M133" s="189"/>
      <c r="N133" s="135"/>
      <c r="O133" s="135"/>
      <c r="P133" s="135"/>
      <c r="Q133" s="135"/>
      <c r="R133" s="135"/>
      <c r="S133" s="135"/>
    </row>
    <row r="134" customFormat="false" ht="15.75" hidden="false" customHeight="true" outlineLevel="0" collapsed="false">
      <c r="A134" s="135"/>
      <c r="B134" s="135"/>
      <c r="C134" s="135"/>
      <c r="D134" s="135"/>
      <c r="E134" s="135"/>
      <c r="F134" s="135"/>
      <c r="G134" s="189"/>
      <c r="H134" s="135"/>
      <c r="I134" s="135"/>
      <c r="J134" s="189"/>
      <c r="K134" s="135"/>
      <c r="L134" s="135"/>
      <c r="M134" s="189"/>
      <c r="N134" s="135"/>
      <c r="O134" s="135"/>
      <c r="P134" s="135"/>
      <c r="Q134" s="135"/>
      <c r="R134" s="135"/>
      <c r="S134" s="135"/>
    </row>
    <row r="135" customFormat="false" ht="15.75" hidden="false" customHeight="true" outlineLevel="0" collapsed="false">
      <c r="A135" s="135"/>
      <c r="B135" s="135"/>
      <c r="C135" s="135"/>
      <c r="D135" s="135"/>
      <c r="E135" s="135"/>
      <c r="F135" s="135"/>
      <c r="G135" s="189"/>
      <c r="H135" s="135"/>
      <c r="I135" s="135"/>
      <c r="J135" s="189"/>
      <c r="K135" s="135"/>
      <c r="L135" s="135"/>
      <c r="M135" s="189"/>
      <c r="N135" s="135"/>
      <c r="O135" s="135"/>
      <c r="P135" s="135"/>
      <c r="Q135" s="135"/>
      <c r="R135" s="135"/>
      <c r="S135" s="135"/>
    </row>
    <row r="136" customFormat="false" ht="15.75" hidden="false" customHeight="true" outlineLevel="0" collapsed="false">
      <c r="A136" s="135"/>
      <c r="B136" s="135"/>
      <c r="C136" s="135"/>
      <c r="D136" s="135"/>
      <c r="E136" s="135"/>
      <c r="F136" s="135"/>
      <c r="G136" s="189"/>
      <c r="H136" s="135"/>
      <c r="I136" s="135"/>
      <c r="J136" s="189"/>
      <c r="K136" s="135"/>
      <c r="L136" s="135"/>
      <c r="M136" s="189"/>
      <c r="N136" s="135"/>
      <c r="O136" s="135"/>
      <c r="P136" s="135"/>
      <c r="Q136" s="135"/>
      <c r="R136" s="135"/>
      <c r="S136" s="135"/>
    </row>
    <row r="137" customFormat="false" ht="15.75" hidden="false" customHeight="true" outlineLevel="0" collapsed="false">
      <c r="A137" s="135"/>
      <c r="B137" s="135"/>
      <c r="C137" s="135"/>
      <c r="D137" s="135"/>
      <c r="E137" s="135"/>
      <c r="F137" s="135"/>
      <c r="G137" s="189"/>
      <c r="H137" s="135"/>
      <c r="I137" s="135"/>
      <c r="J137" s="189"/>
      <c r="K137" s="135"/>
      <c r="L137" s="135"/>
      <c r="M137" s="189"/>
      <c r="N137" s="135"/>
      <c r="O137" s="135"/>
      <c r="P137" s="135"/>
      <c r="Q137" s="135"/>
      <c r="R137" s="135"/>
      <c r="S137" s="135"/>
    </row>
    <row r="138" customFormat="false" ht="15.75" hidden="false" customHeight="true" outlineLevel="0" collapsed="false">
      <c r="A138" s="135"/>
      <c r="B138" s="135"/>
      <c r="C138" s="135"/>
      <c r="D138" s="135"/>
      <c r="E138" s="135"/>
      <c r="F138" s="135"/>
      <c r="G138" s="189"/>
      <c r="H138" s="135"/>
      <c r="I138" s="135"/>
      <c r="J138" s="189"/>
      <c r="K138" s="135"/>
      <c r="L138" s="135"/>
      <c r="M138" s="189"/>
      <c r="N138" s="135"/>
      <c r="O138" s="135"/>
      <c r="P138" s="135"/>
      <c r="Q138" s="135"/>
      <c r="R138" s="135"/>
      <c r="S138" s="135"/>
    </row>
    <row r="139" customFormat="false" ht="15.75" hidden="false" customHeight="true" outlineLevel="0" collapsed="false">
      <c r="A139" s="135"/>
      <c r="B139" s="135"/>
      <c r="C139" s="135"/>
      <c r="D139" s="135"/>
      <c r="E139" s="135"/>
      <c r="F139" s="135"/>
      <c r="G139" s="189"/>
      <c r="H139" s="135"/>
      <c r="I139" s="135"/>
      <c r="J139" s="189"/>
      <c r="K139" s="135"/>
      <c r="L139" s="135"/>
      <c r="M139" s="189"/>
      <c r="N139" s="135"/>
      <c r="O139" s="135"/>
      <c r="P139" s="135"/>
      <c r="Q139" s="135"/>
      <c r="R139" s="135"/>
      <c r="S139" s="135"/>
    </row>
    <row r="140" customFormat="false" ht="15.75" hidden="false" customHeight="true" outlineLevel="0" collapsed="false">
      <c r="A140" s="135"/>
      <c r="B140" s="135"/>
      <c r="C140" s="135"/>
      <c r="D140" s="135"/>
      <c r="E140" s="135"/>
      <c r="F140" s="135"/>
      <c r="G140" s="189"/>
      <c r="H140" s="135"/>
      <c r="I140" s="135"/>
      <c r="J140" s="189"/>
      <c r="K140" s="135"/>
      <c r="L140" s="135"/>
      <c r="M140" s="189"/>
      <c r="N140" s="135"/>
      <c r="O140" s="135"/>
      <c r="P140" s="135"/>
      <c r="Q140" s="135"/>
      <c r="R140" s="135"/>
      <c r="S140" s="135"/>
    </row>
    <row r="141" customFormat="false" ht="15.75" hidden="false" customHeight="true" outlineLevel="0" collapsed="false">
      <c r="A141" s="135"/>
      <c r="B141" s="135"/>
      <c r="C141" s="135"/>
      <c r="D141" s="135"/>
      <c r="E141" s="135"/>
      <c r="F141" s="135"/>
      <c r="G141" s="189"/>
      <c r="H141" s="135"/>
      <c r="I141" s="135"/>
      <c r="J141" s="189"/>
      <c r="K141" s="135"/>
      <c r="L141" s="135"/>
      <c r="M141" s="189"/>
      <c r="N141" s="135"/>
      <c r="O141" s="135"/>
      <c r="P141" s="135"/>
      <c r="Q141" s="135"/>
      <c r="R141" s="135"/>
      <c r="S141" s="135"/>
    </row>
    <row r="142" customFormat="false" ht="15.75" hidden="false" customHeight="true" outlineLevel="0" collapsed="false">
      <c r="A142" s="135"/>
      <c r="B142" s="135"/>
      <c r="C142" s="135"/>
      <c r="D142" s="135"/>
      <c r="E142" s="135"/>
      <c r="F142" s="135"/>
      <c r="G142" s="189"/>
      <c r="H142" s="135"/>
      <c r="I142" s="135"/>
      <c r="J142" s="189"/>
      <c r="K142" s="135"/>
      <c r="L142" s="135"/>
      <c r="M142" s="189"/>
      <c r="N142" s="135"/>
      <c r="O142" s="135"/>
      <c r="P142" s="135"/>
      <c r="Q142" s="135"/>
      <c r="R142" s="135"/>
      <c r="S142" s="135"/>
    </row>
    <row r="143" customFormat="false" ht="15.75" hidden="false" customHeight="true" outlineLevel="0" collapsed="false">
      <c r="A143" s="135"/>
      <c r="B143" s="135"/>
      <c r="C143" s="135"/>
      <c r="D143" s="135"/>
      <c r="E143" s="135"/>
      <c r="F143" s="135"/>
      <c r="G143" s="189"/>
      <c r="H143" s="135"/>
      <c r="I143" s="135"/>
      <c r="J143" s="189"/>
      <c r="K143" s="135"/>
      <c r="L143" s="135"/>
      <c r="M143" s="189"/>
      <c r="N143" s="135"/>
      <c r="O143" s="135"/>
      <c r="P143" s="135"/>
      <c r="Q143" s="135"/>
      <c r="R143" s="135"/>
      <c r="S143" s="135"/>
    </row>
    <row r="144" customFormat="false" ht="15.75" hidden="false" customHeight="true" outlineLevel="0" collapsed="false">
      <c r="A144" s="135"/>
      <c r="B144" s="135"/>
      <c r="C144" s="135"/>
      <c r="D144" s="135"/>
      <c r="E144" s="135"/>
      <c r="F144" s="135"/>
      <c r="G144" s="189"/>
      <c r="H144" s="135"/>
      <c r="I144" s="135"/>
      <c r="J144" s="189"/>
      <c r="K144" s="135"/>
      <c r="L144" s="135"/>
      <c r="M144" s="189"/>
      <c r="N144" s="135"/>
      <c r="O144" s="135"/>
      <c r="P144" s="135"/>
      <c r="Q144" s="135"/>
      <c r="R144" s="135"/>
      <c r="S144" s="135"/>
    </row>
    <row r="145" customFormat="false" ht="15.75" hidden="false" customHeight="true" outlineLevel="0" collapsed="false">
      <c r="A145" s="135"/>
      <c r="B145" s="135"/>
      <c r="C145" s="135"/>
      <c r="D145" s="135"/>
      <c r="E145" s="135"/>
      <c r="F145" s="135"/>
      <c r="G145" s="189"/>
      <c r="H145" s="135"/>
      <c r="I145" s="135"/>
      <c r="J145" s="189"/>
      <c r="K145" s="135"/>
      <c r="L145" s="135"/>
      <c r="M145" s="189"/>
      <c r="N145" s="135"/>
      <c r="O145" s="135"/>
      <c r="P145" s="135"/>
      <c r="Q145" s="135"/>
      <c r="R145" s="135"/>
      <c r="S145" s="135"/>
    </row>
    <row r="146" customFormat="false" ht="15.75" hidden="false" customHeight="true" outlineLevel="0" collapsed="false">
      <c r="A146" s="135"/>
      <c r="B146" s="135"/>
      <c r="C146" s="135"/>
      <c r="D146" s="135"/>
      <c r="E146" s="135"/>
      <c r="F146" s="135"/>
      <c r="G146" s="189"/>
      <c r="H146" s="135"/>
      <c r="I146" s="135"/>
      <c r="J146" s="189"/>
      <c r="K146" s="135"/>
      <c r="L146" s="135"/>
      <c r="M146" s="189"/>
      <c r="N146" s="135"/>
      <c r="O146" s="135"/>
      <c r="P146" s="135"/>
      <c r="Q146" s="135"/>
      <c r="R146" s="135"/>
      <c r="S146" s="135"/>
    </row>
    <row r="147" customFormat="false" ht="15.75" hidden="false" customHeight="true" outlineLevel="0" collapsed="false">
      <c r="A147" s="135"/>
      <c r="B147" s="135"/>
      <c r="C147" s="135"/>
      <c r="D147" s="135"/>
      <c r="E147" s="135"/>
      <c r="F147" s="135"/>
      <c r="G147" s="189"/>
      <c r="H147" s="135"/>
      <c r="I147" s="135"/>
      <c r="J147" s="189"/>
      <c r="K147" s="135"/>
      <c r="L147" s="135"/>
      <c r="M147" s="189"/>
      <c r="N147" s="135"/>
      <c r="O147" s="135"/>
      <c r="P147" s="135"/>
      <c r="Q147" s="135"/>
      <c r="R147" s="135"/>
      <c r="S147" s="135"/>
    </row>
    <row r="148" customFormat="false" ht="15.75" hidden="false" customHeight="true" outlineLevel="0" collapsed="false">
      <c r="A148" s="135"/>
      <c r="B148" s="135"/>
      <c r="C148" s="135"/>
      <c r="D148" s="135"/>
      <c r="E148" s="135"/>
      <c r="F148" s="135"/>
      <c r="G148" s="189"/>
      <c r="H148" s="135"/>
      <c r="I148" s="135"/>
      <c r="J148" s="189"/>
      <c r="K148" s="135"/>
      <c r="L148" s="135"/>
      <c r="M148" s="189"/>
      <c r="N148" s="135"/>
      <c r="O148" s="135"/>
      <c r="P148" s="135"/>
      <c r="Q148" s="135"/>
      <c r="R148" s="135"/>
      <c r="S148" s="135"/>
    </row>
    <row r="149" customFormat="false" ht="15.75" hidden="false" customHeight="true" outlineLevel="0" collapsed="false">
      <c r="A149" s="135"/>
      <c r="B149" s="135"/>
      <c r="C149" s="135"/>
      <c r="D149" s="135"/>
      <c r="E149" s="135"/>
      <c r="F149" s="135"/>
      <c r="G149" s="189"/>
      <c r="H149" s="135"/>
      <c r="I149" s="135"/>
      <c r="J149" s="189"/>
      <c r="K149" s="135"/>
      <c r="L149" s="135"/>
      <c r="M149" s="189"/>
      <c r="N149" s="135"/>
      <c r="O149" s="135"/>
      <c r="P149" s="135"/>
      <c r="Q149" s="135"/>
      <c r="R149" s="135"/>
      <c r="S149" s="135"/>
    </row>
    <row r="150" customFormat="false" ht="15.75" hidden="false" customHeight="true" outlineLevel="0" collapsed="false">
      <c r="A150" s="135"/>
      <c r="B150" s="135"/>
      <c r="C150" s="135"/>
      <c r="D150" s="135"/>
      <c r="E150" s="135"/>
      <c r="F150" s="135"/>
      <c r="G150" s="189"/>
      <c r="H150" s="135"/>
      <c r="I150" s="135"/>
      <c r="J150" s="189"/>
      <c r="K150" s="135"/>
      <c r="L150" s="135"/>
      <c r="M150" s="189"/>
      <c r="N150" s="135"/>
      <c r="O150" s="135"/>
      <c r="P150" s="135"/>
      <c r="Q150" s="135"/>
      <c r="R150" s="135"/>
      <c r="S150" s="135"/>
    </row>
    <row r="151" customFormat="false" ht="15.75" hidden="false" customHeight="true" outlineLevel="0" collapsed="false">
      <c r="A151" s="135"/>
      <c r="B151" s="135"/>
      <c r="C151" s="135"/>
      <c r="D151" s="135"/>
      <c r="E151" s="135"/>
      <c r="F151" s="135"/>
      <c r="G151" s="189"/>
      <c r="H151" s="135"/>
      <c r="I151" s="135"/>
      <c r="J151" s="189"/>
      <c r="K151" s="135"/>
      <c r="L151" s="135"/>
      <c r="M151" s="189"/>
      <c r="N151" s="135"/>
      <c r="O151" s="135"/>
      <c r="P151" s="135"/>
      <c r="Q151" s="135"/>
      <c r="R151" s="135"/>
      <c r="S151" s="135"/>
    </row>
    <row r="152" customFormat="false" ht="15.75" hidden="false" customHeight="true" outlineLevel="0" collapsed="false">
      <c r="A152" s="135"/>
      <c r="B152" s="135"/>
      <c r="C152" s="135"/>
      <c r="D152" s="135"/>
      <c r="E152" s="135"/>
      <c r="F152" s="135"/>
      <c r="G152" s="189"/>
      <c r="H152" s="135"/>
      <c r="I152" s="135"/>
      <c r="J152" s="189"/>
      <c r="K152" s="135"/>
      <c r="L152" s="135"/>
      <c r="M152" s="189"/>
      <c r="N152" s="135"/>
      <c r="O152" s="135"/>
      <c r="P152" s="135"/>
      <c r="Q152" s="135"/>
      <c r="R152" s="135"/>
      <c r="S152" s="135"/>
    </row>
    <row r="153" customFormat="false" ht="15.75" hidden="false" customHeight="true" outlineLevel="0" collapsed="false">
      <c r="A153" s="135"/>
      <c r="B153" s="135"/>
      <c r="C153" s="135"/>
      <c r="D153" s="135"/>
      <c r="E153" s="135"/>
      <c r="F153" s="135"/>
      <c r="G153" s="189"/>
      <c r="H153" s="135"/>
      <c r="I153" s="135"/>
      <c r="J153" s="189"/>
      <c r="K153" s="135"/>
      <c r="L153" s="135"/>
      <c r="M153" s="189"/>
      <c r="N153" s="135"/>
      <c r="O153" s="135"/>
      <c r="P153" s="135"/>
      <c r="Q153" s="135"/>
      <c r="R153" s="135"/>
      <c r="S153" s="135"/>
    </row>
    <row r="154" customFormat="false" ht="15.75" hidden="false" customHeight="true" outlineLevel="0" collapsed="false">
      <c r="A154" s="135"/>
      <c r="B154" s="135"/>
      <c r="C154" s="135"/>
      <c r="D154" s="135"/>
      <c r="E154" s="135"/>
      <c r="F154" s="135"/>
      <c r="G154" s="189"/>
      <c r="H154" s="135"/>
      <c r="I154" s="135"/>
      <c r="J154" s="189"/>
      <c r="K154" s="135"/>
      <c r="L154" s="135"/>
      <c r="M154" s="189"/>
      <c r="N154" s="135"/>
      <c r="O154" s="135"/>
      <c r="P154" s="135"/>
      <c r="Q154" s="135"/>
      <c r="R154" s="135"/>
      <c r="S154" s="135"/>
    </row>
    <row r="155" customFormat="false" ht="15.75" hidden="false" customHeight="true" outlineLevel="0" collapsed="false">
      <c r="A155" s="135"/>
      <c r="B155" s="135"/>
      <c r="C155" s="135"/>
      <c r="D155" s="135"/>
      <c r="E155" s="135"/>
      <c r="F155" s="135"/>
      <c r="G155" s="189"/>
      <c r="H155" s="135"/>
      <c r="I155" s="135"/>
      <c r="J155" s="189"/>
      <c r="K155" s="135"/>
      <c r="L155" s="135"/>
      <c r="M155" s="189"/>
      <c r="N155" s="135"/>
      <c r="O155" s="135"/>
      <c r="P155" s="135"/>
      <c r="Q155" s="135"/>
      <c r="R155" s="135"/>
      <c r="S155" s="135"/>
    </row>
    <row r="156" customFormat="false" ht="15.75" hidden="false" customHeight="true" outlineLevel="0" collapsed="false">
      <c r="A156" s="135"/>
      <c r="B156" s="135"/>
      <c r="C156" s="135"/>
      <c r="D156" s="135"/>
      <c r="E156" s="135"/>
      <c r="F156" s="135"/>
      <c r="G156" s="189"/>
      <c r="H156" s="135"/>
      <c r="I156" s="135"/>
      <c r="J156" s="189"/>
      <c r="K156" s="135"/>
      <c r="L156" s="135"/>
      <c r="M156" s="189"/>
      <c r="N156" s="135"/>
      <c r="O156" s="135"/>
      <c r="P156" s="135"/>
      <c r="Q156" s="135"/>
      <c r="R156" s="135"/>
      <c r="S156" s="135"/>
    </row>
    <row r="157" customFormat="false" ht="15.75" hidden="false" customHeight="true" outlineLevel="0" collapsed="false">
      <c r="A157" s="135"/>
      <c r="B157" s="135"/>
      <c r="C157" s="135"/>
      <c r="D157" s="135"/>
      <c r="E157" s="135"/>
      <c r="F157" s="135"/>
      <c r="G157" s="189"/>
      <c r="H157" s="135"/>
      <c r="I157" s="135"/>
      <c r="J157" s="189"/>
      <c r="K157" s="135"/>
      <c r="L157" s="135"/>
      <c r="M157" s="189"/>
      <c r="N157" s="135"/>
      <c r="O157" s="135"/>
      <c r="P157" s="135"/>
      <c r="Q157" s="135"/>
      <c r="R157" s="135"/>
      <c r="S157" s="135"/>
    </row>
    <row r="158" customFormat="false" ht="15.75" hidden="false" customHeight="true" outlineLevel="0" collapsed="false">
      <c r="A158" s="135"/>
      <c r="B158" s="135"/>
      <c r="C158" s="135"/>
      <c r="D158" s="135"/>
      <c r="E158" s="135"/>
      <c r="F158" s="135"/>
      <c r="G158" s="189"/>
      <c r="H158" s="135"/>
      <c r="I158" s="135"/>
      <c r="J158" s="189"/>
      <c r="K158" s="135"/>
      <c r="L158" s="135"/>
      <c r="M158" s="189"/>
      <c r="N158" s="135"/>
      <c r="O158" s="135"/>
      <c r="P158" s="135"/>
      <c r="Q158" s="135"/>
      <c r="R158" s="135"/>
      <c r="S158" s="135"/>
    </row>
    <row r="159" customFormat="false" ht="15.75" hidden="false" customHeight="true" outlineLevel="0" collapsed="false">
      <c r="A159" s="135"/>
      <c r="B159" s="135"/>
      <c r="C159" s="135"/>
      <c r="D159" s="135"/>
      <c r="E159" s="135"/>
      <c r="F159" s="135"/>
      <c r="G159" s="189"/>
      <c r="H159" s="135"/>
      <c r="I159" s="135"/>
      <c r="J159" s="189"/>
      <c r="K159" s="135"/>
      <c r="L159" s="135"/>
      <c r="M159" s="189"/>
      <c r="N159" s="135"/>
      <c r="O159" s="135"/>
      <c r="P159" s="135"/>
      <c r="Q159" s="135"/>
      <c r="R159" s="135"/>
      <c r="S159" s="135"/>
    </row>
    <row r="160" customFormat="false" ht="15.75" hidden="false" customHeight="true" outlineLevel="0" collapsed="false">
      <c r="A160" s="135"/>
      <c r="B160" s="135"/>
      <c r="C160" s="135"/>
      <c r="D160" s="135"/>
      <c r="E160" s="135"/>
      <c r="F160" s="135"/>
      <c r="G160" s="189"/>
      <c r="H160" s="135"/>
      <c r="I160" s="135"/>
      <c r="J160" s="189"/>
      <c r="K160" s="135"/>
      <c r="L160" s="135"/>
      <c r="M160" s="189"/>
      <c r="N160" s="135"/>
      <c r="O160" s="135"/>
      <c r="P160" s="135"/>
      <c r="Q160" s="135"/>
      <c r="R160" s="135"/>
      <c r="S160" s="135"/>
    </row>
    <row r="161" customFormat="false" ht="15.75" hidden="false" customHeight="true" outlineLevel="0" collapsed="false">
      <c r="A161" s="135"/>
      <c r="B161" s="135"/>
      <c r="C161" s="135"/>
      <c r="D161" s="135"/>
      <c r="E161" s="135"/>
      <c r="F161" s="135"/>
      <c r="G161" s="189"/>
      <c r="H161" s="135"/>
      <c r="I161" s="135"/>
      <c r="J161" s="189"/>
      <c r="K161" s="135"/>
      <c r="L161" s="135"/>
      <c r="M161" s="189"/>
      <c r="N161" s="135"/>
      <c r="O161" s="135"/>
      <c r="P161" s="135"/>
      <c r="Q161" s="135"/>
      <c r="R161" s="135"/>
      <c r="S161" s="135"/>
    </row>
    <row r="162" customFormat="false" ht="15.75" hidden="false" customHeight="true" outlineLevel="0" collapsed="false">
      <c r="A162" s="135"/>
      <c r="B162" s="135"/>
      <c r="C162" s="135"/>
      <c r="D162" s="135"/>
      <c r="E162" s="135"/>
      <c r="F162" s="135"/>
      <c r="G162" s="189"/>
      <c r="H162" s="135"/>
      <c r="I162" s="135"/>
      <c r="J162" s="189"/>
      <c r="K162" s="135"/>
      <c r="L162" s="135"/>
      <c r="M162" s="189"/>
      <c r="N162" s="135"/>
      <c r="O162" s="135"/>
      <c r="P162" s="135"/>
      <c r="Q162" s="135"/>
      <c r="R162" s="135"/>
      <c r="S162" s="135"/>
    </row>
    <row r="163" customFormat="false" ht="15.75" hidden="false" customHeight="true" outlineLevel="0" collapsed="false">
      <c r="A163" s="135"/>
      <c r="B163" s="135"/>
      <c r="C163" s="135"/>
      <c r="D163" s="135"/>
      <c r="E163" s="135"/>
      <c r="F163" s="135"/>
      <c r="G163" s="189"/>
      <c r="H163" s="135"/>
      <c r="I163" s="135"/>
      <c r="J163" s="189"/>
      <c r="K163" s="135"/>
      <c r="L163" s="135"/>
      <c r="M163" s="189"/>
      <c r="N163" s="135"/>
      <c r="O163" s="135"/>
      <c r="P163" s="135"/>
      <c r="Q163" s="135"/>
      <c r="R163" s="135"/>
      <c r="S163" s="135"/>
    </row>
    <row r="164" customFormat="false" ht="15.75" hidden="false" customHeight="true" outlineLevel="0" collapsed="false">
      <c r="A164" s="135"/>
      <c r="B164" s="135"/>
      <c r="C164" s="135"/>
      <c r="D164" s="135"/>
      <c r="E164" s="135"/>
      <c r="F164" s="135"/>
      <c r="G164" s="189"/>
      <c r="H164" s="135"/>
      <c r="I164" s="135"/>
      <c r="J164" s="189"/>
      <c r="K164" s="135"/>
      <c r="L164" s="135"/>
      <c r="M164" s="189"/>
      <c r="N164" s="135"/>
      <c r="O164" s="135"/>
      <c r="P164" s="135"/>
      <c r="Q164" s="135"/>
      <c r="R164" s="135"/>
      <c r="S164" s="135"/>
    </row>
    <row r="165" customFormat="false" ht="15.75" hidden="false" customHeight="true" outlineLevel="0" collapsed="false">
      <c r="A165" s="135"/>
      <c r="B165" s="135"/>
      <c r="C165" s="135"/>
      <c r="D165" s="135"/>
      <c r="E165" s="135"/>
      <c r="F165" s="135"/>
      <c r="G165" s="189"/>
      <c r="H165" s="135"/>
      <c r="I165" s="135"/>
      <c r="J165" s="189"/>
      <c r="K165" s="135"/>
      <c r="L165" s="135"/>
      <c r="M165" s="189"/>
      <c r="N165" s="135"/>
      <c r="O165" s="135"/>
      <c r="P165" s="135"/>
      <c r="Q165" s="135"/>
      <c r="R165" s="135"/>
      <c r="S165" s="135"/>
    </row>
    <row r="166" customFormat="false" ht="15.75" hidden="false" customHeight="true" outlineLevel="0" collapsed="false">
      <c r="A166" s="135"/>
      <c r="B166" s="135"/>
      <c r="C166" s="135"/>
      <c r="D166" s="135"/>
      <c r="E166" s="135"/>
      <c r="F166" s="135"/>
      <c r="G166" s="189"/>
      <c r="H166" s="135"/>
      <c r="I166" s="135"/>
      <c r="J166" s="189"/>
      <c r="K166" s="135"/>
      <c r="L166" s="135"/>
      <c r="M166" s="189"/>
      <c r="N166" s="135"/>
      <c r="O166" s="135"/>
      <c r="P166" s="135"/>
      <c r="Q166" s="135"/>
      <c r="R166" s="135"/>
      <c r="S166" s="135"/>
    </row>
    <row r="167" customFormat="false" ht="15.75" hidden="false" customHeight="true" outlineLevel="0" collapsed="false">
      <c r="A167" s="135"/>
      <c r="B167" s="135"/>
      <c r="C167" s="135"/>
      <c r="D167" s="135"/>
      <c r="E167" s="135"/>
      <c r="F167" s="135"/>
      <c r="G167" s="189"/>
      <c r="H167" s="135"/>
      <c r="I167" s="135"/>
      <c r="J167" s="189"/>
      <c r="K167" s="135"/>
      <c r="L167" s="135"/>
      <c r="M167" s="189"/>
      <c r="N167" s="135"/>
      <c r="O167" s="135"/>
      <c r="P167" s="135"/>
      <c r="Q167" s="135"/>
      <c r="R167" s="135"/>
      <c r="S167" s="135"/>
    </row>
    <row r="168" customFormat="false" ht="15.75" hidden="false" customHeight="true" outlineLevel="0" collapsed="false">
      <c r="A168" s="135"/>
      <c r="B168" s="135"/>
      <c r="C168" s="135"/>
      <c r="D168" s="135"/>
      <c r="E168" s="135"/>
      <c r="F168" s="135"/>
      <c r="G168" s="189"/>
      <c r="H168" s="135"/>
      <c r="I168" s="135"/>
      <c r="J168" s="189"/>
      <c r="K168" s="135"/>
      <c r="L168" s="135"/>
      <c r="M168" s="189"/>
      <c r="N168" s="135"/>
      <c r="O168" s="135"/>
      <c r="P168" s="135"/>
      <c r="Q168" s="135"/>
      <c r="R168" s="135"/>
      <c r="S168" s="135"/>
    </row>
    <row r="169" customFormat="false" ht="15.75" hidden="false" customHeight="true" outlineLevel="0" collapsed="false">
      <c r="A169" s="135"/>
      <c r="B169" s="135"/>
      <c r="C169" s="135"/>
      <c r="D169" s="135"/>
      <c r="E169" s="135"/>
      <c r="F169" s="135"/>
      <c r="G169" s="189"/>
      <c r="H169" s="135"/>
      <c r="I169" s="135"/>
      <c r="J169" s="189"/>
      <c r="K169" s="135"/>
      <c r="L169" s="135"/>
      <c r="M169" s="189"/>
      <c r="N169" s="135"/>
      <c r="O169" s="135"/>
      <c r="P169" s="135"/>
      <c r="Q169" s="135"/>
      <c r="R169" s="135"/>
      <c r="S169" s="135"/>
    </row>
    <row r="170" customFormat="false" ht="15.75" hidden="false" customHeight="true" outlineLevel="0" collapsed="false">
      <c r="A170" s="135"/>
      <c r="B170" s="135"/>
      <c r="C170" s="135"/>
      <c r="D170" s="135"/>
      <c r="E170" s="135"/>
      <c r="F170" s="135"/>
      <c r="G170" s="189"/>
      <c r="H170" s="135"/>
      <c r="I170" s="135"/>
      <c r="J170" s="189"/>
      <c r="K170" s="135"/>
      <c r="L170" s="135"/>
      <c r="M170" s="189"/>
      <c r="N170" s="135"/>
      <c r="O170" s="135"/>
      <c r="P170" s="135"/>
      <c r="Q170" s="135"/>
      <c r="R170" s="135"/>
      <c r="S170" s="135"/>
    </row>
    <row r="171" customFormat="false" ht="15.75" hidden="false" customHeight="true" outlineLevel="0" collapsed="false">
      <c r="A171" s="135"/>
      <c r="B171" s="135"/>
      <c r="C171" s="135"/>
      <c r="D171" s="135"/>
      <c r="E171" s="135"/>
      <c r="F171" s="135"/>
      <c r="G171" s="189"/>
      <c r="H171" s="135"/>
      <c r="I171" s="135"/>
      <c r="J171" s="189"/>
      <c r="K171" s="135"/>
      <c r="L171" s="135"/>
      <c r="M171" s="189"/>
      <c r="N171" s="135"/>
      <c r="O171" s="135"/>
      <c r="P171" s="135"/>
      <c r="Q171" s="135"/>
      <c r="R171" s="135"/>
      <c r="S171" s="135"/>
    </row>
    <row r="172" customFormat="false" ht="15.75" hidden="false" customHeight="true" outlineLevel="0" collapsed="false">
      <c r="A172" s="135"/>
      <c r="B172" s="135"/>
      <c r="C172" s="135"/>
      <c r="D172" s="135"/>
      <c r="E172" s="135"/>
      <c r="F172" s="135"/>
      <c r="G172" s="189"/>
      <c r="H172" s="135"/>
      <c r="I172" s="135"/>
      <c r="J172" s="189"/>
      <c r="K172" s="135"/>
      <c r="L172" s="135"/>
      <c r="M172" s="189"/>
      <c r="N172" s="135"/>
      <c r="O172" s="135"/>
      <c r="P172" s="135"/>
      <c r="Q172" s="135"/>
      <c r="R172" s="135"/>
      <c r="S172" s="135"/>
    </row>
    <row r="173" customFormat="false" ht="15.75" hidden="false" customHeight="true" outlineLevel="0" collapsed="false">
      <c r="A173" s="135"/>
      <c r="B173" s="135"/>
      <c r="C173" s="135"/>
      <c r="D173" s="135"/>
      <c r="E173" s="135"/>
      <c r="F173" s="135"/>
      <c r="G173" s="189"/>
      <c r="H173" s="135"/>
      <c r="I173" s="135"/>
      <c r="J173" s="189"/>
      <c r="K173" s="135"/>
      <c r="L173" s="135"/>
      <c r="M173" s="189"/>
      <c r="N173" s="135"/>
      <c r="O173" s="135"/>
      <c r="P173" s="135"/>
      <c r="Q173" s="135"/>
      <c r="R173" s="135"/>
      <c r="S173" s="135"/>
    </row>
    <row r="174" customFormat="false" ht="15.75" hidden="false" customHeight="true" outlineLevel="0" collapsed="false">
      <c r="A174" s="135"/>
      <c r="B174" s="135"/>
      <c r="C174" s="135"/>
      <c r="D174" s="135"/>
      <c r="E174" s="135"/>
      <c r="F174" s="135"/>
      <c r="G174" s="189"/>
      <c r="H174" s="135"/>
      <c r="I174" s="135"/>
      <c r="J174" s="189"/>
      <c r="K174" s="135"/>
      <c r="L174" s="135"/>
      <c r="M174" s="189"/>
      <c r="N174" s="135"/>
      <c r="O174" s="135"/>
      <c r="P174" s="135"/>
      <c r="Q174" s="135"/>
      <c r="R174" s="135"/>
      <c r="S174" s="135"/>
    </row>
    <row r="175" customFormat="false" ht="15.75" hidden="false" customHeight="true" outlineLevel="0" collapsed="false">
      <c r="A175" s="135"/>
      <c r="B175" s="135"/>
      <c r="C175" s="135"/>
      <c r="D175" s="135"/>
      <c r="E175" s="135"/>
      <c r="F175" s="135"/>
      <c r="G175" s="189"/>
      <c r="H175" s="135"/>
      <c r="I175" s="135"/>
      <c r="J175" s="189"/>
      <c r="K175" s="135"/>
      <c r="L175" s="135"/>
      <c r="M175" s="189"/>
      <c r="N175" s="135"/>
      <c r="O175" s="135"/>
      <c r="P175" s="135"/>
      <c r="Q175" s="135"/>
      <c r="R175" s="135"/>
      <c r="S175" s="135"/>
    </row>
    <row r="176" customFormat="false" ht="15.75" hidden="false" customHeight="true" outlineLevel="0" collapsed="false">
      <c r="A176" s="135"/>
      <c r="B176" s="135"/>
      <c r="C176" s="135"/>
      <c r="D176" s="135"/>
      <c r="E176" s="135"/>
      <c r="F176" s="135"/>
      <c r="G176" s="189"/>
      <c r="H176" s="135"/>
      <c r="I176" s="135"/>
      <c r="J176" s="189"/>
      <c r="K176" s="135"/>
      <c r="L176" s="135"/>
      <c r="M176" s="189"/>
      <c r="N176" s="135"/>
      <c r="O176" s="135"/>
      <c r="P176" s="135"/>
      <c r="Q176" s="135"/>
      <c r="R176" s="135"/>
      <c r="S176" s="135"/>
    </row>
    <row r="177" customFormat="false" ht="15.75" hidden="false" customHeight="true" outlineLevel="0" collapsed="false">
      <c r="A177" s="135"/>
      <c r="B177" s="135"/>
      <c r="C177" s="135"/>
      <c r="D177" s="135"/>
      <c r="E177" s="135"/>
      <c r="F177" s="135"/>
      <c r="G177" s="189"/>
      <c r="H177" s="135"/>
      <c r="I177" s="135"/>
      <c r="J177" s="189"/>
      <c r="K177" s="135"/>
      <c r="L177" s="135"/>
      <c r="M177" s="189"/>
      <c r="N177" s="135"/>
      <c r="O177" s="135"/>
      <c r="P177" s="135"/>
      <c r="Q177" s="135"/>
      <c r="R177" s="135"/>
      <c r="S177" s="135"/>
    </row>
    <row r="178" customFormat="false" ht="15.75" hidden="false" customHeight="true" outlineLevel="0" collapsed="false">
      <c r="A178" s="135"/>
      <c r="B178" s="135"/>
      <c r="C178" s="135"/>
      <c r="D178" s="135"/>
      <c r="E178" s="135"/>
      <c r="F178" s="135"/>
      <c r="G178" s="189"/>
      <c r="H178" s="135"/>
      <c r="I178" s="135"/>
      <c r="J178" s="189"/>
      <c r="K178" s="135"/>
      <c r="L178" s="135"/>
      <c r="M178" s="189"/>
      <c r="N178" s="135"/>
      <c r="O178" s="135"/>
      <c r="P178" s="135"/>
      <c r="Q178" s="135"/>
      <c r="R178" s="135"/>
      <c r="S178" s="135"/>
    </row>
    <row r="179" customFormat="false" ht="15.75" hidden="false" customHeight="true" outlineLevel="0" collapsed="false">
      <c r="A179" s="135"/>
      <c r="B179" s="135"/>
      <c r="C179" s="135"/>
      <c r="D179" s="135"/>
      <c r="E179" s="135"/>
      <c r="F179" s="135"/>
      <c r="G179" s="189"/>
      <c r="H179" s="135"/>
      <c r="I179" s="135"/>
      <c r="J179" s="189"/>
      <c r="K179" s="135"/>
      <c r="L179" s="135"/>
      <c r="M179" s="189"/>
      <c r="N179" s="135"/>
      <c r="O179" s="135"/>
      <c r="P179" s="135"/>
      <c r="Q179" s="135"/>
      <c r="R179" s="135"/>
      <c r="S179" s="135"/>
    </row>
    <row r="180" customFormat="false" ht="15.75" hidden="false" customHeight="true" outlineLevel="0" collapsed="false">
      <c r="A180" s="135"/>
      <c r="B180" s="135"/>
      <c r="C180" s="135"/>
      <c r="D180" s="135"/>
      <c r="E180" s="135"/>
      <c r="F180" s="135"/>
      <c r="G180" s="189"/>
      <c r="H180" s="135"/>
      <c r="I180" s="135"/>
      <c r="J180" s="189"/>
      <c r="K180" s="135"/>
      <c r="L180" s="135"/>
      <c r="M180" s="189"/>
      <c r="N180" s="135"/>
      <c r="O180" s="135"/>
      <c r="P180" s="135"/>
      <c r="Q180" s="135"/>
      <c r="R180" s="135"/>
      <c r="S180" s="135"/>
    </row>
    <row r="181" customFormat="false" ht="15.75" hidden="false" customHeight="true" outlineLevel="0" collapsed="false">
      <c r="A181" s="135"/>
      <c r="B181" s="135"/>
      <c r="C181" s="135"/>
      <c r="D181" s="135"/>
      <c r="E181" s="135"/>
      <c r="F181" s="135"/>
      <c r="G181" s="189"/>
      <c r="H181" s="135"/>
      <c r="I181" s="135"/>
      <c r="J181" s="189"/>
      <c r="K181" s="135"/>
      <c r="L181" s="135"/>
      <c r="M181" s="189"/>
      <c r="N181" s="135"/>
      <c r="O181" s="135"/>
      <c r="P181" s="135"/>
      <c r="Q181" s="135"/>
      <c r="R181" s="135"/>
      <c r="S181" s="135"/>
    </row>
    <row r="182" customFormat="false" ht="15.75" hidden="false" customHeight="true" outlineLevel="0" collapsed="false">
      <c r="A182" s="135"/>
      <c r="B182" s="135"/>
      <c r="C182" s="135"/>
      <c r="D182" s="135"/>
      <c r="E182" s="135"/>
      <c r="F182" s="135"/>
      <c r="G182" s="189"/>
      <c r="H182" s="135"/>
      <c r="I182" s="135"/>
      <c r="J182" s="189"/>
      <c r="K182" s="135"/>
      <c r="L182" s="135"/>
      <c r="M182" s="189"/>
      <c r="N182" s="135"/>
      <c r="O182" s="135"/>
      <c r="P182" s="135"/>
      <c r="Q182" s="135"/>
      <c r="R182" s="135"/>
      <c r="S182" s="135"/>
    </row>
    <row r="183" customFormat="false" ht="15.75" hidden="false" customHeight="true" outlineLevel="0" collapsed="false">
      <c r="A183" s="135"/>
      <c r="B183" s="135"/>
      <c r="C183" s="135"/>
      <c r="D183" s="135"/>
      <c r="E183" s="135"/>
      <c r="F183" s="135"/>
      <c r="G183" s="189"/>
      <c r="H183" s="135"/>
      <c r="I183" s="135"/>
      <c r="J183" s="189"/>
      <c r="K183" s="135"/>
      <c r="L183" s="135"/>
      <c r="M183" s="189"/>
      <c r="N183" s="135"/>
      <c r="O183" s="135"/>
      <c r="P183" s="135"/>
      <c r="Q183" s="135"/>
      <c r="R183" s="135"/>
      <c r="S183" s="135"/>
    </row>
    <row r="184" customFormat="false" ht="15.75" hidden="false" customHeight="true" outlineLevel="0" collapsed="false">
      <c r="A184" s="135"/>
      <c r="B184" s="135"/>
      <c r="C184" s="135"/>
      <c r="D184" s="135"/>
      <c r="E184" s="135"/>
      <c r="F184" s="135"/>
      <c r="G184" s="189"/>
      <c r="H184" s="135"/>
      <c r="I184" s="135"/>
      <c r="J184" s="189"/>
      <c r="K184" s="135"/>
      <c r="L184" s="135"/>
      <c r="M184" s="189"/>
      <c r="N184" s="135"/>
      <c r="O184" s="135"/>
      <c r="P184" s="135"/>
      <c r="Q184" s="135"/>
      <c r="R184" s="135"/>
      <c r="S184" s="135"/>
    </row>
    <row r="185" customFormat="false" ht="15.75" hidden="false" customHeight="true" outlineLevel="0" collapsed="false">
      <c r="A185" s="135"/>
      <c r="B185" s="135"/>
      <c r="C185" s="135"/>
      <c r="D185" s="135"/>
      <c r="E185" s="135"/>
      <c r="F185" s="135"/>
      <c r="G185" s="189"/>
      <c r="H185" s="135"/>
      <c r="I185" s="135"/>
      <c r="J185" s="189"/>
      <c r="K185" s="135"/>
      <c r="L185" s="135"/>
      <c r="M185" s="189"/>
      <c r="N185" s="135"/>
      <c r="O185" s="135"/>
      <c r="P185" s="135"/>
      <c r="Q185" s="135"/>
      <c r="R185" s="135"/>
      <c r="S185" s="135"/>
    </row>
    <row r="186" customFormat="false" ht="15.75" hidden="false" customHeight="true" outlineLevel="0" collapsed="false">
      <c r="A186" s="135"/>
      <c r="B186" s="135"/>
      <c r="C186" s="135"/>
      <c r="D186" s="135"/>
      <c r="E186" s="135"/>
      <c r="F186" s="135"/>
      <c r="G186" s="189"/>
      <c r="H186" s="135"/>
      <c r="I186" s="135"/>
      <c r="J186" s="189"/>
      <c r="K186" s="135"/>
      <c r="L186" s="135"/>
      <c r="M186" s="189"/>
      <c r="N186" s="135"/>
      <c r="O186" s="135"/>
      <c r="P186" s="135"/>
      <c r="Q186" s="135"/>
      <c r="R186" s="135"/>
      <c r="S186" s="135"/>
    </row>
    <row r="187" customFormat="false" ht="15.75" hidden="false" customHeight="true" outlineLevel="0" collapsed="false">
      <c r="A187" s="135"/>
      <c r="B187" s="135"/>
      <c r="C187" s="135"/>
      <c r="D187" s="135"/>
      <c r="E187" s="135"/>
      <c r="F187" s="135"/>
      <c r="G187" s="189"/>
      <c r="H187" s="135"/>
      <c r="I187" s="135"/>
      <c r="J187" s="189"/>
      <c r="K187" s="135"/>
      <c r="L187" s="135"/>
      <c r="M187" s="189"/>
      <c r="N187" s="135"/>
      <c r="O187" s="135"/>
      <c r="P187" s="135"/>
      <c r="Q187" s="135"/>
      <c r="R187" s="135"/>
      <c r="S187" s="135"/>
    </row>
    <row r="188" customFormat="false" ht="15.75" hidden="false" customHeight="true" outlineLevel="0" collapsed="false">
      <c r="A188" s="135"/>
      <c r="B188" s="135"/>
      <c r="C188" s="135"/>
      <c r="D188" s="135"/>
      <c r="E188" s="135"/>
      <c r="F188" s="135"/>
      <c r="G188" s="189"/>
      <c r="H188" s="135"/>
      <c r="I188" s="135"/>
      <c r="J188" s="189"/>
      <c r="K188" s="135"/>
      <c r="L188" s="135"/>
      <c r="M188" s="189"/>
      <c r="N188" s="135"/>
      <c r="O188" s="135"/>
      <c r="P188" s="135"/>
      <c r="Q188" s="135"/>
      <c r="R188" s="135"/>
      <c r="S188" s="135"/>
    </row>
    <row r="189" customFormat="false" ht="15.75" hidden="false" customHeight="true" outlineLevel="0" collapsed="false">
      <c r="A189" s="135"/>
      <c r="B189" s="135"/>
      <c r="C189" s="135"/>
      <c r="D189" s="135"/>
      <c r="E189" s="135"/>
      <c r="F189" s="135"/>
      <c r="G189" s="189"/>
      <c r="H189" s="135"/>
      <c r="I189" s="135"/>
      <c r="J189" s="189"/>
      <c r="K189" s="135"/>
      <c r="L189" s="135"/>
      <c r="M189" s="189"/>
      <c r="N189" s="135"/>
      <c r="O189" s="135"/>
      <c r="P189" s="135"/>
      <c r="Q189" s="135"/>
      <c r="R189" s="135"/>
      <c r="S189" s="135"/>
    </row>
    <row r="190" customFormat="false" ht="15.75" hidden="false" customHeight="true" outlineLevel="0" collapsed="false">
      <c r="A190" s="135"/>
      <c r="B190" s="135"/>
      <c r="C190" s="135"/>
      <c r="D190" s="135"/>
      <c r="E190" s="135"/>
      <c r="F190" s="135"/>
      <c r="G190" s="189"/>
      <c r="H190" s="135"/>
      <c r="I190" s="135"/>
      <c r="J190" s="189"/>
      <c r="K190" s="135"/>
      <c r="L190" s="135"/>
      <c r="M190" s="189"/>
      <c r="N190" s="135"/>
      <c r="O190" s="135"/>
      <c r="P190" s="135"/>
      <c r="Q190" s="135"/>
      <c r="R190" s="135"/>
      <c r="S190" s="135"/>
    </row>
    <row r="191" customFormat="false" ht="15.75" hidden="false" customHeight="true" outlineLevel="0" collapsed="false">
      <c r="A191" s="135"/>
      <c r="B191" s="135"/>
      <c r="C191" s="135"/>
      <c r="D191" s="135"/>
      <c r="E191" s="135"/>
      <c r="F191" s="135"/>
      <c r="G191" s="189"/>
      <c r="H191" s="135"/>
      <c r="I191" s="135"/>
      <c r="J191" s="189"/>
      <c r="K191" s="135"/>
      <c r="L191" s="135"/>
      <c r="M191" s="189"/>
      <c r="N191" s="135"/>
      <c r="O191" s="135"/>
      <c r="P191" s="135"/>
      <c r="Q191" s="135"/>
      <c r="R191" s="135"/>
      <c r="S191" s="135"/>
    </row>
    <row r="192" customFormat="false" ht="15.75" hidden="false" customHeight="true" outlineLevel="0" collapsed="false">
      <c r="A192" s="135"/>
      <c r="B192" s="135"/>
      <c r="C192" s="135"/>
      <c r="D192" s="135"/>
      <c r="E192" s="135"/>
      <c r="F192" s="135"/>
      <c r="G192" s="189"/>
      <c r="H192" s="135"/>
      <c r="I192" s="135"/>
      <c r="J192" s="189"/>
      <c r="K192" s="135"/>
      <c r="L192" s="135"/>
      <c r="M192" s="189"/>
      <c r="N192" s="135"/>
      <c r="O192" s="135"/>
      <c r="P192" s="135"/>
      <c r="Q192" s="135"/>
      <c r="R192" s="135"/>
      <c r="S192" s="135"/>
    </row>
    <row r="193" customFormat="false" ht="15.75" hidden="false" customHeight="true" outlineLevel="0" collapsed="false">
      <c r="A193" s="135"/>
      <c r="B193" s="135"/>
      <c r="C193" s="135"/>
      <c r="D193" s="135"/>
      <c r="E193" s="135"/>
      <c r="F193" s="135"/>
      <c r="G193" s="189"/>
      <c r="H193" s="135"/>
      <c r="I193" s="135"/>
      <c r="J193" s="189"/>
      <c r="K193" s="135"/>
      <c r="L193" s="135"/>
      <c r="M193" s="189"/>
      <c r="N193" s="135"/>
      <c r="O193" s="135"/>
      <c r="P193" s="135"/>
      <c r="Q193" s="135"/>
      <c r="R193" s="135"/>
      <c r="S193" s="135"/>
    </row>
    <row r="194" customFormat="false" ht="15.75" hidden="false" customHeight="true" outlineLevel="0" collapsed="false">
      <c r="A194" s="135"/>
      <c r="B194" s="135"/>
      <c r="C194" s="135"/>
      <c r="D194" s="135"/>
      <c r="E194" s="135"/>
      <c r="F194" s="135"/>
      <c r="G194" s="189"/>
      <c r="H194" s="135"/>
      <c r="I194" s="135"/>
      <c r="J194" s="189"/>
      <c r="K194" s="135"/>
      <c r="L194" s="135"/>
      <c r="M194" s="189"/>
      <c r="N194" s="135"/>
      <c r="O194" s="135"/>
      <c r="P194" s="135"/>
      <c r="Q194" s="135"/>
      <c r="R194" s="135"/>
      <c r="S194" s="135"/>
    </row>
    <row r="195" customFormat="false" ht="15.75" hidden="false" customHeight="true" outlineLevel="0" collapsed="false">
      <c r="A195" s="135"/>
      <c r="B195" s="135"/>
      <c r="C195" s="135"/>
      <c r="D195" s="135"/>
      <c r="E195" s="135"/>
      <c r="F195" s="135"/>
      <c r="G195" s="189"/>
      <c r="H195" s="135"/>
      <c r="I195" s="135"/>
      <c r="J195" s="189"/>
      <c r="K195" s="135"/>
      <c r="L195" s="135"/>
      <c r="M195" s="189"/>
      <c r="N195" s="135"/>
      <c r="O195" s="135"/>
      <c r="P195" s="135"/>
      <c r="Q195" s="135"/>
      <c r="R195" s="135"/>
      <c r="S195" s="135"/>
    </row>
    <row r="196" customFormat="false" ht="15.75" hidden="false" customHeight="true" outlineLevel="0" collapsed="false">
      <c r="A196" s="135"/>
      <c r="B196" s="135"/>
      <c r="C196" s="135"/>
      <c r="D196" s="135"/>
      <c r="E196" s="135"/>
      <c r="F196" s="135"/>
      <c r="G196" s="189"/>
      <c r="H196" s="135"/>
      <c r="I196" s="135"/>
      <c r="J196" s="189"/>
      <c r="K196" s="135"/>
      <c r="L196" s="135"/>
      <c r="M196" s="189"/>
      <c r="N196" s="135"/>
      <c r="O196" s="135"/>
      <c r="P196" s="135"/>
      <c r="Q196" s="135"/>
      <c r="R196" s="135"/>
      <c r="S196" s="135"/>
    </row>
    <row r="197" customFormat="false" ht="15.75" hidden="false" customHeight="true" outlineLevel="0" collapsed="false">
      <c r="A197" s="135"/>
      <c r="B197" s="135"/>
      <c r="C197" s="135"/>
      <c r="D197" s="135"/>
      <c r="E197" s="135"/>
      <c r="F197" s="135"/>
      <c r="G197" s="189"/>
      <c r="H197" s="135"/>
      <c r="I197" s="135"/>
      <c r="J197" s="189"/>
      <c r="K197" s="135"/>
      <c r="L197" s="135"/>
      <c r="M197" s="189"/>
      <c r="N197" s="135"/>
      <c r="O197" s="135"/>
      <c r="P197" s="135"/>
      <c r="Q197" s="135"/>
      <c r="R197" s="135"/>
      <c r="S197" s="135"/>
    </row>
    <row r="198" customFormat="false" ht="15.75" hidden="false" customHeight="true" outlineLevel="0" collapsed="false">
      <c r="A198" s="135"/>
      <c r="B198" s="135"/>
      <c r="C198" s="135"/>
      <c r="D198" s="135"/>
      <c r="E198" s="135"/>
      <c r="F198" s="135"/>
      <c r="G198" s="189"/>
      <c r="H198" s="135"/>
      <c r="I198" s="135"/>
      <c r="J198" s="189"/>
      <c r="K198" s="135"/>
      <c r="L198" s="135"/>
      <c r="M198" s="189"/>
      <c r="N198" s="135"/>
      <c r="O198" s="135"/>
      <c r="P198" s="135"/>
      <c r="Q198" s="135"/>
      <c r="R198" s="135"/>
      <c r="S198" s="135"/>
    </row>
    <row r="199" customFormat="false" ht="15.75" hidden="false" customHeight="true" outlineLevel="0" collapsed="false">
      <c r="A199" s="135"/>
      <c r="B199" s="135"/>
      <c r="C199" s="135"/>
      <c r="D199" s="135"/>
      <c r="E199" s="135"/>
      <c r="F199" s="135"/>
      <c r="G199" s="189"/>
      <c r="H199" s="135"/>
      <c r="I199" s="135"/>
      <c r="J199" s="189"/>
      <c r="K199" s="135"/>
      <c r="L199" s="135"/>
      <c r="M199" s="189"/>
      <c r="N199" s="135"/>
      <c r="O199" s="135"/>
      <c r="P199" s="135"/>
      <c r="Q199" s="135"/>
      <c r="R199" s="135"/>
      <c r="S199" s="135"/>
    </row>
    <row r="200" customFormat="false" ht="15.75" hidden="false" customHeight="true" outlineLevel="0" collapsed="false">
      <c r="A200" s="135"/>
      <c r="B200" s="135"/>
      <c r="C200" s="135"/>
      <c r="D200" s="135"/>
      <c r="E200" s="135"/>
      <c r="F200" s="135"/>
      <c r="G200" s="189"/>
      <c r="H200" s="135"/>
      <c r="I200" s="135"/>
      <c r="J200" s="189"/>
      <c r="K200" s="135"/>
      <c r="L200" s="135"/>
      <c r="M200" s="189"/>
      <c r="N200" s="135"/>
      <c r="O200" s="135"/>
      <c r="P200" s="135"/>
      <c r="Q200" s="135"/>
      <c r="R200" s="135"/>
      <c r="S200" s="135"/>
    </row>
    <row r="201" customFormat="false" ht="15.75" hidden="false" customHeight="true" outlineLevel="0" collapsed="false">
      <c r="A201" s="135"/>
      <c r="B201" s="135"/>
      <c r="C201" s="135"/>
      <c r="D201" s="135"/>
      <c r="E201" s="135"/>
      <c r="F201" s="135"/>
      <c r="G201" s="189"/>
      <c r="H201" s="135"/>
      <c r="I201" s="135"/>
      <c r="J201" s="189"/>
      <c r="K201" s="135"/>
      <c r="L201" s="135"/>
      <c r="M201" s="189"/>
      <c r="N201" s="135"/>
      <c r="O201" s="135"/>
      <c r="P201" s="135"/>
      <c r="Q201" s="135"/>
      <c r="R201" s="135"/>
      <c r="S201" s="135"/>
    </row>
    <row r="202" customFormat="false" ht="15.75" hidden="false" customHeight="true" outlineLevel="0" collapsed="false">
      <c r="A202" s="135"/>
      <c r="B202" s="135"/>
      <c r="C202" s="135"/>
      <c r="D202" s="135"/>
      <c r="E202" s="135"/>
      <c r="F202" s="135"/>
      <c r="G202" s="189"/>
      <c r="H202" s="135"/>
      <c r="I202" s="135"/>
      <c r="J202" s="189"/>
      <c r="K202" s="135"/>
      <c r="L202" s="135"/>
      <c r="M202" s="189"/>
      <c r="N202" s="135"/>
      <c r="O202" s="135"/>
      <c r="P202" s="135"/>
      <c r="Q202" s="135"/>
      <c r="R202" s="135"/>
      <c r="S202" s="135"/>
    </row>
    <row r="203" customFormat="false" ht="15.75" hidden="false" customHeight="true" outlineLevel="0" collapsed="false">
      <c r="A203" s="135"/>
      <c r="B203" s="135"/>
      <c r="C203" s="135"/>
      <c r="D203" s="135"/>
      <c r="E203" s="135"/>
      <c r="F203" s="135"/>
      <c r="G203" s="189"/>
      <c r="H203" s="135"/>
      <c r="I203" s="135"/>
      <c r="J203" s="189"/>
      <c r="K203" s="135"/>
      <c r="L203" s="135"/>
      <c r="M203" s="189"/>
      <c r="N203" s="135"/>
      <c r="O203" s="135"/>
      <c r="P203" s="135"/>
      <c r="Q203" s="135"/>
      <c r="R203" s="135"/>
      <c r="S203" s="135"/>
    </row>
    <row r="204" customFormat="false" ht="15.75" hidden="false" customHeight="true" outlineLevel="0" collapsed="false">
      <c r="A204" s="135"/>
      <c r="B204" s="135"/>
      <c r="C204" s="135"/>
      <c r="D204" s="135"/>
      <c r="E204" s="135"/>
      <c r="F204" s="135"/>
      <c r="G204" s="189"/>
      <c r="H204" s="135"/>
      <c r="I204" s="135"/>
      <c r="J204" s="189"/>
      <c r="K204" s="135"/>
      <c r="L204" s="135"/>
      <c r="M204" s="189"/>
      <c r="N204" s="135"/>
      <c r="O204" s="135"/>
      <c r="P204" s="135"/>
      <c r="Q204" s="135"/>
      <c r="R204" s="135"/>
      <c r="S204" s="135"/>
    </row>
    <row r="205" customFormat="false" ht="15.75" hidden="false" customHeight="true" outlineLevel="0" collapsed="false">
      <c r="A205" s="135"/>
      <c r="B205" s="135"/>
      <c r="C205" s="135"/>
      <c r="D205" s="135"/>
      <c r="E205" s="135"/>
      <c r="F205" s="135"/>
      <c r="G205" s="189"/>
      <c r="H205" s="135"/>
      <c r="I205" s="135"/>
      <c r="J205" s="189"/>
      <c r="K205" s="135"/>
      <c r="L205" s="135"/>
      <c r="M205" s="189"/>
      <c r="N205" s="135"/>
      <c r="O205" s="135"/>
      <c r="P205" s="135"/>
      <c r="Q205" s="135"/>
      <c r="R205" s="135"/>
      <c r="S205" s="135"/>
    </row>
    <row r="206" customFormat="false" ht="15.75" hidden="false" customHeight="true" outlineLevel="0" collapsed="false">
      <c r="A206" s="135"/>
      <c r="B206" s="135"/>
      <c r="C206" s="135"/>
      <c r="D206" s="135"/>
      <c r="E206" s="135"/>
      <c r="F206" s="135"/>
      <c r="G206" s="189"/>
      <c r="H206" s="135"/>
      <c r="I206" s="135"/>
      <c r="J206" s="189"/>
      <c r="K206" s="135"/>
      <c r="L206" s="135"/>
      <c r="M206" s="189"/>
      <c r="N206" s="135"/>
      <c r="O206" s="135"/>
      <c r="P206" s="135"/>
      <c r="Q206" s="135"/>
      <c r="R206" s="135"/>
      <c r="S206" s="135"/>
    </row>
    <row r="207" customFormat="false" ht="15.75" hidden="false" customHeight="true" outlineLevel="0" collapsed="false">
      <c r="A207" s="135"/>
      <c r="B207" s="135"/>
      <c r="C207" s="135"/>
      <c r="D207" s="135"/>
      <c r="E207" s="135"/>
      <c r="F207" s="135"/>
      <c r="G207" s="189"/>
      <c r="H207" s="135"/>
      <c r="I207" s="135"/>
      <c r="J207" s="189"/>
      <c r="K207" s="135"/>
      <c r="L207" s="135"/>
      <c r="M207" s="189"/>
      <c r="N207" s="135"/>
      <c r="O207" s="135"/>
      <c r="P207" s="135"/>
      <c r="Q207" s="135"/>
      <c r="R207" s="135"/>
      <c r="S207" s="135"/>
    </row>
    <row r="208" customFormat="false" ht="15.75" hidden="false" customHeight="true" outlineLevel="0" collapsed="false">
      <c r="A208" s="135"/>
      <c r="B208" s="135"/>
      <c r="C208" s="135"/>
      <c r="D208" s="135"/>
      <c r="E208" s="135"/>
      <c r="F208" s="135"/>
      <c r="G208" s="189"/>
      <c r="H208" s="135"/>
      <c r="I208" s="135"/>
      <c r="J208" s="189"/>
      <c r="K208" s="135"/>
      <c r="L208" s="135"/>
      <c r="M208" s="189"/>
      <c r="N208" s="135"/>
      <c r="O208" s="135"/>
      <c r="P208" s="135"/>
      <c r="Q208" s="135"/>
      <c r="R208" s="135"/>
      <c r="S208" s="135"/>
    </row>
    <row r="209" customFormat="false" ht="15.75" hidden="false" customHeight="true" outlineLevel="0" collapsed="false">
      <c r="A209" s="135"/>
      <c r="B209" s="135"/>
      <c r="C209" s="135"/>
      <c r="D209" s="135"/>
      <c r="E209" s="135"/>
      <c r="F209" s="135"/>
      <c r="G209" s="189"/>
      <c r="H209" s="135"/>
      <c r="I209" s="135"/>
      <c r="J209" s="189"/>
      <c r="K209" s="135"/>
      <c r="L209" s="135"/>
      <c r="M209" s="189"/>
      <c r="N209" s="135"/>
      <c r="O209" s="135"/>
      <c r="P209" s="135"/>
      <c r="Q209" s="135"/>
      <c r="R209" s="135"/>
      <c r="S209" s="135"/>
    </row>
    <row r="210" customFormat="false" ht="15.75" hidden="false" customHeight="true" outlineLevel="0" collapsed="false">
      <c r="A210" s="135"/>
      <c r="B210" s="135"/>
      <c r="C210" s="135"/>
      <c r="D210" s="135"/>
      <c r="E210" s="135"/>
      <c r="F210" s="135"/>
      <c r="G210" s="189"/>
      <c r="H210" s="135"/>
      <c r="I210" s="135"/>
      <c r="J210" s="189"/>
      <c r="K210" s="135"/>
      <c r="L210" s="135"/>
      <c r="M210" s="189"/>
      <c r="N210" s="135"/>
      <c r="O210" s="135"/>
      <c r="P210" s="135"/>
      <c r="Q210" s="135"/>
      <c r="R210" s="135"/>
      <c r="S210" s="135"/>
    </row>
    <row r="211" customFormat="false" ht="15.75" hidden="false" customHeight="true" outlineLevel="0" collapsed="false">
      <c r="A211" s="135"/>
      <c r="B211" s="135"/>
      <c r="C211" s="135"/>
      <c r="D211" s="135"/>
      <c r="E211" s="135"/>
      <c r="F211" s="135"/>
      <c r="G211" s="189"/>
      <c r="H211" s="135"/>
      <c r="I211" s="135"/>
      <c r="J211" s="189"/>
      <c r="K211" s="135"/>
      <c r="L211" s="135"/>
      <c r="M211" s="189"/>
      <c r="N211" s="135"/>
      <c r="O211" s="135"/>
      <c r="P211" s="135"/>
      <c r="Q211" s="135"/>
      <c r="R211" s="135"/>
      <c r="S211" s="135"/>
    </row>
    <row r="212" customFormat="false" ht="15.75" hidden="false" customHeight="true" outlineLevel="0" collapsed="false">
      <c r="A212" s="135"/>
      <c r="B212" s="135"/>
      <c r="C212" s="135"/>
      <c r="D212" s="135"/>
      <c r="E212" s="135"/>
      <c r="F212" s="135"/>
      <c r="G212" s="189"/>
      <c r="H212" s="135"/>
      <c r="I212" s="135"/>
      <c r="J212" s="189"/>
      <c r="K212" s="135"/>
      <c r="L212" s="135"/>
      <c r="M212" s="189"/>
      <c r="N212" s="135"/>
      <c r="O212" s="135"/>
      <c r="P212" s="135"/>
      <c r="Q212" s="135"/>
      <c r="R212" s="135"/>
      <c r="S212" s="135"/>
    </row>
    <row r="213" customFormat="false" ht="15.75" hidden="false" customHeight="true" outlineLevel="0" collapsed="false">
      <c r="A213" s="135"/>
      <c r="B213" s="135"/>
      <c r="C213" s="135"/>
      <c r="D213" s="135"/>
      <c r="E213" s="135"/>
      <c r="F213" s="135"/>
      <c r="G213" s="189"/>
      <c r="H213" s="135"/>
      <c r="I213" s="135"/>
      <c r="J213" s="189"/>
      <c r="K213" s="135"/>
      <c r="L213" s="135"/>
      <c r="M213" s="189"/>
      <c r="N213" s="135"/>
      <c r="O213" s="135"/>
      <c r="P213" s="135"/>
      <c r="Q213" s="135"/>
      <c r="R213" s="135"/>
      <c r="S213" s="135"/>
    </row>
    <row r="214" customFormat="false" ht="15.75" hidden="false" customHeight="true" outlineLevel="0" collapsed="false">
      <c r="A214" s="135"/>
      <c r="B214" s="135"/>
      <c r="C214" s="135"/>
      <c r="D214" s="135"/>
      <c r="E214" s="135"/>
      <c r="F214" s="135"/>
      <c r="G214" s="189"/>
      <c r="H214" s="135"/>
      <c r="I214" s="135"/>
      <c r="J214" s="189"/>
      <c r="K214" s="135"/>
      <c r="L214" s="135"/>
      <c r="M214" s="189"/>
      <c r="N214" s="135"/>
      <c r="O214" s="135"/>
      <c r="P214" s="135"/>
      <c r="Q214" s="135"/>
      <c r="R214" s="135"/>
      <c r="S214" s="135"/>
    </row>
    <row r="215" customFormat="false" ht="15.75" hidden="false" customHeight="true" outlineLevel="0" collapsed="false">
      <c r="A215" s="135"/>
      <c r="B215" s="135"/>
      <c r="C215" s="135"/>
      <c r="D215" s="135"/>
      <c r="E215" s="135"/>
      <c r="F215" s="135"/>
      <c r="G215" s="189"/>
      <c r="H215" s="135"/>
      <c r="I215" s="135"/>
      <c r="J215" s="189"/>
      <c r="K215" s="135"/>
      <c r="L215" s="135"/>
      <c r="M215" s="189"/>
      <c r="N215" s="135"/>
      <c r="O215" s="135"/>
      <c r="P215" s="135"/>
      <c r="Q215" s="135"/>
      <c r="R215" s="135"/>
      <c r="S215" s="135"/>
    </row>
    <row r="216" customFormat="false" ht="15.75" hidden="false" customHeight="true" outlineLevel="0" collapsed="false">
      <c r="A216" s="135"/>
      <c r="B216" s="135"/>
      <c r="C216" s="135"/>
      <c r="D216" s="135"/>
      <c r="E216" s="135"/>
      <c r="F216" s="135"/>
      <c r="G216" s="189"/>
      <c r="H216" s="135"/>
      <c r="I216" s="135"/>
      <c r="J216" s="189"/>
      <c r="K216" s="135"/>
      <c r="L216" s="135"/>
      <c r="M216" s="189"/>
      <c r="N216" s="135"/>
      <c r="O216" s="135"/>
      <c r="P216" s="135"/>
      <c r="Q216" s="135"/>
      <c r="R216" s="135"/>
      <c r="S216" s="135"/>
    </row>
    <row r="217" customFormat="false" ht="15.75" hidden="false" customHeight="true" outlineLevel="0" collapsed="false">
      <c r="A217" s="135"/>
      <c r="B217" s="135"/>
      <c r="C217" s="135"/>
      <c r="D217" s="135"/>
      <c r="E217" s="135"/>
      <c r="F217" s="135"/>
      <c r="G217" s="189"/>
      <c r="H217" s="135"/>
      <c r="I217" s="135"/>
      <c r="J217" s="189"/>
      <c r="K217" s="135"/>
      <c r="L217" s="135"/>
      <c r="M217" s="189"/>
      <c r="N217" s="135"/>
      <c r="O217" s="135"/>
      <c r="P217" s="135"/>
      <c r="Q217" s="135"/>
      <c r="R217" s="135"/>
      <c r="S217" s="135"/>
    </row>
    <row r="218" customFormat="false" ht="15.75" hidden="false" customHeight="true" outlineLevel="0" collapsed="false">
      <c r="A218" s="135"/>
      <c r="B218" s="135"/>
      <c r="C218" s="135"/>
      <c r="D218" s="135"/>
      <c r="E218" s="135"/>
      <c r="F218" s="135"/>
      <c r="G218" s="189"/>
      <c r="H218" s="135"/>
      <c r="I218" s="135"/>
      <c r="J218" s="189"/>
      <c r="K218" s="135"/>
      <c r="L218" s="135"/>
      <c r="M218" s="189"/>
      <c r="N218" s="135"/>
      <c r="O218" s="135"/>
      <c r="P218" s="135"/>
      <c r="Q218" s="135"/>
      <c r="R218" s="135"/>
      <c r="S218" s="135"/>
    </row>
    <row r="219" customFormat="false" ht="15.75" hidden="false" customHeight="true" outlineLevel="0" collapsed="false">
      <c r="A219" s="135"/>
      <c r="B219" s="135"/>
      <c r="C219" s="135"/>
      <c r="D219" s="135"/>
      <c r="E219" s="135"/>
      <c r="F219" s="135"/>
      <c r="G219" s="189"/>
      <c r="H219" s="135"/>
      <c r="I219" s="135"/>
      <c r="J219" s="189"/>
      <c r="K219" s="135"/>
      <c r="L219" s="135"/>
      <c r="M219" s="189"/>
      <c r="N219" s="135"/>
      <c r="O219" s="135"/>
      <c r="P219" s="135"/>
      <c r="Q219" s="135"/>
      <c r="R219" s="135"/>
      <c r="S219" s="135"/>
    </row>
    <row r="220" customFormat="false" ht="15.75" hidden="false" customHeight="true" outlineLevel="0" collapsed="false">
      <c r="A220" s="135"/>
      <c r="B220" s="135"/>
      <c r="C220" s="135"/>
      <c r="D220" s="135"/>
      <c r="E220" s="135"/>
      <c r="F220" s="135"/>
      <c r="G220" s="189"/>
      <c r="H220" s="135"/>
      <c r="I220" s="135"/>
      <c r="J220" s="189"/>
      <c r="K220" s="135"/>
      <c r="L220" s="135"/>
      <c r="M220" s="189"/>
      <c r="N220" s="135"/>
      <c r="O220" s="135"/>
      <c r="P220" s="135"/>
      <c r="Q220" s="135"/>
      <c r="R220" s="135"/>
      <c r="S220" s="135"/>
    </row>
    <row r="221" customFormat="false" ht="15.75" hidden="false" customHeight="true" outlineLevel="0" collapsed="false">
      <c r="A221" s="135"/>
      <c r="B221" s="135"/>
      <c r="C221" s="135"/>
      <c r="D221" s="135"/>
      <c r="E221" s="135"/>
      <c r="F221" s="135"/>
      <c r="G221" s="189"/>
      <c r="H221" s="135"/>
      <c r="I221" s="135"/>
      <c r="J221" s="189"/>
      <c r="K221" s="135"/>
      <c r="L221" s="135"/>
      <c r="M221" s="189"/>
      <c r="N221" s="135"/>
      <c r="O221" s="135"/>
      <c r="P221" s="135"/>
      <c r="Q221" s="135"/>
      <c r="R221" s="135"/>
      <c r="S221" s="135"/>
    </row>
    <row r="222" customFormat="false" ht="15.75" hidden="false" customHeight="true" outlineLevel="0" collapsed="false">
      <c r="A222" s="135"/>
      <c r="B222" s="135"/>
      <c r="C222" s="135"/>
      <c r="D222" s="135"/>
      <c r="E222" s="135"/>
      <c r="F222" s="135"/>
      <c r="G222" s="189"/>
      <c r="H222" s="135"/>
      <c r="I222" s="135"/>
      <c r="J222" s="189"/>
      <c r="K222" s="135"/>
      <c r="L222" s="135"/>
      <c r="M222" s="189"/>
      <c r="N222" s="135"/>
      <c r="O222" s="135"/>
      <c r="P222" s="135"/>
      <c r="Q222" s="135"/>
      <c r="R222" s="135"/>
      <c r="S222" s="135"/>
    </row>
    <row r="223" customFormat="false" ht="15.75" hidden="false" customHeight="true" outlineLevel="0" collapsed="false">
      <c r="A223" s="135"/>
      <c r="B223" s="135"/>
      <c r="C223" s="135"/>
      <c r="D223" s="135"/>
      <c r="E223" s="135"/>
      <c r="F223" s="135"/>
      <c r="G223" s="189"/>
      <c r="H223" s="135"/>
      <c r="I223" s="135"/>
      <c r="J223" s="189"/>
      <c r="K223" s="135"/>
      <c r="L223" s="135"/>
      <c r="M223" s="189"/>
      <c r="N223" s="135"/>
      <c r="O223" s="135"/>
      <c r="P223" s="135"/>
      <c r="Q223" s="135"/>
      <c r="R223" s="135"/>
      <c r="S223" s="135"/>
    </row>
    <row r="224" customFormat="false" ht="15.75" hidden="false" customHeight="true" outlineLevel="0" collapsed="false">
      <c r="A224" s="135"/>
      <c r="B224" s="135"/>
      <c r="C224" s="135"/>
      <c r="D224" s="135"/>
      <c r="E224" s="135"/>
      <c r="F224" s="135"/>
      <c r="G224" s="189"/>
      <c r="H224" s="135"/>
      <c r="I224" s="135"/>
      <c r="J224" s="189"/>
      <c r="K224" s="135"/>
      <c r="L224" s="135"/>
      <c r="M224" s="189"/>
      <c r="N224" s="135"/>
      <c r="O224" s="135"/>
      <c r="P224" s="135"/>
      <c r="Q224" s="135"/>
      <c r="R224" s="135"/>
      <c r="S224" s="135"/>
    </row>
    <row r="225" customFormat="false" ht="15.75" hidden="false" customHeight="true" outlineLevel="0" collapsed="false">
      <c r="A225" s="135"/>
      <c r="B225" s="135"/>
      <c r="C225" s="135"/>
      <c r="D225" s="135"/>
      <c r="E225" s="135"/>
      <c r="F225" s="135"/>
      <c r="G225" s="189"/>
      <c r="H225" s="135"/>
      <c r="I225" s="135"/>
      <c r="J225" s="189"/>
      <c r="K225" s="135"/>
      <c r="L225" s="135"/>
      <c r="M225" s="189"/>
      <c r="N225" s="135"/>
      <c r="O225" s="135"/>
      <c r="P225" s="135"/>
      <c r="Q225" s="135"/>
      <c r="R225" s="135"/>
      <c r="S225" s="135"/>
    </row>
    <row r="226" customFormat="false" ht="15.75" hidden="false" customHeight="true" outlineLevel="0" collapsed="false">
      <c r="A226" s="135"/>
      <c r="B226" s="135"/>
      <c r="C226" s="135"/>
      <c r="D226" s="135"/>
      <c r="E226" s="135"/>
      <c r="F226" s="135"/>
      <c r="G226" s="189"/>
      <c r="H226" s="135"/>
      <c r="I226" s="135"/>
      <c r="J226" s="189"/>
      <c r="K226" s="135"/>
      <c r="L226" s="135"/>
      <c r="M226" s="189"/>
      <c r="N226" s="135"/>
      <c r="O226" s="135"/>
      <c r="P226" s="135"/>
      <c r="Q226" s="135"/>
      <c r="R226" s="135"/>
      <c r="S226" s="135"/>
    </row>
    <row r="227" customFormat="false" ht="15.75" hidden="false" customHeight="true" outlineLevel="0" collapsed="false">
      <c r="A227" s="135"/>
      <c r="B227" s="135"/>
      <c r="C227" s="135"/>
      <c r="D227" s="135"/>
      <c r="E227" s="135"/>
      <c r="F227" s="135"/>
      <c r="G227" s="189"/>
      <c r="H227" s="135"/>
      <c r="I227" s="135"/>
      <c r="J227" s="189"/>
      <c r="K227" s="135"/>
      <c r="L227" s="135"/>
      <c r="M227" s="189"/>
      <c r="N227" s="135"/>
      <c r="O227" s="135"/>
      <c r="P227" s="135"/>
      <c r="Q227" s="135"/>
      <c r="R227" s="135"/>
      <c r="S227" s="135"/>
    </row>
    <row r="228" customFormat="false" ht="15.75" hidden="false" customHeight="true" outlineLevel="0" collapsed="false">
      <c r="A228" s="135"/>
      <c r="B228" s="135"/>
      <c r="C228" s="135"/>
      <c r="D228" s="135"/>
      <c r="E228" s="135"/>
      <c r="F228" s="135"/>
      <c r="G228" s="189"/>
      <c r="H228" s="135"/>
      <c r="I228" s="135"/>
      <c r="J228" s="189"/>
      <c r="K228" s="135"/>
      <c r="L228" s="135"/>
      <c r="M228" s="189"/>
      <c r="N228" s="135"/>
      <c r="O228" s="135"/>
      <c r="P228" s="135"/>
      <c r="Q228" s="135"/>
      <c r="R228" s="135"/>
      <c r="S228" s="135"/>
    </row>
    <row r="229" customFormat="false" ht="15.75" hidden="false" customHeight="true" outlineLevel="0" collapsed="false">
      <c r="A229" s="135"/>
      <c r="B229" s="135"/>
      <c r="C229" s="135"/>
      <c r="D229" s="135"/>
      <c r="E229" s="135"/>
      <c r="F229" s="135"/>
      <c r="G229" s="189"/>
      <c r="H229" s="135"/>
      <c r="I229" s="135"/>
      <c r="J229" s="189"/>
      <c r="K229" s="135"/>
      <c r="L229" s="135"/>
      <c r="M229" s="189"/>
      <c r="N229" s="135"/>
      <c r="O229" s="135"/>
      <c r="P229" s="135"/>
      <c r="Q229" s="135"/>
      <c r="R229" s="135"/>
      <c r="S229" s="135"/>
    </row>
    <row r="230" customFormat="false" ht="15.75" hidden="false" customHeight="true" outlineLevel="0" collapsed="false">
      <c r="A230" s="135"/>
      <c r="B230" s="135"/>
      <c r="C230" s="135"/>
      <c r="D230" s="135"/>
      <c r="E230" s="135"/>
      <c r="F230" s="135"/>
      <c r="G230" s="189"/>
      <c r="H230" s="135"/>
      <c r="I230" s="135"/>
      <c r="J230" s="189"/>
      <c r="K230" s="135"/>
      <c r="L230" s="135"/>
      <c r="M230" s="189"/>
      <c r="N230" s="135"/>
      <c r="O230" s="135"/>
      <c r="P230" s="135"/>
      <c r="Q230" s="135"/>
      <c r="R230" s="135"/>
      <c r="S230" s="135"/>
    </row>
    <row r="231" customFormat="false" ht="15.75" hidden="false" customHeight="true" outlineLevel="0" collapsed="false">
      <c r="A231" s="135"/>
      <c r="B231" s="135"/>
      <c r="C231" s="135"/>
      <c r="D231" s="135"/>
      <c r="E231" s="135"/>
      <c r="F231" s="135"/>
      <c r="G231" s="189"/>
      <c r="H231" s="135"/>
      <c r="I231" s="135"/>
      <c r="J231" s="189"/>
      <c r="K231" s="135"/>
      <c r="L231" s="135"/>
      <c r="M231" s="189"/>
      <c r="N231" s="135"/>
      <c r="O231" s="135"/>
      <c r="P231" s="135"/>
      <c r="Q231" s="135"/>
      <c r="R231" s="135"/>
      <c r="S231" s="135"/>
    </row>
    <row r="232" customFormat="false" ht="15.75" hidden="false" customHeight="true" outlineLevel="0" collapsed="false">
      <c r="A232" s="135"/>
      <c r="B232" s="135"/>
      <c r="C232" s="135"/>
      <c r="D232" s="135"/>
      <c r="E232" s="135"/>
      <c r="F232" s="135"/>
      <c r="G232" s="189"/>
      <c r="H232" s="135"/>
      <c r="I232" s="135"/>
      <c r="J232" s="189"/>
      <c r="K232" s="135"/>
      <c r="L232" s="135"/>
      <c r="M232" s="189"/>
      <c r="N232" s="135"/>
      <c r="O232" s="135"/>
      <c r="P232" s="135"/>
      <c r="Q232" s="135"/>
      <c r="R232" s="135"/>
      <c r="S232" s="135"/>
    </row>
    <row r="233" customFormat="false" ht="15.75" hidden="false" customHeight="true" outlineLevel="0" collapsed="false">
      <c r="A233" s="135"/>
      <c r="B233" s="135"/>
      <c r="C233" s="135"/>
      <c r="D233" s="135"/>
      <c r="E233" s="135"/>
      <c r="F233" s="135"/>
      <c r="G233" s="189"/>
      <c r="H233" s="135"/>
      <c r="I233" s="135"/>
      <c r="J233" s="189"/>
      <c r="K233" s="135"/>
      <c r="L233" s="135"/>
      <c r="M233" s="189"/>
      <c r="N233" s="135"/>
      <c r="O233" s="135"/>
      <c r="P233" s="135"/>
      <c r="Q233" s="135"/>
      <c r="R233" s="135"/>
      <c r="S233" s="135"/>
    </row>
    <row r="234" customFormat="false" ht="15.75" hidden="false" customHeight="true" outlineLevel="0" collapsed="false">
      <c r="A234" s="135"/>
      <c r="B234" s="135"/>
      <c r="C234" s="135"/>
      <c r="D234" s="135"/>
      <c r="E234" s="135"/>
      <c r="F234" s="135"/>
      <c r="G234" s="189"/>
      <c r="H234" s="135"/>
      <c r="I234" s="135"/>
      <c r="J234" s="189"/>
      <c r="K234" s="135"/>
      <c r="L234" s="135"/>
      <c r="M234" s="189"/>
      <c r="N234" s="135"/>
      <c r="O234" s="135"/>
      <c r="P234" s="135"/>
      <c r="Q234" s="135"/>
      <c r="R234" s="135"/>
      <c r="S234" s="135"/>
    </row>
    <row r="235" customFormat="false" ht="15.75" hidden="false" customHeight="true" outlineLevel="0" collapsed="false">
      <c r="A235" s="135"/>
      <c r="B235" s="135"/>
      <c r="C235" s="135"/>
      <c r="D235" s="135"/>
      <c r="E235" s="135"/>
      <c r="F235" s="135"/>
      <c r="G235" s="189"/>
      <c r="H235" s="135"/>
      <c r="I235" s="135"/>
      <c r="J235" s="189"/>
      <c r="K235" s="135"/>
      <c r="L235" s="135"/>
      <c r="M235" s="189"/>
      <c r="N235" s="135"/>
      <c r="O235" s="135"/>
      <c r="P235" s="135"/>
      <c r="Q235" s="135"/>
      <c r="R235" s="135"/>
      <c r="S235" s="135"/>
    </row>
    <row r="236" customFormat="false" ht="15.75" hidden="false" customHeight="true" outlineLevel="0" collapsed="false">
      <c r="A236" s="135"/>
      <c r="B236" s="135"/>
      <c r="C236" s="135"/>
      <c r="D236" s="135"/>
      <c r="E236" s="135"/>
      <c r="F236" s="135"/>
      <c r="G236" s="189"/>
      <c r="H236" s="135"/>
      <c r="I236" s="135"/>
      <c r="J236" s="189"/>
      <c r="K236" s="135"/>
      <c r="L236" s="135"/>
      <c r="M236" s="189"/>
      <c r="N236" s="135"/>
      <c r="O236" s="135"/>
      <c r="P236" s="135"/>
      <c r="Q236" s="135"/>
      <c r="R236" s="135"/>
      <c r="S236" s="135"/>
    </row>
    <row r="237" customFormat="false" ht="15.75" hidden="false" customHeight="true" outlineLevel="0" collapsed="false">
      <c r="A237" s="135"/>
      <c r="B237" s="135"/>
      <c r="C237" s="135"/>
      <c r="D237" s="135"/>
      <c r="E237" s="135"/>
      <c r="F237" s="135"/>
      <c r="G237" s="189"/>
      <c r="H237" s="135"/>
      <c r="I237" s="135"/>
      <c r="J237" s="189"/>
      <c r="K237" s="135"/>
      <c r="L237" s="135"/>
      <c r="M237" s="189"/>
      <c r="N237" s="135"/>
      <c r="O237" s="135"/>
      <c r="P237" s="135"/>
      <c r="Q237" s="135"/>
      <c r="R237" s="135"/>
      <c r="S237" s="135"/>
    </row>
    <row r="238" customFormat="false" ht="15.75" hidden="false" customHeight="true" outlineLevel="0" collapsed="false">
      <c r="A238" s="135"/>
      <c r="B238" s="135"/>
      <c r="C238" s="135"/>
      <c r="D238" s="135"/>
      <c r="E238" s="135"/>
      <c r="F238" s="135"/>
      <c r="G238" s="189"/>
      <c r="H238" s="135"/>
      <c r="I238" s="135"/>
      <c r="J238" s="189"/>
      <c r="K238" s="135"/>
      <c r="L238" s="135"/>
      <c r="M238" s="189"/>
      <c r="N238" s="135"/>
      <c r="O238" s="135"/>
      <c r="P238" s="135"/>
      <c r="Q238" s="135"/>
      <c r="R238" s="135"/>
      <c r="S238" s="135"/>
    </row>
    <row r="239" customFormat="false" ht="15.75" hidden="false" customHeight="true" outlineLevel="0" collapsed="false">
      <c r="A239" s="135"/>
      <c r="B239" s="135"/>
      <c r="C239" s="135"/>
      <c r="D239" s="135"/>
      <c r="E239" s="135"/>
      <c r="F239" s="135"/>
      <c r="G239" s="189"/>
      <c r="H239" s="135"/>
      <c r="I239" s="135"/>
      <c r="J239" s="189"/>
      <c r="K239" s="135"/>
      <c r="L239" s="135"/>
      <c r="M239" s="189"/>
      <c r="N239" s="135"/>
      <c r="O239" s="135"/>
      <c r="P239" s="135"/>
      <c r="Q239" s="135"/>
      <c r="R239" s="135"/>
      <c r="S239" s="135"/>
    </row>
    <row r="240" customFormat="false" ht="15.75" hidden="false" customHeight="true" outlineLevel="0" collapsed="false">
      <c r="A240" s="135"/>
      <c r="B240" s="135"/>
      <c r="C240" s="135"/>
      <c r="D240" s="135"/>
      <c r="E240" s="135"/>
      <c r="F240" s="135"/>
      <c r="G240" s="189"/>
      <c r="H240" s="135"/>
      <c r="I240" s="135"/>
      <c r="J240" s="189"/>
      <c r="K240" s="135"/>
      <c r="L240" s="135"/>
      <c r="M240" s="189"/>
      <c r="N240" s="135"/>
      <c r="O240" s="135"/>
      <c r="P240" s="135"/>
      <c r="Q240" s="135"/>
      <c r="R240" s="135"/>
      <c r="S240" s="135"/>
    </row>
    <row r="241" customFormat="false" ht="15.75" hidden="false" customHeight="true" outlineLevel="0" collapsed="false">
      <c r="A241" s="135"/>
      <c r="B241" s="135"/>
      <c r="C241" s="135"/>
      <c r="D241" s="135"/>
      <c r="E241" s="135"/>
      <c r="F241" s="135"/>
      <c r="G241" s="189"/>
      <c r="H241" s="135"/>
      <c r="I241" s="135"/>
      <c r="J241" s="189"/>
      <c r="K241" s="135"/>
      <c r="L241" s="135"/>
      <c r="M241" s="189"/>
      <c r="N241" s="135"/>
      <c r="O241" s="135"/>
      <c r="P241" s="135"/>
      <c r="Q241" s="135"/>
      <c r="R241" s="135"/>
      <c r="S241" s="135"/>
    </row>
    <row r="242" customFormat="false" ht="15.75" hidden="false" customHeight="true" outlineLevel="0" collapsed="false">
      <c r="A242" s="135"/>
      <c r="B242" s="135"/>
      <c r="C242" s="135"/>
      <c r="D242" s="135"/>
      <c r="E242" s="135"/>
      <c r="F242" s="135"/>
      <c r="G242" s="189"/>
      <c r="H242" s="135"/>
      <c r="I242" s="135"/>
      <c r="J242" s="189"/>
      <c r="K242" s="135"/>
      <c r="L242" s="135"/>
      <c r="M242" s="189"/>
      <c r="N242" s="135"/>
      <c r="O242" s="135"/>
      <c r="P242" s="135"/>
      <c r="Q242" s="135"/>
      <c r="R242" s="135"/>
      <c r="S242" s="135"/>
    </row>
    <row r="243" customFormat="false" ht="15.75" hidden="false" customHeight="true" outlineLevel="0" collapsed="false">
      <c r="A243" s="135"/>
      <c r="B243" s="135"/>
      <c r="C243" s="135"/>
      <c r="D243" s="135"/>
      <c r="E243" s="135"/>
      <c r="F243" s="135"/>
      <c r="G243" s="189"/>
      <c r="H243" s="135"/>
      <c r="I243" s="135"/>
      <c r="J243" s="189"/>
      <c r="K243" s="135"/>
      <c r="L243" s="135"/>
      <c r="M243" s="189"/>
      <c r="N243" s="135"/>
      <c r="O243" s="135"/>
      <c r="P243" s="135"/>
      <c r="Q243" s="135"/>
      <c r="R243" s="135"/>
      <c r="S243" s="135"/>
    </row>
    <row r="244" customFormat="false" ht="15.75" hidden="false" customHeight="true" outlineLevel="0" collapsed="false">
      <c r="A244" s="135"/>
      <c r="B244" s="135"/>
      <c r="C244" s="135"/>
      <c r="D244" s="135"/>
      <c r="E244" s="135"/>
      <c r="F244" s="135"/>
      <c r="G244" s="189"/>
      <c r="H244" s="135"/>
      <c r="I244" s="135"/>
      <c r="J244" s="189"/>
      <c r="K244" s="135"/>
      <c r="L244" s="135"/>
      <c r="M244" s="189"/>
      <c r="N244" s="135"/>
      <c r="O244" s="135"/>
      <c r="P244" s="135"/>
      <c r="Q244" s="135"/>
      <c r="R244" s="135"/>
      <c r="S244" s="135"/>
    </row>
    <row r="245" customFormat="false" ht="15.75" hidden="false" customHeight="true" outlineLevel="0" collapsed="false">
      <c r="A245" s="135"/>
      <c r="B245" s="135"/>
      <c r="C245" s="135"/>
      <c r="D245" s="135"/>
      <c r="E245" s="135"/>
      <c r="F245" s="135"/>
      <c r="G245" s="189"/>
      <c r="H245" s="135"/>
      <c r="I245" s="135"/>
      <c r="J245" s="189"/>
      <c r="K245" s="135"/>
      <c r="L245" s="135"/>
      <c r="M245" s="189"/>
      <c r="N245" s="135"/>
      <c r="O245" s="135"/>
      <c r="P245" s="135"/>
      <c r="Q245" s="135"/>
      <c r="R245" s="135"/>
      <c r="S245" s="135"/>
    </row>
    <row r="246" customFormat="false" ht="15.75" hidden="false" customHeight="true" outlineLevel="0" collapsed="false">
      <c r="A246" s="135"/>
      <c r="B246" s="135"/>
      <c r="C246" s="135"/>
      <c r="D246" s="135"/>
      <c r="E246" s="135"/>
      <c r="F246" s="135"/>
      <c r="G246" s="189"/>
      <c r="H246" s="135"/>
      <c r="I246" s="135"/>
      <c r="J246" s="189"/>
      <c r="K246" s="135"/>
      <c r="L246" s="135"/>
      <c r="M246" s="189"/>
      <c r="N246" s="135"/>
      <c r="O246" s="135"/>
      <c r="P246" s="135"/>
      <c r="Q246" s="135"/>
      <c r="R246" s="135"/>
      <c r="S246" s="135"/>
    </row>
    <row r="247" customFormat="false" ht="15.75" hidden="false" customHeight="true" outlineLevel="0" collapsed="false">
      <c r="A247" s="135"/>
      <c r="B247" s="135"/>
      <c r="C247" s="135"/>
      <c r="D247" s="135"/>
      <c r="E247" s="135"/>
      <c r="F247" s="135"/>
      <c r="G247" s="189"/>
      <c r="H247" s="135"/>
      <c r="I247" s="135"/>
      <c r="J247" s="189"/>
      <c r="K247" s="135"/>
      <c r="L247" s="135"/>
      <c r="M247" s="189"/>
      <c r="N247" s="135"/>
      <c r="O247" s="135"/>
      <c r="P247" s="135"/>
      <c r="Q247" s="135"/>
      <c r="R247" s="135"/>
      <c r="S247" s="135"/>
    </row>
    <row r="248" customFormat="false" ht="15.75" hidden="false" customHeight="true" outlineLevel="0" collapsed="false">
      <c r="A248" s="135"/>
      <c r="B248" s="135"/>
      <c r="C248" s="135"/>
      <c r="D248" s="135"/>
      <c r="E248" s="135"/>
      <c r="F248" s="135"/>
      <c r="G248" s="189"/>
      <c r="H248" s="135"/>
      <c r="I248" s="135"/>
      <c r="J248" s="189"/>
      <c r="K248" s="135"/>
      <c r="L248" s="135"/>
      <c r="M248" s="189"/>
      <c r="N248" s="135"/>
      <c r="O248" s="135"/>
      <c r="P248" s="135"/>
      <c r="Q248" s="135"/>
      <c r="R248" s="135"/>
      <c r="S248" s="135"/>
    </row>
    <row r="249" customFormat="false" ht="15.75" hidden="false" customHeight="true" outlineLevel="0" collapsed="false">
      <c r="A249" s="135"/>
      <c r="B249" s="135"/>
      <c r="C249" s="135"/>
      <c r="D249" s="135"/>
      <c r="E249" s="135"/>
      <c r="F249" s="135"/>
      <c r="G249" s="189"/>
      <c r="H249" s="135"/>
      <c r="I249" s="135"/>
      <c r="J249" s="189"/>
      <c r="K249" s="135"/>
      <c r="L249" s="135"/>
      <c r="M249" s="189"/>
      <c r="N249" s="135"/>
      <c r="O249" s="135"/>
      <c r="P249" s="135"/>
      <c r="Q249" s="135"/>
      <c r="R249" s="135"/>
      <c r="S249" s="135"/>
    </row>
    <row r="250" customFormat="false" ht="15.75" hidden="false" customHeight="true" outlineLevel="0" collapsed="false">
      <c r="A250" s="135"/>
      <c r="B250" s="135"/>
      <c r="C250" s="135"/>
      <c r="D250" s="135"/>
      <c r="E250" s="135"/>
      <c r="F250" s="135"/>
      <c r="G250" s="189"/>
      <c r="H250" s="135"/>
      <c r="I250" s="135"/>
      <c r="J250" s="189"/>
      <c r="K250" s="135"/>
      <c r="L250" s="135"/>
      <c r="M250" s="189"/>
      <c r="N250" s="135"/>
      <c r="O250" s="135"/>
      <c r="P250" s="135"/>
      <c r="Q250" s="135"/>
      <c r="R250" s="135"/>
      <c r="S250" s="135"/>
    </row>
    <row r="251" customFormat="false" ht="15.75" hidden="false" customHeight="true" outlineLevel="0" collapsed="false">
      <c r="A251" s="135"/>
      <c r="B251" s="135"/>
      <c r="C251" s="135"/>
      <c r="D251" s="135"/>
      <c r="E251" s="135"/>
      <c r="F251" s="135"/>
      <c r="G251" s="189"/>
      <c r="H251" s="135"/>
      <c r="I251" s="135"/>
      <c r="J251" s="189"/>
      <c r="K251" s="135"/>
      <c r="L251" s="135"/>
      <c r="M251" s="189"/>
      <c r="N251" s="135"/>
      <c r="O251" s="135"/>
      <c r="P251" s="135"/>
      <c r="Q251" s="135"/>
      <c r="R251" s="135"/>
      <c r="S251" s="135"/>
    </row>
    <row r="252" customFormat="false" ht="15.75" hidden="false" customHeight="true" outlineLevel="0" collapsed="false">
      <c r="A252" s="135"/>
      <c r="B252" s="135"/>
      <c r="C252" s="135"/>
      <c r="D252" s="135"/>
      <c r="E252" s="135"/>
      <c r="F252" s="135"/>
      <c r="G252" s="189"/>
      <c r="H252" s="135"/>
      <c r="I252" s="135"/>
      <c r="J252" s="189"/>
      <c r="K252" s="135"/>
      <c r="L252" s="135"/>
      <c r="M252" s="189"/>
      <c r="N252" s="135"/>
      <c r="O252" s="135"/>
      <c r="P252" s="135"/>
      <c r="Q252" s="135"/>
      <c r="R252" s="135"/>
      <c r="S252" s="135"/>
    </row>
    <row r="253" customFormat="false" ht="15.75" hidden="false" customHeight="true" outlineLevel="0" collapsed="false">
      <c r="A253" s="135"/>
      <c r="B253" s="135"/>
      <c r="C253" s="135"/>
      <c r="D253" s="135"/>
      <c r="E253" s="135"/>
      <c r="F253" s="135"/>
      <c r="G253" s="189"/>
      <c r="H253" s="135"/>
      <c r="I253" s="135"/>
      <c r="J253" s="189"/>
      <c r="K253" s="135"/>
      <c r="L253" s="135"/>
      <c r="M253" s="189"/>
      <c r="N253" s="135"/>
      <c r="O253" s="135"/>
      <c r="P253" s="135"/>
      <c r="Q253" s="135"/>
      <c r="R253" s="135"/>
      <c r="S253" s="135"/>
    </row>
    <row r="254" customFormat="false" ht="15.75" hidden="false" customHeight="true" outlineLevel="0" collapsed="false">
      <c r="A254" s="135"/>
      <c r="B254" s="135"/>
      <c r="C254" s="135"/>
      <c r="D254" s="135"/>
      <c r="E254" s="135"/>
      <c r="F254" s="135"/>
      <c r="G254" s="189"/>
      <c r="H254" s="135"/>
      <c r="I254" s="135"/>
      <c r="J254" s="189"/>
      <c r="K254" s="135"/>
      <c r="L254" s="135"/>
      <c r="M254" s="189"/>
      <c r="N254" s="135"/>
      <c r="O254" s="135"/>
      <c r="P254" s="135"/>
      <c r="Q254" s="135"/>
      <c r="R254" s="135"/>
      <c r="S254" s="135"/>
    </row>
    <row r="255" customFormat="false" ht="15.75" hidden="false" customHeight="true" outlineLevel="0" collapsed="false">
      <c r="A255" s="135"/>
      <c r="B255" s="135"/>
      <c r="C255" s="135"/>
      <c r="D255" s="135"/>
      <c r="E255" s="135"/>
      <c r="F255" s="135"/>
      <c r="G255" s="189"/>
      <c r="H255" s="135"/>
      <c r="I255" s="135"/>
      <c r="J255" s="189"/>
      <c r="K255" s="135"/>
      <c r="L255" s="135"/>
      <c r="M255" s="189"/>
      <c r="N255" s="135"/>
      <c r="O255" s="135"/>
      <c r="P255" s="135"/>
      <c r="Q255" s="135"/>
      <c r="R255" s="135"/>
      <c r="S255" s="135"/>
    </row>
    <row r="256" customFormat="false" ht="15.75" hidden="false" customHeight="true" outlineLevel="0" collapsed="false">
      <c r="A256" s="135"/>
      <c r="B256" s="135"/>
      <c r="C256" s="135"/>
      <c r="D256" s="135"/>
      <c r="E256" s="135"/>
      <c r="F256" s="135"/>
      <c r="G256" s="189"/>
      <c r="H256" s="135"/>
      <c r="I256" s="135"/>
      <c r="J256" s="189"/>
      <c r="K256" s="135"/>
      <c r="L256" s="135"/>
      <c r="M256" s="189"/>
      <c r="N256" s="135"/>
      <c r="O256" s="135"/>
      <c r="P256" s="135"/>
      <c r="Q256" s="135"/>
      <c r="R256" s="135"/>
      <c r="S256" s="135"/>
    </row>
    <row r="257" customFormat="false" ht="15.75" hidden="false" customHeight="true" outlineLevel="0" collapsed="false">
      <c r="A257" s="135"/>
      <c r="B257" s="135"/>
      <c r="C257" s="135"/>
      <c r="D257" s="135"/>
      <c r="E257" s="135"/>
      <c r="F257" s="135"/>
      <c r="G257" s="189"/>
      <c r="H257" s="135"/>
      <c r="I257" s="135"/>
      <c r="J257" s="189"/>
      <c r="K257" s="135"/>
      <c r="L257" s="135"/>
      <c r="M257" s="189"/>
      <c r="N257" s="135"/>
      <c r="O257" s="135"/>
      <c r="P257" s="135"/>
      <c r="Q257" s="135"/>
      <c r="R257" s="135"/>
      <c r="S257" s="135"/>
    </row>
    <row r="258" customFormat="false" ht="15.75" hidden="false" customHeight="true" outlineLevel="0" collapsed="false">
      <c r="A258" s="135"/>
      <c r="B258" s="135"/>
      <c r="C258" s="135"/>
      <c r="D258" s="135"/>
      <c r="E258" s="135"/>
      <c r="F258" s="135"/>
      <c r="G258" s="189"/>
      <c r="H258" s="135"/>
      <c r="I258" s="135"/>
      <c r="J258" s="189"/>
      <c r="K258" s="135"/>
      <c r="L258" s="135"/>
      <c r="M258" s="189"/>
      <c r="N258" s="135"/>
      <c r="O258" s="135"/>
      <c r="P258" s="135"/>
      <c r="Q258" s="135"/>
      <c r="R258" s="135"/>
      <c r="S258" s="135"/>
    </row>
    <row r="259" customFormat="false" ht="15.75" hidden="false" customHeight="true" outlineLevel="0" collapsed="false">
      <c r="A259" s="135"/>
      <c r="B259" s="135"/>
      <c r="C259" s="135"/>
      <c r="D259" s="135"/>
      <c r="E259" s="135"/>
      <c r="F259" s="135"/>
      <c r="G259" s="189"/>
      <c r="H259" s="135"/>
      <c r="I259" s="135"/>
      <c r="J259" s="189"/>
      <c r="K259" s="135"/>
      <c r="L259" s="135"/>
      <c r="M259" s="189"/>
      <c r="N259" s="135"/>
      <c r="O259" s="135"/>
      <c r="P259" s="135"/>
      <c r="Q259" s="135"/>
      <c r="R259" s="135"/>
      <c r="S259" s="135"/>
    </row>
    <row r="260" customFormat="false" ht="15.75" hidden="false" customHeight="true" outlineLevel="0" collapsed="false">
      <c r="A260" s="135"/>
      <c r="B260" s="135"/>
      <c r="C260" s="135"/>
      <c r="D260" s="135"/>
      <c r="E260" s="135"/>
      <c r="F260" s="135"/>
      <c r="G260" s="189"/>
      <c r="H260" s="135"/>
      <c r="I260" s="135"/>
      <c r="J260" s="189"/>
      <c r="K260" s="135"/>
      <c r="L260" s="135"/>
      <c r="M260" s="189"/>
      <c r="N260" s="135"/>
      <c r="O260" s="135"/>
      <c r="P260" s="135"/>
      <c r="Q260" s="135"/>
      <c r="R260" s="135"/>
      <c r="S260" s="135"/>
    </row>
    <row r="261" customFormat="false" ht="15.75" hidden="false" customHeight="true" outlineLevel="0" collapsed="false">
      <c r="A261" s="135"/>
      <c r="B261" s="135"/>
      <c r="C261" s="135"/>
      <c r="D261" s="135"/>
      <c r="E261" s="135"/>
      <c r="F261" s="135"/>
      <c r="G261" s="189"/>
      <c r="H261" s="135"/>
      <c r="I261" s="135"/>
      <c r="J261" s="189"/>
      <c r="K261" s="135"/>
      <c r="L261" s="135"/>
      <c r="M261" s="189"/>
      <c r="N261" s="135"/>
      <c r="O261" s="135"/>
      <c r="P261" s="135"/>
      <c r="Q261" s="135"/>
      <c r="R261" s="135"/>
      <c r="S261" s="135"/>
    </row>
    <row r="262" customFormat="false" ht="15.75" hidden="false" customHeight="true" outlineLevel="0" collapsed="false">
      <c r="A262" s="135"/>
      <c r="B262" s="135"/>
      <c r="C262" s="135"/>
      <c r="D262" s="135"/>
      <c r="E262" s="135"/>
      <c r="F262" s="135"/>
      <c r="G262" s="189"/>
      <c r="H262" s="135"/>
      <c r="I262" s="135"/>
      <c r="J262" s="189"/>
      <c r="K262" s="135"/>
      <c r="L262" s="135"/>
      <c r="M262" s="189"/>
      <c r="N262" s="135"/>
      <c r="O262" s="135"/>
      <c r="P262" s="135"/>
      <c r="Q262" s="135"/>
      <c r="R262" s="135"/>
      <c r="S262" s="135"/>
    </row>
    <row r="263" customFormat="false" ht="15.75" hidden="false" customHeight="true" outlineLevel="0" collapsed="false">
      <c r="A263" s="135"/>
      <c r="B263" s="135"/>
      <c r="C263" s="135"/>
      <c r="D263" s="135"/>
      <c r="E263" s="135"/>
      <c r="F263" s="135"/>
      <c r="G263" s="189"/>
      <c r="H263" s="135"/>
      <c r="I263" s="135"/>
      <c r="J263" s="189"/>
      <c r="K263" s="135"/>
      <c r="L263" s="135"/>
      <c r="M263" s="189"/>
      <c r="N263" s="135"/>
      <c r="O263" s="135"/>
      <c r="P263" s="135"/>
      <c r="Q263" s="135"/>
      <c r="R263" s="135"/>
      <c r="S263" s="135"/>
    </row>
    <row r="264" customFormat="false" ht="15.75" hidden="false" customHeight="true" outlineLevel="0" collapsed="false">
      <c r="A264" s="135"/>
      <c r="B264" s="135"/>
      <c r="C264" s="135"/>
      <c r="D264" s="135"/>
      <c r="E264" s="135"/>
      <c r="F264" s="135"/>
      <c r="G264" s="189"/>
      <c r="H264" s="135"/>
      <c r="I264" s="135"/>
      <c r="J264" s="189"/>
      <c r="K264" s="135"/>
      <c r="L264" s="135"/>
      <c r="M264" s="189"/>
      <c r="N264" s="135"/>
      <c r="O264" s="135"/>
      <c r="P264" s="135"/>
      <c r="Q264" s="135"/>
      <c r="R264" s="135"/>
      <c r="S264" s="135"/>
    </row>
    <row r="265" customFormat="false" ht="15.75" hidden="false" customHeight="true" outlineLevel="0" collapsed="false">
      <c r="A265" s="135"/>
      <c r="B265" s="135"/>
      <c r="C265" s="135"/>
      <c r="D265" s="135"/>
      <c r="E265" s="135"/>
      <c r="F265" s="135"/>
      <c r="G265" s="189"/>
      <c r="H265" s="135"/>
      <c r="I265" s="135"/>
      <c r="J265" s="189"/>
      <c r="K265" s="135"/>
      <c r="L265" s="135"/>
      <c r="M265" s="189"/>
      <c r="N265" s="135"/>
      <c r="O265" s="135"/>
      <c r="P265" s="135"/>
      <c r="Q265" s="135"/>
      <c r="R265" s="135"/>
      <c r="S265" s="135"/>
    </row>
    <row r="266" customFormat="false" ht="15.75" hidden="false" customHeight="true" outlineLevel="0" collapsed="false">
      <c r="A266" s="135"/>
      <c r="B266" s="135"/>
      <c r="C266" s="135"/>
      <c r="D266" s="135"/>
      <c r="E266" s="135"/>
      <c r="F266" s="135"/>
      <c r="G266" s="189"/>
      <c r="H266" s="135"/>
      <c r="I266" s="135"/>
      <c r="J266" s="189"/>
      <c r="K266" s="135"/>
      <c r="L266" s="135"/>
      <c r="M266" s="189"/>
      <c r="N266" s="135"/>
      <c r="O266" s="135"/>
      <c r="P266" s="135"/>
      <c r="Q266" s="135"/>
      <c r="R266" s="135"/>
      <c r="S266" s="135"/>
    </row>
    <row r="267" customFormat="false" ht="15.75" hidden="false" customHeight="true" outlineLevel="0" collapsed="false">
      <c r="A267" s="135"/>
      <c r="B267" s="135"/>
      <c r="C267" s="135"/>
      <c r="D267" s="135"/>
      <c r="E267" s="135"/>
      <c r="F267" s="135"/>
      <c r="G267" s="189"/>
      <c r="H267" s="135"/>
      <c r="I267" s="135"/>
      <c r="J267" s="189"/>
      <c r="K267" s="135"/>
      <c r="L267" s="135"/>
      <c r="M267" s="189"/>
      <c r="N267" s="135"/>
      <c r="O267" s="135"/>
      <c r="P267" s="135"/>
      <c r="Q267" s="135"/>
      <c r="R267" s="135"/>
      <c r="S267" s="135"/>
    </row>
    <row r="268" customFormat="false" ht="15.75" hidden="false" customHeight="true" outlineLevel="0" collapsed="false">
      <c r="A268" s="135"/>
      <c r="B268" s="135"/>
      <c r="C268" s="135"/>
      <c r="D268" s="135"/>
      <c r="E268" s="135"/>
      <c r="F268" s="135"/>
      <c r="G268" s="189"/>
      <c r="H268" s="135"/>
      <c r="I268" s="135"/>
      <c r="J268" s="189"/>
      <c r="K268" s="135"/>
      <c r="L268" s="135"/>
      <c r="M268" s="189"/>
      <c r="N268" s="135"/>
      <c r="O268" s="135"/>
      <c r="P268" s="135"/>
      <c r="Q268" s="135"/>
      <c r="R268" s="135"/>
      <c r="S268" s="135"/>
    </row>
    <row r="269" customFormat="false" ht="15.75" hidden="false" customHeight="true" outlineLevel="0" collapsed="false">
      <c r="A269" s="135"/>
      <c r="B269" s="135"/>
      <c r="C269" s="135"/>
      <c r="D269" s="135"/>
      <c r="E269" s="135"/>
      <c r="F269" s="135"/>
      <c r="G269" s="189"/>
      <c r="H269" s="135"/>
      <c r="I269" s="135"/>
      <c r="J269" s="189"/>
      <c r="K269" s="135"/>
      <c r="L269" s="135"/>
      <c r="M269" s="189"/>
      <c r="N269" s="135"/>
      <c r="O269" s="135"/>
      <c r="P269" s="135"/>
      <c r="Q269" s="135"/>
      <c r="R269" s="135"/>
      <c r="S269" s="135"/>
    </row>
    <row r="270" customFormat="false" ht="15.75" hidden="false" customHeight="true" outlineLevel="0" collapsed="false">
      <c r="A270" s="135"/>
      <c r="B270" s="135"/>
      <c r="C270" s="135"/>
      <c r="D270" s="135"/>
      <c r="E270" s="135"/>
      <c r="F270" s="135"/>
      <c r="G270" s="189"/>
      <c r="H270" s="135"/>
      <c r="I270" s="135"/>
      <c r="J270" s="189"/>
      <c r="K270" s="135"/>
      <c r="L270" s="135"/>
      <c r="M270" s="189"/>
      <c r="N270" s="135"/>
      <c r="O270" s="135"/>
      <c r="P270" s="135"/>
      <c r="Q270" s="135"/>
      <c r="R270" s="135"/>
      <c r="S270" s="135"/>
    </row>
    <row r="271" customFormat="false" ht="15.75" hidden="false" customHeight="true" outlineLevel="0" collapsed="false">
      <c r="A271" s="135"/>
      <c r="B271" s="135"/>
      <c r="C271" s="135"/>
      <c r="D271" s="135"/>
      <c r="E271" s="135"/>
      <c r="F271" s="135"/>
      <c r="G271" s="189"/>
      <c r="H271" s="135"/>
      <c r="I271" s="135"/>
      <c r="J271" s="189"/>
      <c r="K271" s="135"/>
      <c r="L271" s="135"/>
      <c r="M271" s="189"/>
      <c r="N271" s="135"/>
      <c r="O271" s="135"/>
      <c r="P271" s="135"/>
      <c r="Q271" s="135"/>
      <c r="R271" s="135"/>
      <c r="S271" s="135"/>
    </row>
    <row r="272" customFormat="false" ht="15.75" hidden="false" customHeight="true" outlineLevel="0" collapsed="false">
      <c r="A272" s="135"/>
      <c r="B272" s="135"/>
      <c r="C272" s="135"/>
      <c r="D272" s="135"/>
      <c r="E272" s="135"/>
      <c r="F272" s="135"/>
      <c r="G272" s="189"/>
      <c r="H272" s="135"/>
      <c r="I272" s="135"/>
      <c r="J272" s="189"/>
      <c r="K272" s="135"/>
      <c r="L272" s="135"/>
      <c r="M272" s="189"/>
      <c r="N272" s="135"/>
      <c r="O272" s="135"/>
      <c r="P272" s="135"/>
      <c r="Q272" s="135"/>
      <c r="R272" s="135"/>
      <c r="S272" s="135"/>
    </row>
    <row r="273" customFormat="false" ht="15.75" hidden="false" customHeight="true" outlineLevel="0" collapsed="false">
      <c r="A273" s="135"/>
      <c r="B273" s="135"/>
      <c r="C273" s="135"/>
      <c r="D273" s="135"/>
      <c r="E273" s="135"/>
      <c r="F273" s="135"/>
      <c r="G273" s="189"/>
      <c r="H273" s="135"/>
      <c r="I273" s="135"/>
      <c r="J273" s="189"/>
      <c r="K273" s="135"/>
      <c r="L273" s="135"/>
      <c r="M273" s="189"/>
      <c r="N273" s="135"/>
      <c r="O273" s="135"/>
      <c r="P273" s="135"/>
      <c r="Q273" s="135"/>
      <c r="R273" s="135"/>
      <c r="S273" s="135"/>
    </row>
    <row r="274" customFormat="false" ht="15.75" hidden="false" customHeight="true" outlineLevel="0" collapsed="false">
      <c r="A274" s="135"/>
      <c r="B274" s="135"/>
      <c r="C274" s="135"/>
      <c r="D274" s="135"/>
      <c r="E274" s="135"/>
      <c r="F274" s="135"/>
      <c r="G274" s="189"/>
      <c r="H274" s="135"/>
      <c r="I274" s="135"/>
      <c r="J274" s="189"/>
      <c r="K274" s="135"/>
      <c r="L274" s="135"/>
      <c r="M274" s="189"/>
      <c r="N274" s="135"/>
      <c r="O274" s="135"/>
      <c r="P274" s="135"/>
      <c r="Q274" s="135"/>
      <c r="R274" s="135"/>
      <c r="S274" s="135"/>
    </row>
    <row r="275" customFormat="false" ht="15.75" hidden="false" customHeight="true" outlineLevel="0" collapsed="false">
      <c r="A275" s="135"/>
      <c r="B275" s="135"/>
      <c r="C275" s="135"/>
      <c r="D275" s="135"/>
      <c r="E275" s="135"/>
      <c r="F275" s="135"/>
      <c r="G275" s="189"/>
      <c r="H275" s="135"/>
      <c r="I275" s="135"/>
      <c r="J275" s="189"/>
      <c r="K275" s="135"/>
      <c r="L275" s="135"/>
      <c r="M275" s="189"/>
      <c r="N275" s="135"/>
      <c r="O275" s="135"/>
      <c r="P275" s="135"/>
      <c r="Q275" s="135"/>
      <c r="R275" s="135"/>
      <c r="S275" s="135"/>
    </row>
    <row r="276" customFormat="false" ht="15.75" hidden="false" customHeight="true" outlineLevel="0" collapsed="false">
      <c r="A276" s="135"/>
      <c r="B276" s="135"/>
      <c r="C276" s="135"/>
      <c r="D276" s="135"/>
      <c r="E276" s="135"/>
      <c r="F276" s="135"/>
      <c r="G276" s="189"/>
      <c r="H276" s="135"/>
      <c r="I276" s="135"/>
      <c r="J276" s="189"/>
      <c r="K276" s="135"/>
      <c r="L276" s="135"/>
      <c r="M276" s="189"/>
      <c r="N276" s="135"/>
      <c r="O276" s="135"/>
      <c r="P276" s="135"/>
      <c r="Q276" s="135"/>
      <c r="R276" s="135"/>
      <c r="S276" s="135"/>
    </row>
    <row r="277" customFormat="false" ht="15.75" hidden="false" customHeight="true" outlineLevel="0" collapsed="false">
      <c r="A277" s="135"/>
      <c r="B277" s="135"/>
      <c r="C277" s="135"/>
      <c r="D277" s="135"/>
      <c r="E277" s="135"/>
      <c r="F277" s="135"/>
      <c r="G277" s="189"/>
      <c r="H277" s="135"/>
      <c r="I277" s="135"/>
      <c r="J277" s="189"/>
      <c r="K277" s="135"/>
      <c r="L277" s="135"/>
      <c r="M277" s="189"/>
      <c r="N277" s="135"/>
      <c r="O277" s="135"/>
      <c r="P277" s="135"/>
      <c r="Q277" s="135"/>
      <c r="R277" s="135"/>
      <c r="S277" s="135"/>
    </row>
    <row r="278" customFormat="false" ht="15.75" hidden="false" customHeight="true" outlineLevel="0" collapsed="false">
      <c r="A278" s="135"/>
      <c r="B278" s="135"/>
      <c r="C278" s="135"/>
      <c r="D278" s="135"/>
      <c r="E278" s="135"/>
      <c r="F278" s="135"/>
      <c r="G278" s="189"/>
      <c r="H278" s="135"/>
      <c r="I278" s="135"/>
      <c r="J278" s="189"/>
      <c r="K278" s="135"/>
      <c r="L278" s="135"/>
      <c r="M278" s="189"/>
      <c r="N278" s="135"/>
      <c r="O278" s="135"/>
      <c r="P278" s="135"/>
      <c r="Q278" s="135"/>
      <c r="R278" s="135"/>
      <c r="S278" s="135"/>
    </row>
    <row r="279" customFormat="false" ht="15.75" hidden="false" customHeight="true" outlineLevel="0" collapsed="false">
      <c r="A279" s="135"/>
      <c r="B279" s="135"/>
      <c r="C279" s="135"/>
      <c r="D279" s="135"/>
      <c r="E279" s="135"/>
      <c r="F279" s="135"/>
      <c r="G279" s="189"/>
      <c r="H279" s="135"/>
      <c r="I279" s="135"/>
      <c r="J279" s="189"/>
      <c r="K279" s="135"/>
      <c r="L279" s="135"/>
      <c r="M279" s="189"/>
      <c r="N279" s="135"/>
      <c r="O279" s="135"/>
      <c r="P279" s="135"/>
      <c r="Q279" s="135"/>
      <c r="R279" s="135"/>
      <c r="S279" s="135"/>
    </row>
    <row r="280" customFormat="false" ht="15.75" hidden="false" customHeight="true" outlineLevel="0" collapsed="false">
      <c r="A280" s="135"/>
      <c r="B280" s="135"/>
      <c r="C280" s="135"/>
      <c r="D280" s="135"/>
      <c r="E280" s="135"/>
      <c r="F280" s="135"/>
      <c r="G280" s="189"/>
      <c r="H280" s="135"/>
      <c r="I280" s="135"/>
      <c r="J280" s="189"/>
      <c r="K280" s="135"/>
      <c r="L280" s="135"/>
      <c r="M280" s="189"/>
      <c r="N280" s="135"/>
      <c r="O280" s="135"/>
      <c r="P280" s="135"/>
      <c r="Q280" s="135"/>
      <c r="R280" s="135"/>
      <c r="S280" s="135"/>
    </row>
    <row r="281" customFormat="false" ht="15.75" hidden="false" customHeight="true" outlineLevel="0" collapsed="false">
      <c r="A281" s="135"/>
      <c r="B281" s="135"/>
      <c r="C281" s="135"/>
      <c r="D281" s="135"/>
      <c r="E281" s="135"/>
      <c r="F281" s="135"/>
      <c r="G281" s="189"/>
      <c r="H281" s="135"/>
      <c r="I281" s="135"/>
      <c r="J281" s="189"/>
      <c r="K281" s="135"/>
      <c r="L281" s="135"/>
      <c r="M281" s="189"/>
      <c r="N281" s="135"/>
      <c r="O281" s="135"/>
      <c r="P281" s="135"/>
      <c r="Q281" s="135"/>
      <c r="R281" s="135"/>
      <c r="S281" s="135"/>
    </row>
    <row r="282" customFormat="false" ht="15.75" hidden="false" customHeight="true" outlineLevel="0" collapsed="false">
      <c r="A282" s="135"/>
      <c r="B282" s="135"/>
      <c r="C282" s="135"/>
      <c r="D282" s="135"/>
      <c r="E282" s="135"/>
      <c r="F282" s="135"/>
      <c r="G282" s="189"/>
      <c r="H282" s="135"/>
      <c r="I282" s="135"/>
      <c r="J282" s="189"/>
      <c r="K282" s="135"/>
      <c r="L282" s="135"/>
      <c r="M282" s="189"/>
      <c r="N282" s="135"/>
      <c r="O282" s="135"/>
      <c r="P282" s="135"/>
      <c r="Q282" s="135"/>
      <c r="R282" s="135"/>
      <c r="S282" s="135"/>
    </row>
    <row r="283" customFormat="false" ht="15.75" hidden="false" customHeight="true" outlineLevel="0" collapsed="false">
      <c r="A283" s="135"/>
      <c r="B283" s="135"/>
      <c r="C283" s="135"/>
      <c r="D283" s="135"/>
      <c r="E283" s="135"/>
      <c r="F283" s="135"/>
      <c r="G283" s="189"/>
      <c r="H283" s="135"/>
      <c r="I283" s="135"/>
      <c r="J283" s="189"/>
      <c r="K283" s="135"/>
      <c r="L283" s="135"/>
      <c r="M283" s="189"/>
      <c r="N283" s="135"/>
      <c r="O283" s="135"/>
      <c r="P283" s="135"/>
      <c r="Q283" s="135"/>
      <c r="R283" s="135"/>
      <c r="S283" s="135"/>
    </row>
    <row r="284" customFormat="false" ht="15.75" hidden="false" customHeight="true" outlineLevel="0" collapsed="false">
      <c r="A284" s="135"/>
      <c r="B284" s="135"/>
      <c r="C284" s="135"/>
      <c r="D284" s="135"/>
      <c r="E284" s="135"/>
      <c r="F284" s="135"/>
      <c r="G284" s="189"/>
      <c r="H284" s="135"/>
      <c r="I284" s="135"/>
      <c r="J284" s="189"/>
      <c r="K284" s="135"/>
      <c r="L284" s="135"/>
      <c r="M284" s="189"/>
      <c r="N284" s="135"/>
      <c r="O284" s="135"/>
      <c r="P284" s="135"/>
      <c r="Q284" s="135"/>
      <c r="R284" s="135"/>
      <c r="S284" s="135"/>
    </row>
    <row r="285" customFormat="false" ht="15.75" hidden="false" customHeight="true" outlineLevel="0" collapsed="false">
      <c r="A285" s="135"/>
      <c r="B285" s="135"/>
      <c r="C285" s="135"/>
      <c r="D285" s="135"/>
      <c r="E285" s="135"/>
      <c r="F285" s="135"/>
      <c r="G285" s="189"/>
      <c r="H285" s="135"/>
      <c r="I285" s="135"/>
      <c r="J285" s="189"/>
      <c r="K285" s="135"/>
      <c r="L285" s="135"/>
      <c r="M285" s="189"/>
      <c r="N285" s="135"/>
      <c r="O285" s="135"/>
      <c r="P285" s="135"/>
      <c r="Q285" s="135"/>
      <c r="R285" s="135"/>
      <c r="S285" s="135"/>
    </row>
    <row r="286" customFormat="false" ht="15.75" hidden="false" customHeight="true" outlineLevel="0" collapsed="false">
      <c r="A286" s="135"/>
      <c r="B286" s="135"/>
      <c r="C286" s="135"/>
      <c r="D286" s="135"/>
      <c r="E286" s="135"/>
      <c r="F286" s="135"/>
      <c r="G286" s="189"/>
      <c r="H286" s="135"/>
      <c r="I286" s="135"/>
      <c r="J286" s="189"/>
      <c r="K286" s="135"/>
      <c r="L286" s="135"/>
      <c r="M286" s="189"/>
      <c r="N286" s="135"/>
      <c r="O286" s="135"/>
      <c r="P286" s="135"/>
      <c r="Q286" s="135"/>
      <c r="R286" s="135"/>
      <c r="S286" s="135"/>
    </row>
    <row r="287" customFormat="false" ht="15.75" hidden="false" customHeight="true" outlineLevel="0" collapsed="false">
      <c r="A287" s="135"/>
      <c r="B287" s="135"/>
      <c r="C287" s="135"/>
      <c r="D287" s="135"/>
      <c r="E287" s="135"/>
      <c r="F287" s="135"/>
      <c r="G287" s="189"/>
      <c r="H287" s="135"/>
      <c r="I287" s="135"/>
      <c r="J287" s="189"/>
      <c r="K287" s="135"/>
      <c r="L287" s="135"/>
      <c r="M287" s="189"/>
      <c r="N287" s="135"/>
      <c r="O287" s="135"/>
      <c r="P287" s="135"/>
      <c r="Q287" s="135"/>
      <c r="R287" s="135"/>
      <c r="S287" s="135"/>
    </row>
    <row r="288" customFormat="false" ht="15.75" hidden="false" customHeight="true" outlineLevel="0" collapsed="false">
      <c r="A288" s="135"/>
      <c r="B288" s="135"/>
      <c r="C288" s="135"/>
      <c r="D288" s="135"/>
      <c r="E288" s="135"/>
      <c r="F288" s="135"/>
      <c r="G288" s="189"/>
      <c r="H288" s="135"/>
      <c r="I288" s="135"/>
      <c r="J288" s="189"/>
      <c r="K288" s="135"/>
      <c r="L288" s="135"/>
      <c r="M288" s="189"/>
      <c r="N288" s="135"/>
      <c r="O288" s="135"/>
      <c r="P288" s="135"/>
      <c r="Q288" s="135"/>
      <c r="R288" s="135"/>
      <c r="S288" s="135"/>
    </row>
    <row r="289" customFormat="false" ht="15.75" hidden="false" customHeight="true" outlineLevel="0" collapsed="false">
      <c r="A289" s="135"/>
      <c r="B289" s="135"/>
      <c r="C289" s="135"/>
      <c r="D289" s="135"/>
      <c r="E289" s="135"/>
      <c r="F289" s="135"/>
      <c r="G289" s="189"/>
      <c r="H289" s="135"/>
      <c r="I289" s="135"/>
      <c r="J289" s="189"/>
      <c r="K289" s="135"/>
      <c r="L289" s="135"/>
      <c r="M289" s="189"/>
      <c r="N289" s="135"/>
      <c r="O289" s="135"/>
      <c r="P289" s="135"/>
      <c r="Q289" s="135"/>
      <c r="R289" s="135"/>
      <c r="S289" s="135"/>
    </row>
    <row r="290" customFormat="false" ht="15.75" hidden="false" customHeight="true" outlineLevel="0" collapsed="false">
      <c r="A290" s="135"/>
      <c r="B290" s="135"/>
      <c r="C290" s="135"/>
      <c r="D290" s="135"/>
      <c r="E290" s="135"/>
      <c r="F290" s="135"/>
      <c r="G290" s="189"/>
      <c r="H290" s="135"/>
      <c r="I290" s="135"/>
      <c r="J290" s="189"/>
      <c r="K290" s="135"/>
      <c r="L290" s="135"/>
      <c r="M290" s="189"/>
      <c r="N290" s="135"/>
      <c r="O290" s="135"/>
      <c r="P290" s="135"/>
      <c r="Q290" s="135"/>
      <c r="R290" s="135"/>
      <c r="S290" s="135"/>
    </row>
    <row r="291" customFormat="false" ht="15.75" hidden="false" customHeight="true" outlineLevel="0" collapsed="false">
      <c r="A291" s="135"/>
      <c r="B291" s="135"/>
      <c r="C291" s="135"/>
      <c r="D291" s="135"/>
      <c r="E291" s="135"/>
      <c r="F291" s="135"/>
      <c r="G291" s="189"/>
      <c r="H291" s="135"/>
      <c r="I291" s="135"/>
      <c r="J291" s="189"/>
      <c r="K291" s="135"/>
      <c r="L291" s="135"/>
      <c r="M291" s="189"/>
      <c r="N291" s="135"/>
      <c r="O291" s="135"/>
      <c r="P291" s="135"/>
      <c r="Q291" s="135"/>
      <c r="R291" s="135"/>
      <c r="S291" s="135"/>
    </row>
    <row r="292" customFormat="false" ht="15.75" hidden="false" customHeight="true" outlineLevel="0" collapsed="false">
      <c r="A292" s="135"/>
      <c r="B292" s="135"/>
      <c r="C292" s="135"/>
      <c r="D292" s="135"/>
      <c r="E292" s="135"/>
      <c r="F292" s="135"/>
      <c r="G292" s="189"/>
      <c r="H292" s="135"/>
      <c r="I292" s="135"/>
      <c r="J292" s="189"/>
      <c r="K292" s="135"/>
      <c r="L292" s="135"/>
      <c r="M292" s="189"/>
      <c r="N292" s="135"/>
      <c r="O292" s="135"/>
      <c r="P292" s="135"/>
      <c r="Q292" s="135"/>
      <c r="R292" s="135"/>
      <c r="S292" s="135"/>
    </row>
    <row r="293" customFormat="false" ht="15.75" hidden="false" customHeight="true" outlineLevel="0" collapsed="false">
      <c r="A293" s="135"/>
      <c r="B293" s="135"/>
      <c r="C293" s="135"/>
      <c r="D293" s="135"/>
      <c r="E293" s="135"/>
      <c r="F293" s="135"/>
      <c r="G293" s="189"/>
      <c r="H293" s="135"/>
      <c r="I293" s="135"/>
      <c r="J293" s="189"/>
      <c r="K293" s="135"/>
      <c r="L293" s="135"/>
      <c r="M293" s="189"/>
      <c r="N293" s="135"/>
      <c r="O293" s="135"/>
      <c r="P293" s="135"/>
      <c r="Q293" s="135"/>
      <c r="R293" s="135"/>
      <c r="S293" s="135"/>
    </row>
    <row r="294" customFormat="false" ht="15.75" hidden="false" customHeight="true" outlineLevel="0" collapsed="false">
      <c r="A294" s="135"/>
      <c r="B294" s="135"/>
      <c r="C294" s="135"/>
      <c r="D294" s="135"/>
      <c r="E294" s="135"/>
      <c r="F294" s="135"/>
      <c r="G294" s="189"/>
      <c r="H294" s="135"/>
      <c r="I294" s="135"/>
      <c r="J294" s="189"/>
      <c r="K294" s="135"/>
      <c r="L294" s="135"/>
      <c r="M294" s="189"/>
      <c r="N294" s="135"/>
      <c r="O294" s="135"/>
      <c r="P294" s="135"/>
      <c r="Q294" s="135"/>
      <c r="R294" s="135"/>
      <c r="S294" s="135"/>
    </row>
    <row r="295" customFormat="false" ht="15.75" hidden="false" customHeight="true" outlineLevel="0" collapsed="false">
      <c r="A295" s="135"/>
      <c r="B295" s="135"/>
      <c r="C295" s="135"/>
      <c r="D295" s="135"/>
      <c r="E295" s="135"/>
      <c r="F295" s="135"/>
      <c r="G295" s="189"/>
      <c r="H295" s="135"/>
      <c r="I295" s="135"/>
      <c r="J295" s="189"/>
      <c r="K295" s="135"/>
      <c r="L295" s="135"/>
      <c r="M295" s="189"/>
      <c r="N295" s="135"/>
      <c r="O295" s="135"/>
      <c r="P295" s="135"/>
      <c r="Q295" s="135"/>
      <c r="R295" s="135"/>
      <c r="S295" s="135"/>
    </row>
    <row r="296" customFormat="false" ht="15.75" hidden="false" customHeight="true" outlineLevel="0" collapsed="false">
      <c r="A296" s="135"/>
      <c r="B296" s="135"/>
      <c r="C296" s="135"/>
      <c r="D296" s="135"/>
      <c r="E296" s="135"/>
      <c r="F296" s="135"/>
      <c r="G296" s="189"/>
      <c r="H296" s="135"/>
      <c r="I296" s="135"/>
      <c r="J296" s="189"/>
      <c r="K296" s="135"/>
      <c r="L296" s="135"/>
      <c r="M296" s="189"/>
      <c r="N296" s="135"/>
      <c r="O296" s="135"/>
      <c r="P296" s="135"/>
      <c r="Q296" s="135"/>
      <c r="R296" s="135"/>
      <c r="S296" s="135"/>
    </row>
    <row r="297" customFormat="false" ht="15.75" hidden="false" customHeight="true" outlineLevel="0" collapsed="false">
      <c r="A297" s="135"/>
      <c r="B297" s="135"/>
      <c r="C297" s="135"/>
      <c r="D297" s="135"/>
      <c r="E297" s="135"/>
      <c r="F297" s="135"/>
      <c r="G297" s="189"/>
      <c r="H297" s="135"/>
      <c r="I297" s="135"/>
      <c r="J297" s="189"/>
      <c r="K297" s="135"/>
      <c r="L297" s="135"/>
      <c r="M297" s="189"/>
      <c r="N297" s="135"/>
      <c r="O297" s="135"/>
      <c r="P297" s="135"/>
      <c r="Q297" s="135"/>
      <c r="R297" s="135"/>
      <c r="S297" s="135"/>
    </row>
    <row r="298" customFormat="false" ht="15.75" hidden="false" customHeight="true" outlineLevel="0" collapsed="false">
      <c r="A298" s="135"/>
      <c r="B298" s="135"/>
      <c r="C298" s="135"/>
      <c r="D298" s="135"/>
      <c r="E298" s="135"/>
      <c r="F298" s="135"/>
      <c r="G298" s="189"/>
      <c r="H298" s="135"/>
      <c r="I298" s="135"/>
      <c r="J298" s="189"/>
      <c r="K298" s="135"/>
      <c r="L298" s="135"/>
      <c r="M298" s="189"/>
      <c r="N298" s="135"/>
      <c r="O298" s="135"/>
      <c r="P298" s="135"/>
      <c r="Q298" s="135"/>
      <c r="R298" s="135"/>
      <c r="S298" s="135"/>
    </row>
    <row r="299" customFormat="false" ht="15.75" hidden="false" customHeight="true" outlineLevel="0" collapsed="false">
      <c r="A299" s="135"/>
      <c r="B299" s="135"/>
      <c r="C299" s="135"/>
      <c r="D299" s="135"/>
      <c r="E299" s="135"/>
      <c r="F299" s="135"/>
      <c r="G299" s="189"/>
      <c r="H299" s="135"/>
      <c r="I299" s="135"/>
      <c r="J299" s="189"/>
      <c r="K299" s="135"/>
      <c r="L299" s="135"/>
      <c r="M299" s="189"/>
      <c r="N299" s="135"/>
      <c r="O299" s="135"/>
      <c r="P299" s="135"/>
      <c r="Q299" s="135"/>
      <c r="R299" s="135"/>
      <c r="S299" s="135"/>
    </row>
    <row r="300" customFormat="false" ht="15.75" hidden="false" customHeight="true" outlineLevel="0" collapsed="false">
      <c r="A300" s="135"/>
      <c r="B300" s="135"/>
      <c r="C300" s="135"/>
      <c r="D300" s="135"/>
      <c r="E300" s="135"/>
      <c r="F300" s="135"/>
      <c r="G300" s="189"/>
      <c r="H300" s="135"/>
      <c r="I300" s="135"/>
      <c r="J300" s="189"/>
      <c r="K300" s="135"/>
      <c r="L300" s="135"/>
      <c r="M300" s="189"/>
      <c r="N300" s="135"/>
      <c r="O300" s="135"/>
      <c r="P300" s="135"/>
      <c r="Q300" s="135"/>
      <c r="R300" s="135"/>
      <c r="S300" s="135"/>
    </row>
    <row r="301" customFormat="false" ht="15.75" hidden="false" customHeight="true" outlineLevel="0" collapsed="false">
      <c r="A301" s="135"/>
      <c r="B301" s="135"/>
      <c r="C301" s="135"/>
      <c r="D301" s="135"/>
      <c r="E301" s="135"/>
      <c r="F301" s="135"/>
      <c r="G301" s="189"/>
      <c r="H301" s="135"/>
      <c r="I301" s="135"/>
      <c r="J301" s="189"/>
      <c r="K301" s="135"/>
      <c r="L301" s="135"/>
      <c r="M301" s="189"/>
      <c r="N301" s="135"/>
      <c r="O301" s="135"/>
      <c r="P301" s="135"/>
      <c r="Q301" s="135"/>
      <c r="R301" s="135"/>
      <c r="S301" s="135"/>
    </row>
    <row r="302" customFormat="false" ht="15.75" hidden="false" customHeight="true" outlineLevel="0" collapsed="false">
      <c r="A302" s="135"/>
      <c r="B302" s="135"/>
      <c r="C302" s="135"/>
      <c r="D302" s="135"/>
      <c r="E302" s="135"/>
      <c r="F302" s="135"/>
      <c r="G302" s="189"/>
      <c r="H302" s="135"/>
      <c r="I302" s="135"/>
      <c r="J302" s="189"/>
      <c r="K302" s="135"/>
      <c r="L302" s="135"/>
      <c r="M302" s="189"/>
      <c r="N302" s="135"/>
      <c r="O302" s="135"/>
      <c r="P302" s="135"/>
      <c r="Q302" s="135"/>
      <c r="R302" s="135"/>
      <c r="S302" s="135"/>
    </row>
    <row r="303" customFormat="false" ht="15.75" hidden="false" customHeight="true" outlineLevel="0" collapsed="false">
      <c r="A303" s="135"/>
      <c r="B303" s="135"/>
      <c r="C303" s="135"/>
      <c r="D303" s="135"/>
      <c r="E303" s="135"/>
      <c r="F303" s="135"/>
      <c r="G303" s="189"/>
      <c r="H303" s="135"/>
      <c r="I303" s="135"/>
      <c r="J303" s="189"/>
      <c r="K303" s="135"/>
      <c r="L303" s="135"/>
      <c r="M303" s="189"/>
      <c r="N303" s="135"/>
      <c r="O303" s="135"/>
      <c r="P303" s="135"/>
      <c r="Q303" s="135"/>
      <c r="R303" s="135"/>
      <c r="S303" s="135"/>
    </row>
    <row r="304" customFormat="false" ht="15.75" hidden="false" customHeight="true" outlineLevel="0" collapsed="false">
      <c r="A304" s="135"/>
      <c r="B304" s="135"/>
      <c r="C304" s="135"/>
      <c r="D304" s="135"/>
      <c r="E304" s="135"/>
      <c r="F304" s="135"/>
      <c r="G304" s="189"/>
      <c r="H304" s="135"/>
      <c r="I304" s="135"/>
      <c r="J304" s="189"/>
      <c r="K304" s="135"/>
      <c r="L304" s="135"/>
      <c r="M304" s="189"/>
      <c r="N304" s="135"/>
      <c r="O304" s="135"/>
      <c r="P304" s="135"/>
      <c r="Q304" s="135"/>
      <c r="R304" s="135"/>
      <c r="S304" s="135"/>
    </row>
    <row r="305" customFormat="false" ht="15.75" hidden="false" customHeight="true" outlineLevel="0" collapsed="false">
      <c r="A305" s="135"/>
      <c r="B305" s="135"/>
      <c r="C305" s="135"/>
      <c r="D305" s="135"/>
      <c r="E305" s="135"/>
      <c r="F305" s="135"/>
      <c r="G305" s="189"/>
      <c r="H305" s="135"/>
      <c r="I305" s="135"/>
      <c r="J305" s="189"/>
      <c r="K305" s="135"/>
      <c r="L305" s="135"/>
      <c r="M305" s="189"/>
      <c r="N305" s="135"/>
      <c r="O305" s="135"/>
      <c r="P305" s="135"/>
      <c r="Q305" s="135"/>
      <c r="R305" s="135"/>
      <c r="S305" s="135"/>
    </row>
    <row r="306" customFormat="false" ht="15.75" hidden="false" customHeight="true" outlineLevel="0" collapsed="false">
      <c r="A306" s="135"/>
      <c r="B306" s="135"/>
      <c r="C306" s="135"/>
      <c r="D306" s="135"/>
      <c r="E306" s="135"/>
      <c r="F306" s="135"/>
      <c r="G306" s="189"/>
      <c r="H306" s="135"/>
      <c r="I306" s="135"/>
      <c r="J306" s="189"/>
      <c r="K306" s="135"/>
      <c r="L306" s="135"/>
      <c r="M306" s="189"/>
      <c r="N306" s="135"/>
      <c r="O306" s="135"/>
      <c r="P306" s="135"/>
      <c r="Q306" s="135"/>
      <c r="R306" s="135"/>
      <c r="S306" s="135"/>
    </row>
    <row r="307" customFormat="false" ht="15.75" hidden="false" customHeight="true" outlineLevel="0" collapsed="false">
      <c r="A307" s="135"/>
      <c r="B307" s="135"/>
      <c r="C307" s="135"/>
      <c r="D307" s="135"/>
      <c r="E307" s="135"/>
      <c r="F307" s="135"/>
      <c r="G307" s="189"/>
      <c r="H307" s="135"/>
      <c r="I307" s="135"/>
      <c r="J307" s="189"/>
      <c r="K307" s="135"/>
      <c r="L307" s="135"/>
      <c r="M307" s="189"/>
      <c r="N307" s="135"/>
      <c r="O307" s="135"/>
      <c r="P307" s="135"/>
      <c r="Q307" s="135"/>
      <c r="R307" s="135"/>
      <c r="S307" s="135"/>
    </row>
    <row r="308" customFormat="false" ht="15.75" hidden="false" customHeight="true" outlineLevel="0" collapsed="false">
      <c r="A308" s="135"/>
      <c r="B308" s="135"/>
      <c r="C308" s="135"/>
      <c r="D308" s="135"/>
      <c r="E308" s="135"/>
      <c r="F308" s="135"/>
      <c r="G308" s="189"/>
      <c r="H308" s="135"/>
      <c r="I308" s="135"/>
      <c r="J308" s="189"/>
      <c r="K308" s="135"/>
      <c r="L308" s="135"/>
      <c r="M308" s="189"/>
      <c r="N308" s="135"/>
      <c r="O308" s="135"/>
      <c r="P308" s="135"/>
      <c r="Q308" s="135"/>
      <c r="R308" s="135"/>
      <c r="S308" s="135"/>
    </row>
    <row r="309" customFormat="false" ht="15.75" hidden="false" customHeight="true" outlineLevel="0" collapsed="false">
      <c r="A309" s="135"/>
      <c r="B309" s="135"/>
      <c r="C309" s="135"/>
      <c r="D309" s="135"/>
      <c r="E309" s="135"/>
      <c r="F309" s="135"/>
      <c r="G309" s="189"/>
      <c r="H309" s="135"/>
      <c r="I309" s="135"/>
      <c r="J309" s="189"/>
      <c r="K309" s="135"/>
      <c r="L309" s="135"/>
      <c r="M309" s="189"/>
      <c r="N309" s="135"/>
      <c r="O309" s="135"/>
      <c r="P309" s="135"/>
      <c r="Q309" s="135"/>
      <c r="R309" s="135"/>
      <c r="S309" s="135"/>
    </row>
    <row r="310" customFormat="false" ht="15.75" hidden="false" customHeight="true" outlineLevel="0" collapsed="false">
      <c r="A310" s="135"/>
      <c r="B310" s="135"/>
      <c r="C310" s="135"/>
      <c r="D310" s="135"/>
      <c r="E310" s="135"/>
      <c r="F310" s="135"/>
      <c r="G310" s="189"/>
      <c r="H310" s="135"/>
      <c r="I310" s="135"/>
      <c r="J310" s="189"/>
      <c r="K310" s="135"/>
      <c r="L310" s="135"/>
      <c r="M310" s="189"/>
      <c r="N310" s="135"/>
      <c r="O310" s="135"/>
      <c r="P310" s="135"/>
      <c r="Q310" s="135"/>
      <c r="R310" s="135"/>
      <c r="S310" s="135"/>
    </row>
    <row r="311" customFormat="false" ht="15.75" hidden="false" customHeight="true" outlineLevel="0" collapsed="false">
      <c r="A311" s="135"/>
      <c r="B311" s="135"/>
      <c r="C311" s="135"/>
      <c r="D311" s="135"/>
      <c r="E311" s="135"/>
      <c r="F311" s="135"/>
      <c r="G311" s="189"/>
      <c r="H311" s="135"/>
      <c r="I311" s="135"/>
      <c r="J311" s="189"/>
      <c r="K311" s="135"/>
      <c r="L311" s="135"/>
      <c r="M311" s="189"/>
      <c r="N311" s="135"/>
      <c r="O311" s="135"/>
      <c r="P311" s="135"/>
      <c r="Q311" s="135"/>
      <c r="R311" s="135"/>
      <c r="S311" s="135"/>
    </row>
    <row r="312" customFormat="false" ht="15.75" hidden="false" customHeight="true" outlineLevel="0" collapsed="false">
      <c r="A312" s="135"/>
      <c r="B312" s="135"/>
      <c r="C312" s="135"/>
      <c r="D312" s="135"/>
      <c r="E312" s="135"/>
      <c r="F312" s="135"/>
      <c r="G312" s="189"/>
      <c r="H312" s="135"/>
      <c r="I312" s="135"/>
      <c r="J312" s="189"/>
      <c r="K312" s="135"/>
      <c r="L312" s="135"/>
      <c r="M312" s="189"/>
      <c r="N312" s="135"/>
      <c r="O312" s="135"/>
      <c r="P312" s="135"/>
      <c r="Q312" s="135"/>
      <c r="R312" s="135"/>
      <c r="S312" s="135"/>
    </row>
    <row r="313" customFormat="false" ht="15.75" hidden="false" customHeight="true" outlineLevel="0" collapsed="false">
      <c r="A313" s="135"/>
      <c r="B313" s="135"/>
      <c r="C313" s="135"/>
      <c r="D313" s="135"/>
      <c r="E313" s="135"/>
      <c r="F313" s="135"/>
      <c r="G313" s="189"/>
      <c r="H313" s="135"/>
      <c r="I313" s="135"/>
      <c r="J313" s="189"/>
      <c r="K313" s="135"/>
      <c r="L313" s="135"/>
      <c r="M313" s="189"/>
      <c r="N313" s="135"/>
      <c r="O313" s="135"/>
      <c r="P313" s="135"/>
      <c r="Q313" s="135"/>
      <c r="R313" s="135"/>
      <c r="S313" s="135"/>
    </row>
    <row r="314" customFormat="false" ht="15.75" hidden="false" customHeight="true" outlineLevel="0" collapsed="false">
      <c r="A314" s="135"/>
      <c r="B314" s="135"/>
      <c r="C314" s="135"/>
      <c r="D314" s="135"/>
      <c r="E314" s="135"/>
      <c r="F314" s="135"/>
      <c r="G314" s="189"/>
      <c r="H314" s="135"/>
      <c r="I314" s="135"/>
      <c r="J314" s="189"/>
      <c r="K314" s="135"/>
      <c r="L314" s="135"/>
      <c r="M314" s="189"/>
      <c r="N314" s="135"/>
      <c r="O314" s="135"/>
      <c r="P314" s="135"/>
      <c r="Q314" s="135"/>
      <c r="R314" s="135"/>
      <c r="S314" s="135"/>
    </row>
    <row r="315" customFormat="false" ht="15.75" hidden="false" customHeight="true" outlineLevel="0" collapsed="false">
      <c r="A315" s="135"/>
      <c r="B315" s="135"/>
      <c r="C315" s="135"/>
      <c r="D315" s="135"/>
      <c r="E315" s="135"/>
      <c r="F315" s="135"/>
      <c r="G315" s="189"/>
      <c r="H315" s="135"/>
      <c r="I315" s="135"/>
      <c r="J315" s="189"/>
      <c r="K315" s="135"/>
      <c r="L315" s="135"/>
      <c r="M315" s="189"/>
      <c r="N315" s="135"/>
      <c r="O315" s="135"/>
      <c r="P315" s="135"/>
      <c r="Q315" s="135"/>
      <c r="R315" s="135"/>
      <c r="S315" s="135"/>
    </row>
    <row r="316" customFormat="false" ht="15.75" hidden="false" customHeight="true" outlineLevel="0" collapsed="false">
      <c r="A316" s="135"/>
      <c r="B316" s="135"/>
      <c r="C316" s="135"/>
      <c r="D316" s="135"/>
      <c r="E316" s="135"/>
      <c r="F316" s="135"/>
      <c r="G316" s="189"/>
      <c r="H316" s="135"/>
      <c r="I316" s="135"/>
      <c r="J316" s="189"/>
      <c r="K316" s="135"/>
      <c r="L316" s="135"/>
      <c r="M316" s="189"/>
      <c r="N316" s="135"/>
      <c r="O316" s="135"/>
      <c r="P316" s="135"/>
      <c r="Q316" s="135"/>
      <c r="R316" s="135"/>
      <c r="S316" s="135"/>
    </row>
    <row r="317" customFormat="false" ht="15.75" hidden="false" customHeight="true" outlineLevel="0" collapsed="false">
      <c r="A317" s="135"/>
      <c r="B317" s="135"/>
      <c r="C317" s="135"/>
      <c r="D317" s="135"/>
      <c r="E317" s="135"/>
      <c r="F317" s="135"/>
      <c r="G317" s="189"/>
      <c r="H317" s="135"/>
      <c r="I317" s="135"/>
      <c r="J317" s="189"/>
      <c r="K317" s="135"/>
      <c r="L317" s="135"/>
      <c r="M317" s="189"/>
      <c r="N317" s="135"/>
      <c r="O317" s="135"/>
      <c r="P317" s="135"/>
      <c r="Q317" s="135"/>
      <c r="R317" s="135"/>
      <c r="S317" s="135"/>
    </row>
    <row r="318" customFormat="false" ht="15.75" hidden="false" customHeight="true" outlineLevel="0" collapsed="false">
      <c r="A318" s="135"/>
      <c r="B318" s="135"/>
      <c r="C318" s="135"/>
      <c r="D318" s="135"/>
      <c r="E318" s="135"/>
      <c r="F318" s="135"/>
      <c r="G318" s="189"/>
      <c r="H318" s="135"/>
      <c r="I318" s="135"/>
      <c r="J318" s="189"/>
      <c r="K318" s="135"/>
      <c r="L318" s="135"/>
      <c r="M318" s="189"/>
      <c r="N318" s="135"/>
      <c r="O318" s="135"/>
      <c r="P318" s="135"/>
      <c r="Q318" s="135"/>
      <c r="R318" s="135"/>
      <c r="S318" s="135"/>
    </row>
    <row r="319" customFormat="false" ht="15.75" hidden="false" customHeight="true" outlineLevel="0" collapsed="false">
      <c r="A319" s="135"/>
      <c r="B319" s="135"/>
      <c r="C319" s="135"/>
      <c r="D319" s="135"/>
      <c r="E319" s="135"/>
      <c r="F319" s="135"/>
      <c r="G319" s="189"/>
      <c r="H319" s="135"/>
      <c r="I319" s="135"/>
      <c r="J319" s="189"/>
      <c r="K319" s="135"/>
      <c r="L319" s="135"/>
      <c r="M319" s="189"/>
      <c r="N319" s="135"/>
      <c r="O319" s="135"/>
      <c r="P319" s="135"/>
      <c r="Q319" s="135"/>
      <c r="R319" s="135"/>
      <c r="S319" s="135"/>
    </row>
    <row r="320" customFormat="false" ht="15.75" hidden="false" customHeight="true" outlineLevel="0" collapsed="false">
      <c r="A320" s="135"/>
      <c r="B320" s="135"/>
      <c r="C320" s="135"/>
      <c r="D320" s="135"/>
      <c r="E320" s="135"/>
      <c r="F320" s="135"/>
      <c r="G320" s="189"/>
      <c r="H320" s="135"/>
      <c r="I320" s="135"/>
      <c r="J320" s="189"/>
      <c r="K320" s="135"/>
      <c r="L320" s="135"/>
      <c r="M320" s="189"/>
      <c r="N320" s="135"/>
      <c r="O320" s="135"/>
      <c r="P320" s="135"/>
      <c r="Q320" s="135"/>
      <c r="R320" s="135"/>
      <c r="S320" s="135"/>
    </row>
    <row r="321" customFormat="false" ht="15.75" hidden="false" customHeight="true" outlineLevel="0" collapsed="false">
      <c r="A321" s="135"/>
      <c r="B321" s="135"/>
      <c r="C321" s="135"/>
      <c r="D321" s="135"/>
      <c r="E321" s="135"/>
      <c r="F321" s="135"/>
      <c r="G321" s="189"/>
      <c r="H321" s="135"/>
      <c r="I321" s="135"/>
      <c r="J321" s="189"/>
      <c r="K321" s="135"/>
      <c r="L321" s="135"/>
      <c r="M321" s="189"/>
      <c r="N321" s="135"/>
      <c r="O321" s="135"/>
      <c r="P321" s="135"/>
      <c r="Q321" s="135"/>
      <c r="R321" s="135"/>
      <c r="S321" s="135"/>
    </row>
    <row r="322" customFormat="false" ht="15.75" hidden="false" customHeight="true" outlineLevel="0" collapsed="false">
      <c r="A322" s="135"/>
      <c r="B322" s="135"/>
      <c r="C322" s="135"/>
      <c r="D322" s="135"/>
      <c r="E322" s="135"/>
      <c r="F322" s="135"/>
      <c r="G322" s="189"/>
      <c r="H322" s="135"/>
      <c r="I322" s="135"/>
      <c r="J322" s="189"/>
      <c r="K322" s="135"/>
      <c r="L322" s="135"/>
      <c r="M322" s="189"/>
      <c r="N322" s="135"/>
      <c r="O322" s="135"/>
      <c r="P322" s="135"/>
      <c r="Q322" s="135"/>
      <c r="R322" s="135"/>
      <c r="S322" s="135"/>
    </row>
    <row r="323" customFormat="false" ht="15.75" hidden="false" customHeight="true" outlineLevel="0" collapsed="false">
      <c r="A323" s="135"/>
      <c r="B323" s="135"/>
      <c r="C323" s="135"/>
      <c r="D323" s="135"/>
      <c r="E323" s="135"/>
      <c r="F323" s="135"/>
      <c r="G323" s="189"/>
      <c r="H323" s="135"/>
      <c r="I323" s="135"/>
      <c r="J323" s="189"/>
      <c r="K323" s="135"/>
      <c r="L323" s="135"/>
      <c r="M323" s="189"/>
      <c r="N323" s="135"/>
      <c r="O323" s="135"/>
      <c r="P323" s="135"/>
      <c r="Q323" s="135"/>
      <c r="R323" s="135"/>
      <c r="S323" s="135"/>
    </row>
    <row r="324" customFormat="false" ht="15.75" hidden="false" customHeight="true" outlineLevel="0" collapsed="false">
      <c r="A324" s="135"/>
      <c r="B324" s="135"/>
      <c r="C324" s="135"/>
      <c r="D324" s="135"/>
      <c r="E324" s="135"/>
      <c r="F324" s="135"/>
      <c r="G324" s="189"/>
      <c r="H324" s="135"/>
      <c r="I324" s="135"/>
      <c r="J324" s="189"/>
      <c r="K324" s="135"/>
      <c r="L324" s="135"/>
      <c r="M324" s="189"/>
      <c r="N324" s="135"/>
      <c r="O324" s="135"/>
      <c r="P324" s="135"/>
      <c r="Q324" s="135"/>
      <c r="R324" s="135"/>
      <c r="S324" s="135"/>
    </row>
    <row r="325" customFormat="false" ht="15.75" hidden="false" customHeight="true" outlineLevel="0" collapsed="false">
      <c r="A325" s="135"/>
      <c r="B325" s="135"/>
      <c r="C325" s="135"/>
      <c r="D325" s="135"/>
      <c r="E325" s="135"/>
      <c r="F325" s="135"/>
      <c r="G325" s="189"/>
      <c r="H325" s="135"/>
      <c r="I325" s="135"/>
      <c r="J325" s="189"/>
      <c r="K325" s="135"/>
      <c r="L325" s="135"/>
      <c r="M325" s="189"/>
      <c r="N325" s="135"/>
      <c r="O325" s="135"/>
      <c r="P325" s="135"/>
      <c r="Q325" s="135"/>
      <c r="R325" s="135"/>
      <c r="S325" s="135"/>
    </row>
    <row r="326" customFormat="false" ht="15.75" hidden="false" customHeight="true" outlineLevel="0" collapsed="false">
      <c r="A326" s="135"/>
      <c r="B326" s="135"/>
      <c r="C326" s="135"/>
      <c r="D326" s="135"/>
      <c r="E326" s="135"/>
      <c r="F326" s="135"/>
      <c r="G326" s="189"/>
      <c r="H326" s="135"/>
      <c r="I326" s="135"/>
      <c r="J326" s="189"/>
      <c r="K326" s="135"/>
      <c r="L326" s="135"/>
      <c r="M326" s="189"/>
      <c r="N326" s="135"/>
      <c r="O326" s="135"/>
      <c r="P326" s="135"/>
      <c r="Q326" s="135"/>
      <c r="R326" s="135"/>
      <c r="S326" s="135"/>
    </row>
    <row r="327" customFormat="false" ht="15.75" hidden="false" customHeight="true" outlineLevel="0" collapsed="false">
      <c r="A327" s="135"/>
      <c r="B327" s="135"/>
      <c r="C327" s="135"/>
      <c r="D327" s="135"/>
      <c r="E327" s="135"/>
      <c r="F327" s="135"/>
      <c r="G327" s="189"/>
      <c r="H327" s="135"/>
      <c r="I327" s="135"/>
      <c r="J327" s="189"/>
      <c r="K327" s="135"/>
      <c r="L327" s="135"/>
      <c r="M327" s="189"/>
      <c r="N327" s="135"/>
      <c r="O327" s="135"/>
      <c r="P327" s="135"/>
      <c r="Q327" s="135"/>
      <c r="R327" s="135"/>
      <c r="S327" s="135"/>
    </row>
    <row r="328" customFormat="false" ht="15.75" hidden="false" customHeight="true" outlineLevel="0" collapsed="false">
      <c r="A328" s="135"/>
      <c r="B328" s="135"/>
      <c r="C328" s="135"/>
      <c r="D328" s="135"/>
      <c r="E328" s="135"/>
      <c r="F328" s="135"/>
      <c r="G328" s="189"/>
      <c r="H328" s="135"/>
      <c r="I328" s="135"/>
      <c r="J328" s="189"/>
      <c r="K328" s="135"/>
      <c r="L328" s="135"/>
      <c r="M328" s="189"/>
      <c r="N328" s="135"/>
      <c r="O328" s="135"/>
      <c r="P328" s="135"/>
      <c r="Q328" s="135"/>
      <c r="R328" s="135"/>
      <c r="S328" s="135"/>
    </row>
    <row r="329" customFormat="false" ht="15.75" hidden="false" customHeight="true" outlineLevel="0" collapsed="false">
      <c r="A329" s="135"/>
      <c r="B329" s="135"/>
      <c r="C329" s="135"/>
      <c r="D329" s="135"/>
      <c r="E329" s="135"/>
      <c r="F329" s="135"/>
      <c r="G329" s="189"/>
      <c r="H329" s="135"/>
      <c r="I329" s="135"/>
      <c r="J329" s="189"/>
      <c r="K329" s="135"/>
      <c r="L329" s="135"/>
      <c r="M329" s="189"/>
      <c r="N329" s="135"/>
      <c r="O329" s="135"/>
      <c r="P329" s="135"/>
      <c r="Q329" s="135"/>
      <c r="R329" s="135"/>
      <c r="S329" s="135"/>
    </row>
    <row r="330" customFormat="false" ht="15.75" hidden="false" customHeight="true" outlineLevel="0" collapsed="false">
      <c r="A330" s="135"/>
      <c r="B330" s="135"/>
      <c r="C330" s="135"/>
      <c r="D330" s="135"/>
      <c r="E330" s="135"/>
      <c r="F330" s="135"/>
      <c r="G330" s="189"/>
      <c r="H330" s="135"/>
      <c r="I330" s="135"/>
      <c r="J330" s="189"/>
      <c r="K330" s="135"/>
      <c r="L330" s="135"/>
      <c r="M330" s="189"/>
      <c r="N330" s="135"/>
      <c r="O330" s="135"/>
      <c r="P330" s="135"/>
      <c r="Q330" s="135"/>
      <c r="R330" s="135"/>
      <c r="S330" s="135"/>
    </row>
    <row r="331" customFormat="false" ht="15.75" hidden="false" customHeight="true" outlineLevel="0" collapsed="false">
      <c r="A331" s="135"/>
      <c r="B331" s="135"/>
      <c r="C331" s="135"/>
      <c r="D331" s="135"/>
      <c r="E331" s="135"/>
      <c r="F331" s="135"/>
      <c r="G331" s="189"/>
      <c r="H331" s="135"/>
      <c r="I331" s="135"/>
      <c r="J331" s="189"/>
      <c r="K331" s="135"/>
      <c r="L331" s="135"/>
      <c r="M331" s="189"/>
      <c r="N331" s="135"/>
      <c r="O331" s="135"/>
      <c r="P331" s="135"/>
      <c r="Q331" s="135"/>
      <c r="R331" s="135"/>
      <c r="S331" s="135"/>
    </row>
    <row r="332" customFormat="false" ht="15.75" hidden="false" customHeight="true" outlineLevel="0" collapsed="false">
      <c r="A332" s="135"/>
      <c r="B332" s="135"/>
      <c r="C332" s="135"/>
      <c r="D332" s="135"/>
      <c r="E332" s="135"/>
      <c r="F332" s="135"/>
      <c r="G332" s="189"/>
      <c r="H332" s="135"/>
      <c r="I332" s="135"/>
      <c r="J332" s="189"/>
      <c r="K332" s="135"/>
      <c r="L332" s="135"/>
      <c r="M332" s="189"/>
      <c r="N332" s="135"/>
      <c r="O332" s="135"/>
      <c r="P332" s="135"/>
      <c r="Q332" s="135"/>
      <c r="R332" s="135"/>
      <c r="S332" s="135"/>
    </row>
    <row r="333" customFormat="false" ht="15.75" hidden="false" customHeight="true" outlineLevel="0" collapsed="false">
      <c r="A333" s="135"/>
      <c r="B333" s="135"/>
      <c r="C333" s="135"/>
      <c r="D333" s="135"/>
      <c r="E333" s="135"/>
      <c r="F333" s="135"/>
      <c r="G333" s="189"/>
      <c r="H333" s="135"/>
      <c r="I333" s="135"/>
      <c r="J333" s="189"/>
      <c r="K333" s="135"/>
      <c r="L333" s="135"/>
      <c r="M333" s="189"/>
      <c r="N333" s="135"/>
      <c r="O333" s="135"/>
      <c r="P333" s="135"/>
      <c r="Q333" s="135"/>
      <c r="R333" s="135"/>
      <c r="S333" s="135"/>
    </row>
    <row r="334" customFormat="false" ht="15.75" hidden="false" customHeight="true" outlineLevel="0" collapsed="false">
      <c r="A334" s="135"/>
      <c r="B334" s="135"/>
      <c r="C334" s="135"/>
      <c r="D334" s="135"/>
      <c r="E334" s="135"/>
      <c r="F334" s="135"/>
      <c r="G334" s="189"/>
      <c r="H334" s="135"/>
      <c r="I334" s="135"/>
      <c r="J334" s="189"/>
      <c r="K334" s="135"/>
      <c r="L334" s="135"/>
      <c r="M334" s="189"/>
      <c r="N334" s="135"/>
      <c r="O334" s="135"/>
      <c r="P334" s="135"/>
      <c r="Q334" s="135"/>
      <c r="R334" s="135"/>
      <c r="S334" s="135"/>
    </row>
    <row r="335" customFormat="false" ht="15.75" hidden="false" customHeight="true" outlineLevel="0" collapsed="false">
      <c r="A335" s="135"/>
      <c r="B335" s="135"/>
      <c r="C335" s="135"/>
      <c r="D335" s="135"/>
      <c r="E335" s="135"/>
      <c r="F335" s="135"/>
      <c r="G335" s="189"/>
      <c r="H335" s="135"/>
      <c r="I335" s="135"/>
      <c r="J335" s="189"/>
      <c r="K335" s="135"/>
      <c r="L335" s="135"/>
      <c r="M335" s="189"/>
      <c r="N335" s="135"/>
      <c r="O335" s="135"/>
      <c r="P335" s="135"/>
      <c r="Q335" s="135"/>
      <c r="R335" s="135"/>
      <c r="S335" s="135"/>
    </row>
    <row r="336" customFormat="false" ht="15.75" hidden="false" customHeight="true" outlineLevel="0" collapsed="false">
      <c r="A336" s="135"/>
      <c r="B336" s="135"/>
      <c r="C336" s="135"/>
      <c r="D336" s="135"/>
      <c r="E336" s="135"/>
      <c r="F336" s="135"/>
      <c r="G336" s="189"/>
      <c r="H336" s="135"/>
      <c r="I336" s="135"/>
      <c r="J336" s="189"/>
      <c r="K336" s="135"/>
      <c r="L336" s="135"/>
      <c r="M336" s="189"/>
      <c r="N336" s="135"/>
      <c r="O336" s="135"/>
      <c r="P336" s="135"/>
      <c r="Q336" s="135"/>
      <c r="R336" s="135"/>
      <c r="S336" s="135"/>
    </row>
    <row r="337" customFormat="false" ht="15.75" hidden="false" customHeight="true" outlineLevel="0" collapsed="false">
      <c r="A337" s="135"/>
      <c r="B337" s="135"/>
      <c r="C337" s="135"/>
      <c r="D337" s="135"/>
      <c r="E337" s="135"/>
      <c r="F337" s="135"/>
      <c r="G337" s="189"/>
      <c r="H337" s="135"/>
      <c r="I337" s="135"/>
      <c r="J337" s="189"/>
      <c r="K337" s="135"/>
      <c r="L337" s="135"/>
      <c r="M337" s="189"/>
      <c r="N337" s="135"/>
      <c r="O337" s="135"/>
      <c r="P337" s="135"/>
      <c r="Q337" s="135"/>
      <c r="R337" s="135"/>
      <c r="S337" s="135"/>
    </row>
    <row r="338" customFormat="false" ht="15.75" hidden="false" customHeight="true" outlineLevel="0" collapsed="false">
      <c r="A338" s="135"/>
      <c r="B338" s="135"/>
      <c r="C338" s="135"/>
      <c r="D338" s="135"/>
      <c r="E338" s="135"/>
      <c r="F338" s="135"/>
      <c r="G338" s="189"/>
      <c r="H338" s="135"/>
      <c r="I338" s="135"/>
      <c r="J338" s="189"/>
      <c r="K338" s="135"/>
      <c r="L338" s="135"/>
      <c r="M338" s="189"/>
      <c r="N338" s="135"/>
      <c r="O338" s="135"/>
      <c r="P338" s="135"/>
      <c r="Q338" s="135"/>
      <c r="R338" s="135"/>
      <c r="S338" s="135"/>
    </row>
    <row r="339" customFormat="false" ht="15.75" hidden="false" customHeight="true" outlineLevel="0" collapsed="false">
      <c r="A339" s="135"/>
      <c r="B339" s="135"/>
      <c r="C339" s="135"/>
      <c r="D339" s="135"/>
      <c r="E339" s="135"/>
      <c r="F339" s="135"/>
      <c r="G339" s="189"/>
      <c r="H339" s="135"/>
      <c r="I339" s="135"/>
      <c r="J339" s="189"/>
      <c r="K339" s="135"/>
      <c r="L339" s="135"/>
      <c r="M339" s="189"/>
      <c r="N339" s="135"/>
      <c r="O339" s="135"/>
      <c r="P339" s="135"/>
      <c r="Q339" s="135"/>
      <c r="R339" s="135"/>
      <c r="S339" s="135"/>
    </row>
    <row r="340" customFormat="false" ht="15.75" hidden="false" customHeight="true" outlineLevel="0" collapsed="false">
      <c r="A340" s="135"/>
      <c r="B340" s="135"/>
      <c r="C340" s="135"/>
      <c r="D340" s="135"/>
      <c r="E340" s="135"/>
      <c r="F340" s="135"/>
      <c r="G340" s="189"/>
      <c r="H340" s="135"/>
      <c r="I340" s="135"/>
      <c r="J340" s="189"/>
      <c r="K340" s="135"/>
      <c r="L340" s="135"/>
      <c r="M340" s="189"/>
      <c r="N340" s="135"/>
      <c r="O340" s="135"/>
      <c r="P340" s="135"/>
      <c r="Q340" s="135"/>
      <c r="R340" s="135"/>
      <c r="S340" s="135"/>
    </row>
    <row r="341" customFormat="false" ht="15.75" hidden="false" customHeight="true" outlineLevel="0" collapsed="false">
      <c r="A341" s="135"/>
      <c r="B341" s="135"/>
      <c r="C341" s="135"/>
      <c r="D341" s="135"/>
      <c r="E341" s="135"/>
      <c r="F341" s="135"/>
      <c r="G341" s="189"/>
      <c r="H341" s="135"/>
      <c r="I341" s="135"/>
      <c r="J341" s="189"/>
      <c r="K341" s="135"/>
      <c r="L341" s="135"/>
      <c r="M341" s="189"/>
      <c r="N341" s="135"/>
      <c r="O341" s="135"/>
      <c r="P341" s="135"/>
      <c r="Q341" s="135"/>
      <c r="R341" s="135"/>
      <c r="S341" s="135"/>
    </row>
    <row r="342" customFormat="false" ht="15.75" hidden="false" customHeight="true" outlineLevel="0" collapsed="false">
      <c r="A342" s="135"/>
      <c r="B342" s="135"/>
      <c r="C342" s="135"/>
      <c r="D342" s="135"/>
      <c r="E342" s="135"/>
      <c r="F342" s="135"/>
      <c r="G342" s="189"/>
      <c r="H342" s="135"/>
      <c r="I342" s="135"/>
      <c r="J342" s="189"/>
      <c r="K342" s="135"/>
      <c r="L342" s="135"/>
      <c r="M342" s="189"/>
      <c r="N342" s="135"/>
      <c r="O342" s="135"/>
      <c r="P342" s="135"/>
      <c r="Q342" s="135"/>
      <c r="R342" s="135"/>
      <c r="S342" s="135"/>
    </row>
    <row r="343" customFormat="false" ht="15.75" hidden="false" customHeight="true" outlineLevel="0" collapsed="false">
      <c r="A343" s="135"/>
      <c r="B343" s="135"/>
      <c r="C343" s="135"/>
      <c r="D343" s="135"/>
      <c r="E343" s="135"/>
      <c r="F343" s="135"/>
      <c r="G343" s="189"/>
      <c r="H343" s="135"/>
      <c r="I343" s="135"/>
      <c r="J343" s="189"/>
      <c r="K343" s="135"/>
      <c r="L343" s="135"/>
      <c r="M343" s="189"/>
      <c r="N343" s="135"/>
      <c r="O343" s="135"/>
      <c r="P343" s="135"/>
      <c r="Q343" s="135"/>
      <c r="R343" s="135"/>
      <c r="S343" s="135"/>
    </row>
    <row r="344" customFormat="false" ht="15.75" hidden="false" customHeight="true" outlineLevel="0" collapsed="false">
      <c r="A344" s="135"/>
      <c r="B344" s="135"/>
      <c r="C344" s="135"/>
      <c r="D344" s="135"/>
      <c r="E344" s="135"/>
      <c r="F344" s="135"/>
      <c r="G344" s="189"/>
      <c r="H344" s="135"/>
      <c r="I344" s="135"/>
      <c r="J344" s="189"/>
      <c r="K344" s="135"/>
      <c r="L344" s="135"/>
      <c r="M344" s="189"/>
      <c r="N344" s="135"/>
      <c r="O344" s="135"/>
      <c r="P344" s="135"/>
      <c r="Q344" s="135"/>
      <c r="R344" s="135"/>
      <c r="S344" s="135"/>
    </row>
    <row r="345" customFormat="false" ht="15.75" hidden="false" customHeight="true" outlineLevel="0" collapsed="false">
      <c r="A345" s="135"/>
      <c r="B345" s="135"/>
      <c r="C345" s="135"/>
      <c r="D345" s="135"/>
      <c r="E345" s="135"/>
      <c r="F345" s="135"/>
      <c r="G345" s="189"/>
      <c r="H345" s="135"/>
      <c r="I345" s="135"/>
      <c r="J345" s="189"/>
      <c r="K345" s="135"/>
      <c r="L345" s="135"/>
      <c r="M345" s="189"/>
      <c r="N345" s="135"/>
      <c r="O345" s="135"/>
      <c r="P345" s="135"/>
      <c r="Q345" s="135"/>
      <c r="R345" s="135"/>
      <c r="S345" s="135"/>
    </row>
    <row r="346" customFormat="false" ht="15.75" hidden="false" customHeight="true" outlineLevel="0" collapsed="false">
      <c r="A346" s="135"/>
      <c r="B346" s="135"/>
      <c r="C346" s="135"/>
      <c r="D346" s="135"/>
      <c r="E346" s="135"/>
      <c r="F346" s="135"/>
      <c r="G346" s="189"/>
      <c r="H346" s="135"/>
      <c r="I346" s="135"/>
      <c r="J346" s="189"/>
      <c r="K346" s="135"/>
      <c r="L346" s="135"/>
      <c r="M346" s="189"/>
      <c r="N346" s="135"/>
      <c r="O346" s="135"/>
      <c r="P346" s="135"/>
      <c r="Q346" s="135"/>
      <c r="R346" s="135"/>
      <c r="S346" s="135"/>
    </row>
    <row r="347" customFormat="false" ht="15.75" hidden="false" customHeight="true" outlineLevel="0" collapsed="false">
      <c r="A347" s="135"/>
      <c r="B347" s="135"/>
      <c r="C347" s="135"/>
      <c r="D347" s="135"/>
      <c r="E347" s="135"/>
      <c r="F347" s="135"/>
      <c r="G347" s="189"/>
      <c r="H347" s="135"/>
      <c r="I347" s="135"/>
      <c r="J347" s="189"/>
      <c r="K347" s="135"/>
      <c r="L347" s="135"/>
      <c r="M347" s="189"/>
      <c r="N347" s="135"/>
      <c r="O347" s="135"/>
      <c r="P347" s="135"/>
      <c r="Q347" s="135"/>
      <c r="R347" s="135"/>
      <c r="S347" s="135"/>
    </row>
    <row r="348" customFormat="false" ht="15.75" hidden="false" customHeight="true" outlineLevel="0" collapsed="false">
      <c r="A348" s="135"/>
      <c r="B348" s="135"/>
      <c r="C348" s="135"/>
      <c r="D348" s="135"/>
      <c r="E348" s="135"/>
      <c r="F348" s="135"/>
      <c r="G348" s="189"/>
      <c r="H348" s="135"/>
      <c r="I348" s="135"/>
      <c r="J348" s="189"/>
      <c r="K348" s="135"/>
      <c r="L348" s="135"/>
      <c r="M348" s="189"/>
      <c r="N348" s="135"/>
      <c r="O348" s="135"/>
      <c r="P348" s="135"/>
      <c r="Q348" s="135"/>
      <c r="R348" s="135"/>
      <c r="S348" s="135"/>
    </row>
    <row r="349" customFormat="false" ht="15.75" hidden="false" customHeight="true" outlineLevel="0" collapsed="false">
      <c r="A349" s="135"/>
      <c r="B349" s="135"/>
      <c r="C349" s="135"/>
      <c r="D349" s="135"/>
      <c r="E349" s="135"/>
      <c r="F349" s="135"/>
      <c r="G349" s="189"/>
      <c r="H349" s="135"/>
      <c r="I349" s="135"/>
      <c r="J349" s="189"/>
      <c r="K349" s="135"/>
      <c r="L349" s="135"/>
      <c r="M349" s="189"/>
      <c r="N349" s="135"/>
      <c r="O349" s="135"/>
      <c r="P349" s="135"/>
      <c r="Q349" s="135"/>
      <c r="R349" s="135"/>
      <c r="S349" s="135"/>
    </row>
    <row r="350" customFormat="false" ht="15.75" hidden="false" customHeight="true" outlineLevel="0" collapsed="false">
      <c r="A350" s="135"/>
      <c r="B350" s="135"/>
      <c r="C350" s="135"/>
      <c r="D350" s="135"/>
      <c r="E350" s="135"/>
      <c r="F350" s="135"/>
      <c r="G350" s="189"/>
      <c r="H350" s="135"/>
      <c r="I350" s="135"/>
      <c r="J350" s="189"/>
      <c r="K350" s="135"/>
      <c r="L350" s="135"/>
      <c r="M350" s="189"/>
      <c r="N350" s="135"/>
      <c r="O350" s="135"/>
      <c r="P350" s="135"/>
      <c r="Q350" s="135"/>
      <c r="R350" s="135"/>
      <c r="S350" s="135"/>
    </row>
    <row r="351" customFormat="false" ht="15.75" hidden="false" customHeight="true" outlineLevel="0" collapsed="false">
      <c r="A351" s="135"/>
      <c r="B351" s="135"/>
      <c r="C351" s="135"/>
      <c r="D351" s="135"/>
      <c r="E351" s="135"/>
      <c r="F351" s="135"/>
      <c r="G351" s="189"/>
      <c r="H351" s="135"/>
      <c r="I351" s="135"/>
      <c r="J351" s="189"/>
      <c r="K351" s="135"/>
      <c r="L351" s="135"/>
      <c r="M351" s="189"/>
      <c r="N351" s="135"/>
      <c r="O351" s="135"/>
      <c r="P351" s="135"/>
      <c r="Q351" s="135"/>
      <c r="R351" s="135"/>
      <c r="S351" s="135"/>
    </row>
    <row r="352" customFormat="false" ht="15.75" hidden="false" customHeight="true" outlineLevel="0" collapsed="false">
      <c r="A352" s="135"/>
      <c r="B352" s="135"/>
      <c r="C352" s="135"/>
      <c r="D352" s="135"/>
      <c r="E352" s="135"/>
      <c r="F352" s="135"/>
      <c r="G352" s="189"/>
      <c r="H352" s="135"/>
      <c r="I352" s="135"/>
      <c r="J352" s="189"/>
      <c r="K352" s="135"/>
      <c r="L352" s="135"/>
      <c r="M352" s="189"/>
      <c r="N352" s="135"/>
      <c r="O352" s="135"/>
      <c r="P352" s="135"/>
      <c r="Q352" s="135"/>
      <c r="R352" s="135"/>
      <c r="S352" s="135"/>
    </row>
    <row r="353" customFormat="false" ht="15.75" hidden="false" customHeight="true" outlineLevel="0" collapsed="false">
      <c r="A353" s="135"/>
      <c r="B353" s="135"/>
      <c r="C353" s="135"/>
      <c r="D353" s="135"/>
      <c r="E353" s="135"/>
      <c r="F353" s="135"/>
      <c r="G353" s="189"/>
      <c r="H353" s="135"/>
      <c r="I353" s="135"/>
      <c r="J353" s="189"/>
      <c r="K353" s="135"/>
      <c r="L353" s="135"/>
      <c r="M353" s="189"/>
      <c r="N353" s="135"/>
      <c r="O353" s="135"/>
      <c r="P353" s="135"/>
      <c r="Q353" s="135"/>
      <c r="R353" s="135"/>
      <c r="S353" s="135"/>
    </row>
    <row r="354" customFormat="false" ht="15.75" hidden="false" customHeight="true" outlineLevel="0" collapsed="false">
      <c r="A354" s="135"/>
      <c r="B354" s="135"/>
      <c r="C354" s="135"/>
      <c r="D354" s="135"/>
      <c r="E354" s="135"/>
      <c r="F354" s="135"/>
      <c r="G354" s="189"/>
      <c r="H354" s="135"/>
      <c r="I354" s="135"/>
      <c r="J354" s="189"/>
      <c r="K354" s="135"/>
      <c r="L354" s="135"/>
      <c r="M354" s="189"/>
      <c r="N354" s="135"/>
      <c r="O354" s="135"/>
      <c r="P354" s="135"/>
      <c r="Q354" s="135"/>
      <c r="R354" s="135"/>
      <c r="S354" s="135"/>
    </row>
    <row r="355" customFormat="false" ht="15.75" hidden="false" customHeight="true" outlineLevel="0" collapsed="false">
      <c r="A355" s="135"/>
      <c r="B355" s="135"/>
      <c r="C355" s="135"/>
      <c r="D355" s="135"/>
      <c r="E355" s="135"/>
      <c r="F355" s="135"/>
      <c r="G355" s="189"/>
      <c r="H355" s="135"/>
      <c r="I355" s="135"/>
      <c r="J355" s="189"/>
      <c r="K355" s="135"/>
      <c r="L355" s="135"/>
      <c r="M355" s="189"/>
      <c r="N355" s="135"/>
      <c r="O355" s="135"/>
      <c r="P355" s="135"/>
      <c r="Q355" s="135"/>
      <c r="R355" s="135"/>
      <c r="S355" s="135"/>
    </row>
    <row r="356" customFormat="false" ht="15.75" hidden="false" customHeight="true" outlineLevel="0" collapsed="false">
      <c r="A356" s="135"/>
      <c r="B356" s="135"/>
      <c r="C356" s="135"/>
      <c r="D356" s="135"/>
      <c r="E356" s="135"/>
      <c r="F356" s="135"/>
      <c r="G356" s="189"/>
      <c r="H356" s="135"/>
      <c r="I356" s="135"/>
      <c r="J356" s="189"/>
      <c r="K356" s="135"/>
      <c r="L356" s="135"/>
      <c r="M356" s="189"/>
      <c r="N356" s="135"/>
      <c r="O356" s="135"/>
      <c r="P356" s="135"/>
      <c r="Q356" s="135"/>
      <c r="R356" s="135"/>
      <c r="S356" s="135"/>
    </row>
    <row r="357" customFormat="false" ht="15.75" hidden="false" customHeight="true" outlineLevel="0" collapsed="false">
      <c r="A357" s="135"/>
      <c r="B357" s="135"/>
      <c r="C357" s="135"/>
      <c r="D357" s="135"/>
      <c r="E357" s="135"/>
      <c r="F357" s="135"/>
      <c r="G357" s="189"/>
      <c r="H357" s="135"/>
      <c r="I357" s="135"/>
      <c r="J357" s="189"/>
      <c r="K357" s="135"/>
      <c r="L357" s="135"/>
      <c r="M357" s="189"/>
      <c r="N357" s="135"/>
      <c r="O357" s="135"/>
      <c r="P357" s="135"/>
      <c r="Q357" s="135"/>
      <c r="R357" s="135"/>
      <c r="S357" s="135"/>
    </row>
    <row r="358" customFormat="false" ht="15.75" hidden="false" customHeight="true" outlineLevel="0" collapsed="false">
      <c r="A358" s="135"/>
      <c r="B358" s="135"/>
      <c r="C358" s="135"/>
      <c r="D358" s="135"/>
      <c r="E358" s="135"/>
      <c r="F358" s="135"/>
      <c r="G358" s="189"/>
      <c r="H358" s="135"/>
      <c r="I358" s="135"/>
      <c r="J358" s="189"/>
      <c r="K358" s="135"/>
      <c r="L358" s="135"/>
      <c r="M358" s="189"/>
      <c r="N358" s="135"/>
      <c r="O358" s="135"/>
      <c r="P358" s="135"/>
      <c r="Q358" s="135"/>
      <c r="R358" s="135"/>
      <c r="S358" s="135"/>
    </row>
    <row r="359" customFormat="false" ht="15.75" hidden="false" customHeight="true" outlineLevel="0" collapsed="false">
      <c r="A359" s="135"/>
      <c r="B359" s="135"/>
      <c r="C359" s="135"/>
      <c r="D359" s="135"/>
      <c r="E359" s="135"/>
      <c r="F359" s="135"/>
      <c r="G359" s="189"/>
      <c r="H359" s="135"/>
      <c r="I359" s="135"/>
      <c r="J359" s="189"/>
      <c r="K359" s="135"/>
      <c r="L359" s="135"/>
      <c r="M359" s="189"/>
      <c r="N359" s="135"/>
      <c r="O359" s="135"/>
      <c r="P359" s="135"/>
      <c r="Q359" s="135"/>
      <c r="R359" s="135"/>
      <c r="S359" s="135"/>
    </row>
    <row r="360" customFormat="false" ht="15.75" hidden="false" customHeight="true" outlineLevel="0" collapsed="false">
      <c r="A360" s="135"/>
      <c r="B360" s="135"/>
      <c r="C360" s="135"/>
      <c r="D360" s="135"/>
      <c r="E360" s="135"/>
      <c r="F360" s="135"/>
      <c r="G360" s="189"/>
      <c r="H360" s="135"/>
      <c r="I360" s="135"/>
      <c r="J360" s="189"/>
      <c r="K360" s="135"/>
      <c r="L360" s="135"/>
      <c r="M360" s="189"/>
      <c r="N360" s="135"/>
      <c r="O360" s="135"/>
      <c r="P360" s="135"/>
      <c r="Q360" s="135"/>
      <c r="R360" s="135"/>
      <c r="S360" s="135"/>
    </row>
    <row r="361" customFormat="false" ht="15.75" hidden="false" customHeight="true" outlineLevel="0" collapsed="false">
      <c r="A361" s="135"/>
      <c r="B361" s="135"/>
      <c r="C361" s="135"/>
      <c r="D361" s="135"/>
      <c r="E361" s="135"/>
      <c r="F361" s="135"/>
      <c r="G361" s="189"/>
      <c r="H361" s="135"/>
      <c r="I361" s="135"/>
      <c r="J361" s="189"/>
      <c r="K361" s="135"/>
      <c r="L361" s="135"/>
      <c r="M361" s="189"/>
      <c r="N361" s="135"/>
      <c r="O361" s="135"/>
      <c r="P361" s="135"/>
      <c r="Q361" s="135"/>
      <c r="R361" s="135"/>
      <c r="S361" s="135"/>
    </row>
    <row r="362" customFormat="false" ht="15.75" hidden="false" customHeight="true" outlineLevel="0" collapsed="false">
      <c r="A362" s="135"/>
      <c r="B362" s="135"/>
      <c r="C362" s="135"/>
      <c r="D362" s="135"/>
      <c r="E362" s="135"/>
      <c r="F362" s="135"/>
      <c r="G362" s="189"/>
      <c r="H362" s="135"/>
      <c r="I362" s="135"/>
      <c r="J362" s="189"/>
      <c r="K362" s="135"/>
      <c r="L362" s="135"/>
      <c r="M362" s="189"/>
      <c r="N362" s="135"/>
      <c r="O362" s="135"/>
      <c r="P362" s="135"/>
      <c r="Q362" s="135"/>
      <c r="R362" s="135"/>
      <c r="S362" s="135"/>
    </row>
    <row r="363" customFormat="false" ht="15.75" hidden="false" customHeight="true" outlineLevel="0" collapsed="false">
      <c r="A363" s="135"/>
      <c r="B363" s="135"/>
      <c r="C363" s="135"/>
      <c r="D363" s="135"/>
      <c r="E363" s="135"/>
      <c r="F363" s="135"/>
      <c r="G363" s="189"/>
      <c r="H363" s="135"/>
      <c r="I363" s="135"/>
      <c r="J363" s="189"/>
      <c r="K363" s="135"/>
      <c r="L363" s="135"/>
      <c r="M363" s="189"/>
      <c r="N363" s="135"/>
      <c r="O363" s="135"/>
      <c r="P363" s="135"/>
      <c r="Q363" s="135"/>
      <c r="R363" s="135"/>
      <c r="S363" s="135"/>
    </row>
    <row r="364" customFormat="false" ht="15.75" hidden="false" customHeight="true" outlineLevel="0" collapsed="false">
      <c r="A364" s="135"/>
      <c r="B364" s="135"/>
      <c r="C364" s="135"/>
      <c r="D364" s="135"/>
      <c r="E364" s="135"/>
      <c r="F364" s="135"/>
      <c r="G364" s="189"/>
      <c r="H364" s="135"/>
      <c r="I364" s="135"/>
      <c r="J364" s="189"/>
      <c r="K364" s="135"/>
      <c r="L364" s="135"/>
      <c r="M364" s="189"/>
      <c r="N364" s="135"/>
      <c r="O364" s="135"/>
      <c r="P364" s="135"/>
      <c r="Q364" s="135"/>
      <c r="R364" s="135"/>
      <c r="S364" s="135"/>
    </row>
    <row r="365" customFormat="false" ht="15.75" hidden="false" customHeight="true" outlineLevel="0" collapsed="false">
      <c r="A365" s="135"/>
      <c r="B365" s="135"/>
      <c r="C365" s="135"/>
      <c r="D365" s="135"/>
      <c r="E365" s="135"/>
      <c r="F365" s="135"/>
      <c r="G365" s="189"/>
      <c r="H365" s="135"/>
      <c r="I365" s="135"/>
      <c r="J365" s="189"/>
      <c r="K365" s="135"/>
      <c r="L365" s="135"/>
      <c r="M365" s="189"/>
      <c r="N365" s="135"/>
      <c r="O365" s="135"/>
      <c r="P365" s="135"/>
      <c r="Q365" s="135"/>
      <c r="R365" s="135"/>
      <c r="S365" s="135"/>
    </row>
    <row r="366" customFormat="false" ht="15.75" hidden="false" customHeight="true" outlineLevel="0" collapsed="false">
      <c r="A366" s="135"/>
      <c r="B366" s="135"/>
      <c r="C366" s="135"/>
      <c r="D366" s="135"/>
      <c r="E366" s="135"/>
      <c r="F366" s="135"/>
      <c r="G366" s="189"/>
      <c r="H366" s="135"/>
      <c r="I366" s="135"/>
      <c r="J366" s="189"/>
      <c r="K366" s="135"/>
      <c r="L366" s="135"/>
      <c r="M366" s="189"/>
      <c r="N366" s="135"/>
      <c r="O366" s="135"/>
      <c r="P366" s="135"/>
      <c r="Q366" s="135"/>
      <c r="R366" s="135"/>
      <c r="S366" s="135"/>
    </row>
    <row r="367" customFormat="false" ht="15.75" hidden="false" customHeight="true" outlineLevel="0" collapsed="false">
      <c r="A367" s="135"/>
      <c r="B367" s="135"/>
      <c r="C367" s="135"/>
      <c r="D367" s="135"/>
      <c r="E367" s="135"/>
      <c r="F367" s="135"/>
      <c r="G367" s="189"/>
      <c r="H367" s="135"/>
      <c r="I367" s="135"/>
      <c r="J367" s="189"/>
      <c r="K367" s="135"/>
      <c r="L367" s="135"/>
      <c r="M367" s="189"/>
      <c r="N367" s="135"/>
      <c r="O367" s="135"/>
      <c r="P367" s="135"/>
      <c r="Q367" s="135"/>
      <c r="R367" s="135"/>
      <c r="S367" s="135"/>
    </row>
    <row r="368" customFormat="false" ht="15.75" hidden="false" customHeight="true" outlineLevel="0" collapsed="false">
      <c r="A368" s="135"/>
      <c r="B368" s="135"/>
      <c r="C368" s="135"/>
      <c r="D368" s="135"/>
      <c r="E368" s="135"/>
      <c r="F368" s="135"/>
      <c r="G368" s="189"/>
      <c r="H368" s="135"/>
      <c r="I368" s="135"/>
      <c r="J368" s="189"/>
      <c r="K368" s="135"/>
      <c r="L368" s="135"/>
      <c r="M368" s="189"/>
      <c r="N368" s="135"/>
      <c r="O368" s="135"/>
      <c r="P368" s="135"/>
      <c r="Q368" s="135"/>
      <c r="R368" s="135"/>
      <c r="S368" s="135"/>
    </row>
    <row r="369" customFormat="false" ht="15.75" hidden="false" customHeight="true" outlineLevel="0" collapsed="false">
      <c r="A369" s="135"/>
      <c r="B369" s="135"/>
      <c r="C369" s="135"/>
      <c r="D369" s="135"/>
      <c r="E369" s="135"/>
      <c r="F369" s="135"/>
      <c r="G369" s="189"/>
      <c r="H369" s="135"/>
      <c r="I369" s="135"/>
      <c r="J369" s="189"/>
      <c r="K369" s="135"/>
      <c r="L369" s="135"/>
      <c r="M369" s="189"/>
      <c r="N369" s="135"/>
      <c r="O369" s="135"/>
      <c r="P369" s="135"/>
      <c r="Q369" s="135"/>
      <c r="R369" s="135"/>
      <c r="S369" s="135"/>
    </row>
    <row r="370" customFormat="false" ht="15.75" hidden="false" customHeight="true" outlineLevel="0" collapsed="false">
      <c r="A370" s="135"/>
      <c r="B370" s="135"/>
      <c r="C370" s="135"/>
      <c r="D370" s="135"/>
      <c r="E370" s="135"/>
      <c r="F370" s="135"/>
      <c r="G370" s="189"/>
      <c r="H370" s="135"/>
      <c r="I370" s="135"/>
      <c r="J370" s="189"/>
      <c r="K370" s="135"/>
      <c r="L370" s="135"/>
      <c r="M370" s="189"/>
      <c r="N370" s="135"/>
      <c r="O370" s="135"/>
      <c r="P370" s="135"/>
      <c r="Q370" s="135"/>
      <c r="R370" s="135"/>
      <c r="S370" s="135"/>
    </row>
    <row r="371" customFormat="false" ht="15.75" hidden="false" customHeight="true" outlineLevel="0" collapsed="false">
      <c r="A371" s="135"/>
      <c r="B371" s="135"/>
      <c r="C371" s="135"/>
      <c r="D371" s="135"/>
      <c r="E371" s="135"/>
      <c r="F371" s="135"/>
      <c r="G371" s="189"/>
      <c r="H371" s="135"/>
      <c r="I371" s="135"/>
      <c r="J371" s="189"/>
      <c r="K371" s="135"/>
      <c r="L371" s="135"/>
      <c r="M371" s="189"/>
      <c r="N371" s="135"/>
      <c r="O371" s="135"/>
      <c r="P371" s="135"/>
      <c r="Q371" s="135"/>
      <c r="R371" s="135"/>
      <c r="S371" s="135"/>
    </row>
    <row r="372" customFormat="false" ht="15.75" hidden="false" customHeight="true" outlineLevel="0" collapsed="false">
      <c r="A372" s="135"/>
      <c r="B372" s="135"/>
      <c r="C372" s="135"/>
      <c r="D372" s="135"/>
      <c r="E372" s="135"/>
      <c r="F372" s="135"/>
      <c r="G372" s="189"/>
      <c r="H372" s="135"/>
      <c r="I372" s="135"/>
      <c r="J372" s="189"/>
      <c r="K372" s="135"/>
      <c r="L372" s="135"/>
      <c r="M372" s="189"/>
      <c r="N372" s="135"/>
      <c r="O372" s="135"/>
      <c r="P372" s="135"/>
      <c r="Q372" s="135"/>
      <c r="R372" s="135"/>
      <c r="S372" s="135"/>
    </row>
    <row r="373" customFormat="false" ht="15.75" hidden="false" customHeight="true" outlineLevel="0" collapsed="false">
      <c r="A373" s="135"/>
      <c r="B373" s="135"/>
      <c r="C373" s="135"/>
      <c r="D373" s="135"/>
      <c r="E373" s="135"/>
      <c r="F373" s="135"/>
      <c r="G373" s="189"/>
      <c r="H373" s="135"/>
      <c r="I373" s="135"/>
      <c r="J373" s="189"/>
      <c r="K373" s="135"/>
      <c r="L373" s="135"/>
      <c r="M373" s="189"/>
      <c r="N373" s="135"/>
      <c r="O373" s="135"/>
      <c r="P373" s="135"/>
      <c r="Q373" s="135"/>
      <c r="R373" s="135"/>
      <c r="S373" s="135"/>
    </row>
    <row r="374" customFormat="false" ht="15.75" hidden="false" customHeight="true" outlineLevel="0" collapsed="false">
      <c r="A374" s="135"/>
      <c r="B374" s="135"/>
      <c r="C374" s="135"/>
      <c r="D374" s="135"/>
      <c r="E374" s="135"/>
      <c r="F374" s="135"/>
      <c r="G374" s="189"/>
      <c r="H374" s="135"/>
      <c r="I374" s="135"/>
      <c r="J374" s="189"/>
      <c r="K374" s="135"/>
      <c r="L374" s="135"/>
      <c r="M374" s="189"/>
      <c r="N374" s="135"/>
      <c r="O374" s="135"/>
      <c r="P374" s="135"/>
      <c r="Q374" s="135"/>
      <c r="R374" s="135"/>
      <c r="S374" s="135"/>
    </row>
    <row r="375" customFormat="false" ht="15.75" hidden="false" customHeight="true" outlineLevel="0" collapsed="false">
      <c r="A375" s="135"/>
      <c r="B375" s="135"/>
      <c r="C375" s="135"/>
      <c r="D375" s="135"/>
      <c r="E375" s="135"/>
      <c r="F375" s="135"/>
      <c r="G375" s="189"/>
      <c r="H375" s="135"/>
      <c r="I375" s="135"/>
      <c r="J375" s="189"/>
      <c r="K375" s="135"/>
      <c r="L375" s="135"/>
      <c r="M375" s="189"/>
      <c r="N375" s="135"/>
      <c r="O375" s="135"/>
      <c r="P375" s="135"/>
      <c r="Q375" s="135"/>
      <c r="R375" s="135"/>
      <c r="S375" s="135"/>
    </row>
    <row r="376" customFormat="false" ht="15.75" hidden="false" customHeight="true" outlineLevel="0" collapsed="false">
      <c r="A376" s="135"/>
      <c r="B376" s="135"/>
      <c r="C376" s="135"/>
      <c r="D376" s="135"/>
      <c r="E376" s="135"/>
      <c r="F376" s="135"/>
      <c r="G376" s="189"/>
      <c r="H376" s="135"/>
      <c r="I376" s="135"/>
      <c r="J376" s="189"/>
      <c r="K376" s="135"/>
      <c r="L376" s="135"/>
      <c r="M376" s="189"/>
      <c r="N376" s="135"/>
      <c r="O376" s="135"/>
      <c r="P376" s="135"/>
      <c r="Q376" s="135"/>
      <c r="R376" s="135"/>
      <c r="S376" s="135"/>
    </row>
    <row r="377" customFormat="false" ht="15.75" hidden="false" customHeight="true" outlineLevel="0" collapsed="false">
      <c r="A377" s="135"/>
      <c r="B377" s="135"/>
      <c r="C377" s="135"/>
      <c r="D377" s="135"/>
      <c r="E377" s="135"/>
      <c r="F377" s="135"/>
      <c r="G377" s="189"/>
      <c r="H377" s="135"/>
      <c r="I377" s="135"/>
      <c r="J377" s="189"/>
      <c r="K377" s="135"/>
      <c r="L377" s="135"/>
      <c r="M377" s="189"/>
      <c r="N377" s="135"/>
      <c r="O377" s="135"/>
      <c r="P377" s="135"/>
      <c r="Q377" s="135"/>
      <c r="R377" s="135"/>
      <c r="S377" s="135"/>
    </row>
    <row r="378" customFormat="false" ht="15.75" hidden="false" customHeight="true" outlineLevel="0" collapsed="false">
      <c r="A378" s="135"/>
      <c r="B378" s="135"/>
      <c r="C378" s="135"/>
      <c r="D378" s="135"/>
      <c r="E378" s="135"/>
      <c r="F378" s="135"/>
      <c r="G378" s="189"/>
      <c r="H378" s="135"/>
      <c r="I378" s="135"/>
      <c r="J378" s="189"/>
      <c r="K378" s="135"/>
      <c r="L378" s="135"/>
      <c r="M378" s="189"/>
      <c r="N378" s="135"/>
      <c r="O378" s="135"/>
      <c r="P378" s="135"/>
      <c r="Q378" s="135"/>
      <c r="R378" s="135"/>
      <c r="S378" s="135"/>
    </row>
    <row r="379" customFormat="false" ht="15.75" hidden="false" customHeight="true" outlineLevel="0" collapsed="false">
      <c r="A379" s="135"/>
      <c r="B379" s="135"/>
      <c r="C379" s="135"/>
      <c r="D379" s="135"/>
      <c r="E379" s="135"/>
      <c r="F379" s="135"/>
      <c r="G379" s="189"/>
      <c r="H379" s="135"/>
      <c r="I379" s="135"/>
      <c r="J379" s="189"/>
      <c r="K379" s="135"/>
      <c r="L379" s="135"/>
      <c r="M379" s="189"/>
      <c r="N379" s="135"/>
      <c r="O379" s="135"/>
      <c r="P379" s="135"/>
      <c r="Q379" s="135"/>
      <c r="R379" s="135"/>
      <c r="S379" s="135"/>
    </row>
    <row r="380" customFormat="false" ht="15.75" hidden="false" customHeight="true" outlineLevel="0" collapsed="false">
      <c r="A380" s="135"/>
      <c r="B380" s="135"/>
      <c r="C380" s="135"/>
      <c r="D380" s="135"/>
      <c r="E380" s="135"/>
      <c r="F380" s="135"/>
      <c r="G380" s="189"/>
      <c r="H380" s="135"/>
      <c r="I380" s="135"/>
      <c r="J380" s="189"/>
      <c r="K380" s="135"/>
      <c r="L380" s="135"/>
      <c r="M380" s="189"/>
      <c r="N380" s="135"/>
      <c r="O380" s="135"/>
      <c r="P380" s="135"/>
      <c r="Q380" s="135"/>
      <c r="R380" s="135"/>
      <c r="S380" s="135"/>
    </row>
    <row r="381" customFormat="false" ht="15.75" hidden="false" customHeight="true" outlineLevel="0" collapsed="false">
      <c r="A381" s="135"/>
      <c r="B381" s="135"/>
      <c r="C381" s="135"/>
      <c r="D381" s="135"/>
      <c r="E381" s="135"/>
      <c r="F381" s="135"/>
      <c r="G381" s="189"/>
      <c r="H381" s="135"/>
      <c r="I381" s="135"/>
      <c r="J381" s="189"/>
      <c r="K381" s="135"/>
      <c r="L381" s="135"/>
      <c r="M381" s="189"/>
      <c r="N381" s="135"/>
      <c r="O381" s="135"/>
      <c r="P381" s="135"/>
      <c r="Q381" s="135"/>
      <c r="R381" s="135"/>
      <c r="S381" s="135"/>
    </row>
    <row r="382" customFormat="false" ht="15.75" hidden="false" customHeight="true" outlineLevel="0" collapsed="false">
      <c r="A382" s="135"/>
      <c r="B382" s="135"/>
      <c r="C382" s="135"/>
      <c r="D382" s="135"/>
      <c r="E382" s="135"/>
      <c r="F382" s="135"/>
      <c r="G382" s="189"/>
      <c r="H382" s="135"/>
      <c r="I382" s="135"/>
      <c r="J382" s="189"/>
      <c r="K382" s="135"/>
      <c r="L382" s="135"/>
      <c r="M382" s="189"/>
      <c r="N382" s="135"/>
      <c r="O382" s="135"/>
      <c r="P382" s="135"/>
      <c r="Q382" s="135"/>
      <c r="R382" s="135"/>
      <c r="S382" s="135"/>
    </row>
    <row r="383" customFormat="false" ht="15.75" hidden="false" customHeight="true" outlineLevel="0" collapsed="false">
      <c r="A383" s="135"/>
      <c r="B383" s="135"/>
      <c r="C383" s="135"/>
      <c r="D383" s="135"/>
      <c r="E383" s="135"/>
      <c r="F383" s="135"/>
      <c r="G383" s="189"/>
      <c r="H383" s="135"/>
      <c r="I383" s="135"/>
      <c r="J383" s="189"/>
      <c r="K383" s="135"/>
      <c r="L383" s="135"/>
      <c r="M383" s="189"/>
      <c r="N383" s="135"/>
      <c r="O383" s="135"/>
      <c r="P383" s="135"/>
      <c r="Q383" s="135"/>
      <c r="R383" s="135"/>
      <c r="S383" s="135"/>
    </row>
    <row r="384" customFormat="false" ht="15.75" hidden="false" customHeight="true" outlineLevel="0" collapsed="false">
      <c r="A384" s="135"/>
      <c r="B384" s="135"/>
      <c r="C384" s="135"/>
      <c r="D384" s="135"/>
      <c r="E384" s="135"/>
      <c r="F384" s="135"/>
      <c r="G384" s="189"/>
      <c r="H384" s="135"/>
      <c r="I384" s="135"/>
      <c r="J384" s="189"/>
      <c r="K384" s="135"/>
      <c r="L384" s="135"/>
      <c r="M384" s="189"/>
      <c r="N384" s="135"/>
      <c r="O384" s="135"/>
      <c r="P384" s="135"/>
      <c r="Q384" s="135"/>
      <c r="R384" s="135"/>
      <c r="S384" s="135"/>
    </row>
    <row r="385" customFormat="false" ht="15.75" hidden="false" customHeight="true" outlineLevel="0" collapsed="false">
      <c r="A385" s="135"/>
      <c r="B385" s="135"/>
      <c r="C385" s="135"/>
      <c r="D385" s="135"/>
      <c r="E385" s="135"/>
      <c r="F385" s="135"/>
      <c r="G385" s="189"/>
      <c r="H385" s="135"/>
      <c r="I385" s="135"/>
      <c r="J385" s="189"/>
      <c r="K385" s="135"/>
      <c r="L385" s="135"/>
      <c r="M385" s="189"/>
      <c r="N385" s="135"/>
      <c r="O385" s="135"/>
      <c r="P385" s="135"/>
      <c r="Q385" s="135"/>
      <c r="R385" s="135"/>
      <c r="S385" s="135"/>
    </row>
    <row r="386" customFormat="false" ht="15.75" hidden="false" customHeight="true" outlineLevel="0" collapsed="false">
      <c r="A386" s="135"/>
      <c r="B386" s="135"/>
      <c r="C386" s="135"/>
      <c r="D386" s="135"/>
      <c r="E386" s="135"/>
      <c r="F386" s="135"/>
      <c r="G386" s="189"/>
      <c r="H386" s="135"/>
      <c r="I386" s="135"/>
      <c r="J386" s="189"/>
      <c r="K386" s="135"/>
      <c r="L386" s="135"/>
      <c r="M386" s="189"/>
      <c r="N386" s="135"/>
      <c r="O386" s="135"/>
      <c r="P386" s="135"/>
      <c r="Q386" s="135"/>
      <c r="R386" s="135"/>
      <c r="S386" s="135"/>
    </row>
    <row r="387" customFormat="false" ht="15.75" hidden="false" customHeight="true" outlineLevel="0" collapsed="false">
      <c r="A387" s="135"/>
      <c r="B387" s="135"/>
      <c r="C387" s="135"/>
      <c r="D387" s="135"/>
      <c r="E387" s="135"/>
      <c r="F387" s="135"/>
      <c r="G387" s="189"/>
      <c r="H387" s="135"/>
      <c r="I387" s="135"/>
      <c r="J387" s="189"/>
      <c r="K387" s="135"/>
      <c r="L387" s="135"/>
      <c r="M387" s="189"/>
      <c r="N387" s="135"/>
      <c r="O387" s="135"/>
      <c r="P387" s="135"/>
      <c r="Q387" s="135"/>
      <c r="R387" s="135"/>
      <c r="S387" s="135"/>
    </row>
    <row r="388" customFormat="false" ht="15.75" hidden="false" customHeight="true" outlineLevel="0" collapsed="false">
      <c r="A388" s="135"/>
      <c r="B388" s="135"/>
      <c r="C388" s="135"/>
      <c r="D388" s="135"/>
      <c r="E388" s="135"/>
      <c r="F388" s="135"/>
      <c r="G388" s="189"/>
      <c r="H388" s="135"/>
      <c r="I388" s="135"/>
      <c r="J388" s="189"/>
      <c r="K388" s="135"/>
      <c r="L388" s="135"/>
      <c r="M388" s="189"/>
      <c r="N388" s="135"/>
      <c r="O388" s="135"/>
      <c r="P388" s="135"/>
      <c r="Q388" s="135"/>
      <c r="R388" s="135"/>
      <c r="S388" s="135"/>
    </row>
    <row r="389" customFormat="false" ht="15.75" hidden="false" customHeight="true" outlineLevel="0" collapsed="false">
      <c r="A389" s="135"/>
      <c r="B389" s="135"/>
      <c r="C389" s="135"/>
      <c r="D389" s="135"/>
      <c r="E389" s="135"/>
      <c r="F389" s="135"/>
      <c r="G389" s="189"/>
      <c r="H389" s="135"/>
      <c r="I389" s="135"/>
      <c r="J389" s="189"/>
      <c r="K389" s="135"/>
      <c r="L389" s="135"/>
      <c r="M389" s="189"/>
      <c r="N389" s="135"/>
      <c r="O389" s="135"/>
      <c r="P389" s="135"/>
      <c r="Q389" s="135"/>
      <c r="R389" s="135"/>
      <c r="S389" s="135"/>
    </row>
    <row r="390" customFormat="false" ht="15.75" hidden="false" customHeight="true" outlineLevel="0" collapsed="false">
      <c r="A390" s="135"/>
      <c r="B390" s="135"/>
      <c r="C390" s="135"/>
      <c r="D390" s="135"/>
      <c r="E390" s="135"/>
      <c r="F390" s="135"/>
      <c r="G390" s="189"/>
      <c r="H390" s="135"/>
      <c r="I390" s="135"/>
      <c r="J390" s="189"/>
      <c r="K390" s="135"/>
      <c r="L390" s="135"/>
      <c r="M390" s="189"/>
      <c r="N390" s="135"/>
      <c r="O390" s="135"/>
      <c r="P390" s="135"/>
      <c r="Q390" s="135"/>
      <c r="R390" s="135"/>
      <c r="S390" s="135"/>
    </row>
    <row r="391" customFormat="false" ht="15.75" hidden="false" customHeight="true" outlineLevel="0" collapsed="false">
      <c r="A391" s="135"/>
      <c r="B391" s="135"/>
      <c r="C391" s="135"/>
      <c r="D391" s="135"/>
      <c r="E391" s="135"/>
      <c r="F391" s="135"/>
      <c r="G391" s="189"/>
      <c r="H391" s="135"/>
      <c r="I391" s="135"/>
      <c r="J391" s="189"/>
      <c r="K391" s="135"/>
      <c r="L391" s="135"/>
      <c r="M391" s="189"/>
      <c r="N391" s="135"/>
      <c r="O391" s="135"/>
      <c r="P391" s="135"/>
      <c r="Q391" s="135"/>
      <c r="R391" s="135"/>
      <c r="S391" s="135"/>
    </row>
    <row r="392" customFormat="false" ht="15.75" hidden="false" customHeight="true" outlineLevel="0" collapsed="false">
      <c r="A392" s="135"/>
      <c r="B392" s="135"/>
      <c r="C392" s="135"/>
      <c r="D392" s="135"/>
      <c r="E392" s="135"/>
      <c r="F392" s="135"/>
      <c r="G392" s="189"/>
      <c r="H392" s="135"/>
      <c r="I392" s="135"/>
      <c r="J392" s="189"/>
      <c r="K392" s="135"/>
      <c r="L392" s="135"/>
      <c r="M392" s="189"/>
      <c r="N392" s="135"/>
      <c r="O392" s="135"/>
      <c r="P392" s="135"/>
      <c r="Q392" s="135"/>
      <c r="R392" s="135"/>
      <c r="S392" s="135"/>
    </row>
    <row r="393" customFormat="false" ht="15.75" hidden="false" customHeight="true" outlineLevel="0" collapsed="false">
      <c r="A393" s="135"/>
      <c r="B393" s="135"/>
      <c r="C393" s="135"/>
      <c r="D393" s="135"/>
      <c r="E393" s="135"/>
      <c r="F393" s="135"/>
      <c r="G393" s="189"/>
      <c r="H393" s="135"/>
      <c r="I393" s="135"/>
      <c r="J393" s="189"/>
      <c r="K393" s="135"/>
      <c r="L393" s="135"/>
      <c r="M393" s="189"/>
      <c r="N393" s="135"/>
      <c r="O393" s="135"/>
      <c r="P393" s="135"/>
      <c r="Q393" s="135"/>
      <c r="R393" s="135"/>
      <c r="S393" s="135"/>
    </row>
    <row r="394" customFormat="false" ht="15.75" hidden="false" customHeight="true" outlineLevel="0" collapsed="false">
      <c r="A394" s="135"/>
      <c r="B394" s="135"/>
      <c r="C394" s="135"/>
      <c r="D394" s="135"/>
      <c r="E394" s="135"/>
      <c r="F394" s="135"/>
      <c r="G394" s="189"/>
      <c r="H394" s="135"/>
      <c r="I394" s="135"/>
      <c r="J394" s="189"/>
      <c r="K394" s="135"/>
      <c r="L394" s="135"/>
      <c r="M394" s="189"/>
      <c r="N394" s="135"/>
      <c r="O394" s="135"/>
      <c r="P394" s="135"/>
      <c r="Q394" s="135"/>
      <c r="R394" s="135"/>
      <c r="S394" s="135"/>
    </row>
    <row r="395" customFormat="false" ht="15.75" hidden="false" customHeight="true" outlineLevel="0" collapsed="false">
      <c r="A395" s="135"/>
      <c r="B395" s="135"/>
      <c r="C395" s="135"/>
      <c r="D395" s="135"/>
      <c r="E395" s="135"/>
      <c r="F395" s="135"/>
      <c r="G395" s="189"/>
      <c r="H395" s="135"/>
      <c r="I395" s="135"/>
      <c r="J395" s="189"/>
      <c r="K395" s="135"/>
      <c r="L395" s="135"/>
      <c r="M395" s="189"/>
      <c r="N395" s="135"/>
      <c r="O395" s="135"/>
      <c r="P395" s="135"/>
      <c r="Q395" s="135"/>
      <c r="R395" s="135"/>
      <c r="S395" s="135"/>
    </row>
    <row r="396" customFormat="false" ht="15.75" hidden="false" customHeight="true" outlineLevel="0" collapsed="false">
      <c r="A396" s="135"/>
      <c r="B396" s="135"/>
      <c r="C396" s="135"/>
      <c r="D396" s="135"/>
      <c r="E396" s="135"/>
      <c r="F396" s="135"/>
      <c r="G396" s="189"/>
      <c r="H396" s="135"/>
      <c r="I396" s="135"/>
      <c r="J396" s="189"/>
      <c r="K396" s="135"/>
      <c r="L396" s="135"/>
      <c r="M396" s="189"/>
      <c r="N396" s="135"/>
      <c r="O396" s="135"/>
      <c r="P396" s="135"/>
      <c r="Q396" s="135"/>
      <c r="R396" s="135"/>
      <c r="S396" s="135"/>
    </row>
    <row r="397" customFormat="false" ht="15.75" hidden="false" customHeight="true" outlineLevel="0" collapsed="false">
      <c r="A397" s="135"/>
      <c r="B397" s="135"/>
      <c r="C397" s="135"/>
      <c r="D397" s="135"/>
      <c r="E397" s="135"/>
      <c r="F397" s="135"/>
      <c r="G397" s="189"/>
      <c r="H397" s="135"/>
      <c r="I397" s="135"/>
      <c r="J397" s="189"/>
      <c r="K397" s="135"/>
      <c r="L397" s="135"/>
      <c r="M397" s="189"/>
      <c r="N397" s="135"/>
      <c r="O397" s="135"/>
      <c r="P397" s="135"/>
      <c r="Q397" s="135"/>
      <c r="R397" s="135"/>
      <c r="S397" s="135"/>
    </row>
    <row r="398" customFormat="false" ht="15.75" hidden="false" customHeight="true" outlineLevel="0" collapsed="false">
      <c r="A398" s="135"/>
      <c r="B398" s="135"/>
      <c r="C398" s="135"/>
      <c r="D398" s="135"/>
      <c r="E398" s="135"/>
      <c r="F398" s="135"/>
      <c r="G398" s="189"/>
      <c r="H398" s="135"/>
      <c r="I398" s="135"/>
      <c r="J398" s="189"/>
      <c r="K398" s="135"/>
      <c r="L398" s="135"/>
      <c r="M398" s="189"/>
      <c r="N398" s="135"/>
      <c r="O398" s="135"/>
      <c r="P398" s="135"/>
      <c r="Q398" s="135"/>
      <c r="R398" s="135"/>
      <c r="S398" s="135"/>
    </row>
    <row r="399" customFormat="false" ht="15.75" hidden="false" customHeight="true" outlineLevel="0" collapsed="false">
      <c r="A399" s="135"/>
      <c r="B399" s="135"/>
      <c r="C399" s="135"/>
      <c r="D399" s="135"/>
      <c r="E399" s="135"/>
      <c r="F399" s="135"/>
      <c r="G399" s="189"/>
      <c r="H399" s="135"/>
      <c r="I399" s="135"/>
      <c r="J399" s="189"/>
      <c r="K399" s="135"/>
      <c r="L399" s="135"/>
      <c r="M399" s="189"/>
      <c r="N399" s="135"/>
      <c r="O399" s="135"/>
      <c r="P399" s="135"/>
      <c r="Q399" s="135"/>
      <c r="R399" s="135"/>
      <c r="S399" s="135"/>
    </row>
    <row r="400" customFormat="false" ht="15.75" hidden="false" customHeight="true" outlineLevel="0" collapsed="false">
      <c r="A400" s="135"/>
      <c r="B400" s="135"/>
      <c r="C400" s="135"/>
      <c r="D400" s="135"/>
      <c r="E400" s="135"/>
      <c r="F400" s="135"/>
      <c r="G400" s="189"/>
      <c r="H400" s="135"/>
      <c r="I400" s="135"/>
      <c r="J400" s="189"/>
      <c r="K400" s="135"/>
      <c r="L400" s="135"/>
      <c r="M400" s="189"/>
      <c r="N400" s="135"/>
      <c r="O400" s="135"/>
      <c r="P400" s="135"/>
      <c r="Q400" s="135"/>
      <c r="R400" s="135"/>
      <c r="S400" s="135"/>
    </row>
    <row r="401" customFormat="false" ht="15.75" hidden="false" customHeight="true" outlineLevel="0" collapsed="false">
      <c r="A401" s="135"/>
      <c r="B401" s="135"/>
      <c r="C401" s="135"/>
      <c r="D401" s="135"/>
      <c r="E401" s="135"/>
      <c r="F401" s="135"/>
      <c r="G401" s="189"/>
      <c r="H401" s="135"/>
      <c r="I401" s="135"/>
      <c r="J401" s="189"/>
      <c r="K401" s="135"/>
      <c r="L401" s="135"/>
      <c r="M401" s="189"/>
      <c r="N401" s="135"/>
      <c r="O401" s="135"/>
      <c r="P401" s="135"/>
      <c r="Q401" s="135"/>
      <c r="R401" s="135"/>
      <c r="S401" s="135"/>
    </row>
    <row r="402" customFormat="false" ht="15.75" hidden="false" customHeight="true" outlineLevel="0" collapsed="false">
      <c r="A402" s="135"/>
      <c r="B402" s="135"/>
      <c r="C402" s="135"/>
      <c r="D402" s="135"/>
      <c r="E402" s="135"/>
      <c r="F402" s="135"/>
      <c r="G402" s="189"/>
      <c r="H402" s="135"/>
      <c r="I402" s="135"/>
      <c r="J402" s="189"/>
      <c r="K402" s="135"/>
      <c r="L402" s="135"/>
      <c r="M402" s="189"/>
      <c r="N402" s="135"/>
      <c r="O402" s="135"/>
      <c r="P402" s="135"/>
      <c r="Q402" s="135"/>
      <c r="R402" s="135"/>
      <c r="S402" s="135"/>
    </row>
    <row r="403" customFormat="false" ht="15.75" hidden="false" customHeight="true" outlineLevel="0" collapsed="false">
      <c r="A403" s="135"/>
      <c r="B403" s="135"/>
      <c r="C403" s="135"/>
      <c r="D403" s="135"/>
      <c r="E403" s="135"/>
      <c r="F403" s="135"/>
      <c r="G403" s="189"/>
      <c r="H403" s="135"/>
      <c r="I403" s="135"/>
      <c r="J403" s="189"/>
      <c r="K403" s="135"/>
      <c r="L403" s="135"/>
      <c r="M403" s="189"/>
      <c r="N403" s="135"/>
      <c r="O403" s="135"/>
      <c r="P403" s="135"/>
      <c r="Q403" s="135"/>
      <c r="R403" s="135"/>
      <c r="S403" s="135"/>
    </row>
    <row r="404" customFormat="false" ht="15.75" hidden="false" customHeight="true" outlineLevel="0" collapsed="false">
      <c r="A404" s="135"/>
      <c r="B404" s="135"/>
      <c r="C404" s="135"/>
      <c r="D404" s="135"/>
      <c r="E404" s="135"/>
      <c r="F404" s="135"/>
      <c r="G404" s="189"/>
      <c r="H404" s="135"/>
      <c r="I404" s="135"/>
      <c r="J404" s="189"/>
      <c r="K404" s="135"/>
      <c r="L404" s="135"/>
      <c r="M404" s="189"/>
      <c r="N404" s="135"/>
      <c r="O404" s="135"/>
      <c r="P404" s="135"/>
      <c r="Q404" s="135"/>
      <c r="R404" s="135"/>
      <c r="S404" s="135"/>
    </row>
    <row r="405" customFormat="false" ht="15.75" hidden="false" customHeight="true" outlineLevel="0" collapsed="false">
      <c r="A405" s="135"/>
      <c r="B405" s="135"/>
      <c r="C405" s="135"/>
      <c r="D405" s="135"/>
      <c r="E405" s="135"/>
      <c r="F405" s="135"/>
      <c r="G405" s="189"/>
      <c r="H405" s="135"/>
      <c r="I405" s="135"/>
      <c r="J405" s="189"/>
      <c r="K405" s="135"/>
      <c r="L405" s="135"/>
      <c r="M405" s="189"/>
      <c r="N405" s="135"/>
      <c r="O405" s="135"/>
      <c r="P405" s="135"/>
      <c r="Q405" s="135"/>
      <c r="R405" s="135"/>
      <c r="S405" s="135"/>
    </row>
    <row r="406" customFormat="false" ht="15.75" hidden="false" customHeight="true" outlineLevel="0" collapsed="false">
      <c r="A406" s="135"/>
      <c r="B406" s="135"/>
      <c r="C406" s="135"/>
      <c r="D406" s="135"/>
      <c r="E406" s="135"/>
      <c r="F406" s="135"/>
      <c r="G406" s="189"/>
      <c r="H406" s="135"/>
      <c r="I406" s="135"/>
      <c r="J406" s="189"/>
      <c r="K406" s="135"/>
      <c r="L406" s="135"/>
      <c r="M406" s="189"/>
      <c r="N406" s="135"/>
      <c r="O406" s="135"/>
      <c r="P406" s="135"/>
      <c r="Q406" s="135"/>
      <c r="R406" s="135"/>
      <c r="S406" s="135"/>
    </row>
    <row r="407" customFormat="false" ht="15.75" hidden="false" customHeight="true" outlineLevel="0" collapsed="false">
      <c r="A407" s="135"/>
      <c r="B407" s="135"/>
      <c r="C407" s="135"/>
      <c r="D407" s="135"/>
      <c r="E407" s="135"/>
      <c r="F407" s="135"/>
      <c r="G407" s="189"/>
      <c r="H407" s="135"/>
      <c r="I407" s="135"/>
      <c r="J407" s="189"/>
      <c r="K407" s="135"/>
      <c r="L407" s="135"/>
      <c r="M407" s="189"/>
      <c r="N407" s="135"/>
      <c r="O407" s="135"/>
      <c r="P407" s="135"/>
      <c r="Q407" s="135"/>
      <c r="R407" s="135"/>
      <c r="S407" s="135"/>
    </row>
    <row r="408" customFormat="false" ht="15.75" hidden="false" customHeight="true" outlineLevel="0" collapsed="false">
      <c r="A408" s="135"/>
      <c r="B408" s="135"/>
      <c r="C408" s="135"/>
      <c r="D408" s="135"/>
      <c r="E408" s="135"/>
      <c r="F408" s="135"/>
      <c r="G408" s="189"/>
      <c r="H408" s="135"/>
      <c r="I408" s="135"/>
      <c r="J408" s="189"/>
      <c r="K408" s="135"/>
      <c r="L408" s="135"/>
      <c r="M408" s="189"/>
      <c r="N408" s="135"/>
      <c r="O408" s="135"/>
      <c r="P408" s="135"/>
      <c r="Q408" s="135"/>
      <c r="R408" s="135"/>
      <c r="S408" s="135"/>
    </row>
    <row r="409" customFormat="false" ht="15.75" hidden="false" customHeight="true" outlineLevel="0" collapsed="false">
      <c r="A409" s="135"/>
      <c r="B409" s="135"/>
      <c r="C409" s="135"/>
      <c r="D409" s="135"/>
      <c r="E409" s="135"/>
      <c r="F409" s="135"/>
      <c r="G409" s="189"/>
      <c r="H409" s="135"/>
      <c r="I409" s="135"/>
      <c r="J409" s="189"/>
      <c r="K409" s="135"/>
      <c r="L409" s="135"/>
      <c r="M409" s="189"/>
      <c r="N409" s="135"/>
      <c r="O409" s="135"/>
      <c r="P409" s="135"/>
      <c r="Q409" s="135"/>
      <c r="R409" s="135"/>
      <c r="S409" s="135"/>
    </row>
    <row r="410" customFormat="false" ht="15.75" hidden="false" customHeight="true" outlineLevel="0" collapsed="false">
      <c r="A410" s="135"/>
      <c r="B410" s="135"/>
      <c r="C410" s="135"/>
      <c r="D410" s="135"/>
      <c r="E410" s="135"/>
      <c r="F410" s="135"/>
      <c r="G410" s="189"/>
      <c r="H410" s="135"/>
      <c r="I410" s="135"/>
      <c r="J410" s="189"/>
      <c r="K410" s="135"/>
      <c r="L410" s="135"/>
      <c r="M410" s="189"/>
      <c r="N410" s="135"/>
      <c r="O410" s="135"/>
      <c r="P410" s="135"/>
      <c r="Q410" s="135"/>
      <c r="R410" s="135"/>
      <c r="S410" s="135"/>
    </row>
    <row r="411" customFormat="false" ht="15.75" hidden="false" customHeight="true" outlineLevel="0" collapsed="false">
      <c r="A411" s="135"/>
      <c r="B411" s="135"/>
      <c r="C411" s="135"/>
      <c r="D411" s="135"/>
      <c r="E411" s="135"/>
      <c r="F411" s="135"/>
      <c r="G411" s="189"/>
      <c r="H411" s="135"/>
      <c r="I411" s="135"/>
      <c r="J411" s="189"/>
      <c r="K411" s="135"/>
      <c r="L411" s="135"/>
      <c r="M411" s="189"/>
      <c r="N411" s="135"/>
      <c r="O411" s="135"/>
      <c r="P411" s="135"/>
      <c r="Q411" s="135"/>
      <c r="R411" s="135"/>
      <c r="S411" s="135"/>
    </row>
    <row r="412" customFormat="false" ht="15.75" hidden="false" customHeight="true" outlineLevel="0" collapsed="false">
      <c r="A412" s="135"/>
      <c r="B412" s="135"/>
      <c r="C412" s="135"/>
      <c r="D412" s="135"/>
      <c r="E412" s="135"/>
      <c r="F412" s="135"/>
      <c r="G412" s="189"/>
      <c r="H412" s="135"/>
      <c r="I412" s="135"/>
      <c r="J412" s="189"/>
      <c r="K412" s="135"/>
      <c r="L412" s="135"/>
      <c r="M412" s="189"/>
      <c r="N412" s="135"/>
      <c r="O412" s="135"/>
      <c r="P412" s="135"/>
      <c r="Q412" s="135"/>
      <c r="R412" s="135"/>
      <c r="S412" s="135"/>
    </row>
    <row r="413" customFormat="false" ht="15.75" hidden="false" customHeight="true" outlineLevel="0" collapsed="false">
      <c r="A413" s="135"/>
      <c r="B413" s="135"/>
      <c r="C413" s="135"/>
      <c r="D413" s="135"/>
      <c r="E413" s="135"/>
      <c r="F413" s="135"/>
      <c r="G413" s="189"/>
      <c r="H413" s="135"/>
      <c r="I413" s="135"/>
      <c r="J413" s="189"/>
      <c r="K413" s="135"/>
      <c r="L413" s="135"/>
      <c r="M413" s="189"/>
      <c r="N413" s="135"/>
      <c r="O413" s="135"/>
      <c r="P413" s="135"/>
      <c r="Q413" s="135"/>
      <c r="R413" s="135"/>
      <c r="S413" s="135"/>
    </row>
    <row r="414" customFormat="false" ht="15.75" hidden="false" customHeight="true" outlineLevel="0" collapsed="false">
      <c r="A414" s="135"/>
      <c r="B414" s="135"/>
      <c r="C414" s="135"/>
      <c r="D414" s="135"/>
      <c r="E414" s="135"/>
      <c r="F414" s="135"/>
      <c r="G414" s="189"/>
      <c r="H414" s="135"/>
      <c r="I414" s="135"/>
      <c r="J414" s="189"/>
      <c r="K414" s="135"/>
      <c r="L414" s="135"/>
      <c r="M414" s="189"/>
      <c r="N414" s="135"/>
      <c r="O414" s="135"/>
      <c r="P414" s="135"/>
      <c r="Q414" s="135"/>
      <c r="R414" s="135"/>
      <c r="S414" s="135"/>
    </row>
    <row r="415" customFormat="false" ht="15.75" hidden="false" customHeight="true" outlineLevel="0" collapsed="false">
      <c r="A415" s="135"/>
      <c r="B415" s="135"/>
      <c r="C415" s="135"/>
      <c r="D415" s="135"/>
      <c r="E415" s="135"/>
      <c r="F415" s="135"/>
      <c r="G415" s="189"/>
      <c r="H415" s="135"/>
      <c r="I415" s="135"/>
      <c r="J415" s="189"/>
      <c r="K415" s="135"/>
      <c r="L415" s="135"/>
      <c r="M415" s="189"/>
      <c r="N415" s="135"/>
      <c r="O415" s="135"/>
      <c r="P415" s="135"/>
      <c r="Q415" s="135"/>
      <c r="R415" s="135"/>
      <c r="S415" s="135"/>
    </row>
    <row r="416" customFormat="false" ht="15.75" hidden="false" customHeight="true" outlineLevel="0" collapsed="false">
      <c r="A416" s="135"/>
      <c r="B416" s="135"/>
      <c r="C416" s="135"/>
      <c r="D416" s="135"/>
      <c r="E416" s="135"/>
      <c r="F416" s="135"/>
      <c r="G416" s="189"/>
      <c r="H416" s="135"/>
      <c r="I416" s="135"/>
      <c r="J416" s="189"/>
      <c r="K416" s="135"/>
      <c r="L416" s="135"/>
      <c r="M416" s="189"/>
      <c r="N416" s="135"/>
      <c r="O416" s="135"/>
      <c r="P416" s="135"/>
      <c r="Q416" s="135"/>
      <c r="R416" s="135"/>
      <c r="S416" s="135"/>
    </row>
    <row r="417" customFormat="false" ht="15.75" hidden="false" customHeight="true" outlineLevel="0" collapsed="false">
      <c r="A417" s="135"/>
      <c r="B417" s="135"/>
      <c r="C417" s="135"/>
      <c r="D417" s="135"/>
      <c r="E417" s="135"/>
      <c r="F417" s="135"/>
      <c r="G417" s="189"/>
      <c r="H417" s="135"/>
      <c r="I417" s="135"/>
      <c r="J417" s="189"/>
      <c r="K417" s="135"/>
      <c r="L417" s="135"/>
      <c r="M417" s="189"/>
      <c r="N417" s="135"/>
      <c r="O417" s="135"/>
      <c r="P417" s="135"/>
      <c r="Q417" s="135"/>
      <c r="R417" s="135"/>
      <c r="S417" s="135"/>
    </row>
    <row r="418" customFormat="false" ht="15.75" hidden="false" customHeight="true" outlineLevel="0" collapsed="false">
      <c r="A418" s="135"/>
      <c r="B418" s="135"/>
      <c r="C418" s="135"/>
      <c r="D418" s="135"/>
      <c r="E418" s="135"/>
      <c r="F418" s="135"/>
      <c r="G418" s="189"/>
      <c r="H418" s="135"/>
      <c r="I418" s="135"/>
      <c r="J418" s="189"/>
      <c r="K418" s="135"/>
      <c r="L418" s="135"/>
      <c r="M418" s="189"/>
      <c r="N418" s="135"/>
      <c r="O418" s="135"/>
      <c r="P418" s="135"/>
      <c r="Q418" s="135"/>
      <c r="R418" s="135"/>
      <c r="S418" s="135"/>
    </row>
    <row r="419" customFormat="false" ht="15.75" hidden="false" customHeight="true" outlineLevel="0" collapsed="false">
      <c r="A419" s="135"/>
      <c r="B419" s="135"/>
      <c r="C419" s="135"/>
      <c r="D419" s="135"/>
      <c r="E419" s="135"/>
      <c r="F419" s="135"/>
      <c r="G419" s="189"/>
      <c r="H419" s="135"/>
      <c r="I419" s="135"/>
      <c r="J419" s="189"/>
      <c r="K419" s="135"/>
      <c r="L419" s="135"/>
      <c r="M419" s="189"/>
      <c r="N419" s="135"/>
      <c r="O419" s="135"/>
      <c r="P419" s="135"/>
      <c r="Q419" s="135"/>
      <c r="R419" s="135"/>
      <c r="S419" s="135"/>
    </row>
    <row r="420" customFormat="false" ht="15.75" hidden="false" customHeight="true" outlineLevel="0" collapsed="false">
      <c r="A420" s="135"/>
      <c r="B420" s="135"/>
      <c r="C420" s="135"/>
      <c r="D420" s="135"/>
      <c r="E420" s="135"/>
      <c r="F420" s="135"/>
      <c r="G420" s="189"/>
      <c r="H420" s="135"/>
      <c r="I420" s="135"/>
      <c r="J420" s="189"/>
      <c r="K420" s="135"/>
      <c r="L420" s="135"/>
      <c r="M420" s="189"/>
      <c r="N420" s="135"/>
      <c r="O420" s="135"/>
      <c r="P420" s="135"/>
      <c r="Q420" s="135"/>
      <c r="R420" s="135"/>
      <c r="S420" s="135"/>
    </row>
    <row r="421" customFormat="false" ht="15.75" hidden="false" customHeight="true" outlineLevel="0" collapsed="false">
      <c r="A421" s="135"/>
      <c r="B421" s="135"/>
      <c r="C421" s="135"/>
      <c r="D421" s="135"/>
      <c r="E421" s="135"/>
      <c r="F421" s="135"/>
      <c r="G421" s="189"/>
      <c r="H421" s="135"/>
      <c r="I421" s="135"/>
      <c r="J421" s="189"/>
      <c r="K421" s="135"/>
      <c r="L421" s="135"/>
      <c r="M421" s="189"/>
      <c r="N421" s="135"/>
      <c r="O421" s="135"/>
      <c r="P421" s="135"/>
      <c r="Q421" s="135"/>
      <c r="R421" s="135"/>
      <c r="S421" s="135"/>
    </row>
    <row r="422" customFormat="false" ht="15.75" hidden="false" customHeight="true" outlineLevel="0" collapsed="false">
      <c r="A422" s="135"/>
      <c r="B422" s="135"/>
      <c r="C422" s="135"/>
      <c r="D422" s="135"/>
      <c r="E422" s="135"/>
      <c r="F422" s="135"/>
      <c r="G422" s="189"/>
      <c r="H422" s="135"/>
      <c r="I422" s="135"/>
      <c r="J422" s="189"/>
      <c r="K422" s="135"/>
      <c r="L422" s="135"/>
      <c r="M422" s="189"/>
      <c r="N422" s="135"/>
      <c r="O422" s="135"/>
      <c r="P422" s="135"/>
      <c r="Q422" s="135"/>
      <c r="R422" s="135"/>
      <c r="S422" s="135"/>
    </row>
    <row r="423" customFormat="false" ht="15.75" hidden="false" customHeight="true" outlineLevel="0" collapsed="false">
      <c r="A423" s="135"/>
      <c r="B423" s="135"/>
      <c r="C423" s="135"/>
      <c r="D423" s="135"/>
      <c r="E423" s="135"/>
      <c r="F423" s="135"/>
      <c r="G423" s="189"/>
      <c r="H423" s="135"/>
      <c r="I423" s="135"/>
      <c r="J423" s="189"/>
      <c r="K423" s="135"/>
      <c r="L423" s="135"/>
      <c r="M423" s="189"/>
      <c r="N423" s="135"/>
      <c r="O423" s="135"/>
      <c r="P423" s="135"/>
      <c r="Q423" s="135"/>
      <c r="R423" s="135"/>
      <c r="S423" s="135"/>
    </row>
    <row r="424" customFormat="false" ht="15.75" hidden="false" customHeight="true" outlineLevel="0" collapsed="false">
      <c r="A424" s="135"/>
      <c r="B424" s="135"/>
      <c r="C424" s="135"/>
      <c r="D424" s="135"/>
      <c r="E424" s="135"/>
      <c r="F424" s="135"/>
      <c r="G424" s="189"/>
      <c r="H424" s="135"/>
      <c r="I424" s="135"/>
      <c r="J424" s="189"/>
      <c r="K424" s="135"/>
      <c r="L424" s="135"/>
      <c r="M424" s="189"/>
      <c r="N424" s="135"/>
      <c r="O424" s="135"/>
      <c r="P424" s="135"/>
      <c r="Q424" s="135"/>
      <c r="R424" s="135"/>
      <c r="S424" s="135"/>
    </row>
    <row r="425" customFormat="false" ht="15.75" hidden="false" customHeight="true" outlineLevel="0" collapsed="false">
      <c r="A425" s="135"/>
      <c r="B425" s="135"/>
      <c r="C425" s="135"/>
      <c r="D425" s="135"/>
      <c r="E425" s="135"/>
      <c r="F425" s="135"/>
      <c r="G425" s="189"/>
      <c r="H425" s="135"/>
      <c r="I425" s="135"/>
      <c r="J425" s="189"/>
      <c r="K425" s="135"/>
      <c r="L425" s="135"/>
      <c r="M425" s="189"/>
      <c r="N425" s="135"/>
      <c r="O425" s="135"/>
      <c r="P425" s="135"/>
      <c r="Q425" s="135"/>
      <c r="R425" s="135"/>
      <c r="S425" s="135"/>
    </row>
    <row r="426" customFormat="false" ht="15.75" hidden="false" customHeight="true" outlineLevel="0" collapsed="false">
      <c r="A426" s="135"/>
      <c r="B426" s="135"/>
      <c r="C426" s="135"/>
      <c r="D426" s="135"/>
      <c r="E426" s="135"/>
      <c r="F426" s="135"/>
      <c r="G426" s="189"/>
      <c r="H426" s="135"/>
      <c r="I426" s="135"/>
      <c r="J426" s="189"/>
      <c r="K426" s="135"/>
      <c r="L426" s="135"/>
      <c r="M426" s="189"/>
      <c r="N426" s="135"/>
      <c r="O426" s="135"/>
      <c r="P426" s="135"/>
      <c r="Q426" s="135"/>
      <c r="R426" s="135"/>
      <c r="S426" s="135"/>
    </row>
    <row r="427" customFormat="false" ht="15.75" hidden="false" customHeight="true" outlineLevel="0" collapsed="false">
      <c r="A427" s="135"/>
      <c r="B427" s="135"/>
      <c r="C427" s="135"/>
      <c r="D427" s="135"/>
      <c r="E427" s="135"/>
      <c r="F427" s="135"/>
      <c r="G427" s="189"/>
      <c r="H427" s="135"/>
      <c r="I427" s="135"/>
      <c r="J427" s="189"/>
      <c r="K427" s="135"/>
      <c r="L427" s="135"/>
      <c r="M427" s="189"/>
      <c r="N427" s="135"/>
      <c r="O427" s="135"/>
      <c r="P427" s="135"/>
      <c r="Q427" s="135"/>
      <c r="R427" s="135"/>
      <c r="S427" s="135"/>
    </row>
    <row r="428" customFormat="false" ht="15.75" hidden="false" customHeight="true" outlineLevel="0" collapsed="false">
      <c r="A428" s="135"/>
      <c r="B428" s="135"/>
      <c r="C428" s="135"/>
      <c r="D428" s="135"/>
      <c r="E428" s="135"/>
      <c r="F428" s="135"/>
      <c r="G428" s="189"/>
      <c r="H428" s="135"/>
      <c r="I428" s="135"/>
      <c r="J428" s="189"/>
      <c r="K428" s="135"/>
      <c r="L428" s="135"/>
      <c r="M428" s="189"/>
      <c r="N428" s="135"/>
      <c r="O428" s="135"/>
      <c r="P428" s="135"/>
      <c r="Q428" s="135"/>
      <c r="R428" s="135"/>
      <c r="S428" s="135"/>
    </row>
    <row r="429" customFormat="false" ht="15.75" hidden="false" customHeight="true" outlineLevel="0" collapsed="false">
      <c r="A429" s="135"/>
      <c r="B429" s="135"/>
      <c r="C429" s="135"/>
      <c r="D429" s="135"/>
      <c r="E429" s="135"/>
      <c r="F429" s="135"/>
      <c r="G429" s="189"/>
      <c r="H429" s="135"/>
      <c r="I429" s="135"/>
      <c r="J429" s="189"/>
      <c r="K429" s="135"/>
      <c r="L429" s="135"/>
      <c r="M429" s="189"/>
      <c r="N429" s="135"/>
      <c r="O429" s="135"/>
      <c r="P429" s="135"/>
      <c r="Q429" s="135"/>
      <c r="R429" s="135"/>
      <c r="S429" s="135"/>
    </row>
    <row r="430" customFormat="false" ht="15.75" hidden="false" customHeight="true" outlineLevel="0" collapsed="false">
      <c r="A430" s="135"/>
      <c r="B430" s="135"/>
      <c r="C430" s="135"/>
      <c r="D430" s="135"/>
      <c r="E430" s="135"/>
      <c r="F430" s="135"/>
      <c r="G430" s="189"/>
      <c r="H430" s="135"/>
      <c r="I430" s="135"/>
      <c r="J430" s="189"/>
      <c r="K430" s="135"/>
      <c r="L430" s="135"/>
      <c r="M430" s="189"/>
      <c r="N430" s="135"/>
      <c r="O430" s="135"/>
      <c r="P430" s="135"/>
      <c r="Q430" s="135"/>
      <c r="R430" s="135"/>
      <c r="S430" s="135"/>
    </row>
    <row r="431" customFormat="false" ht="15.75" hidden="false" customHeight="true" outlineLevel="0" collapsed="false">
      <c r="A431" s="135"/>
      <c r="B431" s="135"/>
      <c r="C431" s="135"/>
      <c r="D431" s="135"/>
      <c r="E431" s="135"/>
      <c r="F431" s="135"/>
      <c r="G431" s="189"/>
      <c r="H431" s="135"/>
      <c r="I431" s="135"/>
      <c r="J431" s="189"/>
      <c r="K431" s="135"/>
      <c r="L431" s="135"/>
      <c r="M431" s="189"/>
      <c r="N431" s="135"/>
      <c r="O431" s="135"/>
      <c r="P431" s="135"/>
      <c r="Q431" s="135"/>
      <c r="R431" s="135"/>
      <c r="S431" s="135"/>
    </row>
    <row r="432" customFormat="false" ht="15.75" hidden="false" customHeight="true" outlineLevel="0" collapsed="false">
      <c r="A432" s="135"/>
      <c r="B432" s="135"/>
      <c r="C432" s="135"/>
      <c r="D432" s="135"/>
      <c r="E432" s="135"/>
      <c r="F432" s="135"/>
      <c r="G432" s="189"/>
      <c r="H432" s="135"/>
      <c r="I432" s="135"/>
      <c r="J432" s="189"/>
      <c r="K432" s="135"/>
      <c r="L432" s="135"/>
      <c r="M432" s="189"/>
      <c r="N432" s="135"/>
      <c r="O432" s="135"/>
      <c r="P432" s="135"/>
      <c r="Q432" s="135"/>
      <c r="R432" s="135"/>
      <c r="S432" s="135"/>
    </row>
    <row r="433" customFormat="false" ht="15.75" hidden="false" customHeight="true" outlineLevel="0" collapsed="false">
      <c r="A433" s="135"/>
      <c r="B433" s="135"/>
      <c r="C433" s="135"/>
      <c r="D433" s="135"/>
      <c r="E433" s="135"/>
      <c r="F433" s="135"/>
      <c r="G433" s="189"/>
      <c r="H433" s="135"/>
      <c r="I433" s="135"/>
      <c r="J433" s="189"/>
      <c r="K433" s="135"/>
      <c r="L433" s="135"/>
      <c r="M433" s="189"/>
      <c r="N433" s="135"/>
      <c r="O433" s="135"/>
      <c r="P433" s="135"/>
      <c r="Q433" s="135"/>
      <c r="R433" s="135"/>
      <c r="S433" s="135"/>
    </row>
    <row r="434" customFormat="false" ht="15.75" hidden="false" customHeight="true" outlineLevel="0" collapsed="false">
      <c r="A434" s="135"/>
      <c r="B434" s="135"/>
      <c r="C434" s="135"/>
      <c r="D434" s="135"/>
      <c r="E434" s="135"/>
      <c r="F434" s="135"/>
      <c r="G434" s="189"/>
      <c r="H434" s="135"/>
      <c r="I434" s="135"/>
      <c r="J434" s="189"/>
      <c r="K434" s="135"/>
      <c r="L434" s="135"/>
      <c r="M434" s="189"/>
      <c r="N434" s="135"/>
      <c r="O434" s="135"/>
      <c r="P434" s="135"/>
      <c r="Q434" s="135"/>
      <c r="R434" s="135"/>
      <c r="S434" s="135"/>
    </row>
    <row r="435" customFormat="false" ht="15.75" hidden="false" customHeight="true" outlineLevel="0" collapsed="false">
      <c r="A435" s="135"/>
      <c r="B435" s="135"/>
      <c r="C435" s="135"/>
      <c r="D435" s="135"/>
      <c r="E435" s="135"/>
      <c r="F435" s="135"/>
      <c r="G435" s="189"/>
      <c r="H435" s="135"/>
      <c r="I435" s="135"/>
      <c r="J435" s="189"/>
      <c r="K435" s="135"/>
      <c r="L435" s="135"/>
      <c r="M435" s="189"/>
      <c r="N435" s="135"/>
      <c r="O435" s="135"/>
      <c r="P435" s="135"/>
      <c r="Q435" s="135"/>
      <c r="R435" s="135"/>
      <c r="S435" s="135"/>
    </row>
    <row r="436" customFormat="false" ht="15.75" hidden="false" customHeight="true" outlineLevel="0" collapsed="false">
      <c r="A436" s="135"/>
      <c r="B436" s="135"/>
      <c r="C436" s="135"/>
      <c r="D436" s="135"/>
      <c r="E436" s="135"/>
      <c r="F436" s="135"/>
      <c r="G436" s="189"/>
      <c r="H436" s="135"/>
      <c r="I436" s="135"/>
      <c r="J436" s="189"/>
      <c r="K436" s="135"/>
      <c r="L436" s="135"/>
      <c r="M436" s="189"/>
      <c r="N436" s="135"/>
      <c r="O436" s="135"/>
      <c r="P436" s="135"/>
      <c r="Q436" s="135"/>
      <c r="R436" s="135"/>
      <c r="S436" s="135"/>
    </row>
    <row r="437" customFormat="false" ht="15.75" hidden="false" customHeight="true" outlineLevel="0" collapsed="false">
      <c r="A437" s="135"/>
      <c r="B437" s="135"/>
      <c r="C437" s="135"/>
      <c r="D437" s="135"/>
      <c r="E437" s="135"/>
      <c r="F437" s="135"/>
      <c r="G437" s="189"/>
      <c r="H437" s="135"/>
      <c r="I437" s="135"/>
      <c r="J437" s="189"/>
      <c r="K437" s="135"/>
      <c r="L437" s="135"/>
      <c r="M437" s="189"/>
      <c r="N437" s="135"/>
      <c r="O437" s="135"/>
      <c r="P437" s="135"/>
      <c r="Q437" s="135"/>
      <c r="R437" s="135"/>
      <c r="S437" s="135"/>
    </row>
    <row r="438" customFormat="false" ht="15.75" hidden="false" customHeight="true" outlineLevel="0" collapsed="false">
      <c r="A438" s="135"/>
      <c r="B438" s="135"/>
      <c r="C438" s="135"/>
      <c r="D438" s="135"/>
      <c r="E438" s="135"/>
      <c r="F438" s="135"/>
      <c r="G438" s="189"/>
      <c r="H438" s="135"/>
      <c r="I438" s="135"/>
      <c r="J438" s="189"/>
      <c r="K438" s="135"/>
      <c r="L438" s="135"/>
      <c r="M438" s="189"/>
      <c r="N438" s="135"/>
      <c r="O438" s="135"/>
      <c r="P438" s="135"/>
      <c r="Q438" s="135"/>
      <c r="R438" s="135"/>
      <c r="S438" s="135"/>
    </row>
    <row r="439" customFormat="false" ht="15.75" hidden="false" customHeight="true" outlineLevel="0" collapsed="false">
      <c r="A439" s="135"/>
      <c r="B439" s="135"/>
      <c r="C439" s="135"/>
      <c r="D439" s="135"/>
      <c r="E439" s="135"/>
      <c r="F439" s="135"/>
      <c r="G439" s="189"/>
      <c r="H439" s="135"/>
      <c r="I439" s="135"/>
      <c r="J439" s="189"/>
      <c r="K439" s="135"/>
      <c r="L439" s="135"/>
      <c r="M439" s="189"/>
      <c r="N439" s="135"/>
      <c r="O439" s="135"/>
      <c r="P439" s="135"/>
      <c r="Q439" s="135"/>
      <c r="R439" s="135"/>
      <c r="S439" s="135"/>
    </row>
    <row r="440" customFormat="false" ht="15.75" hidden="false" customHeight="true" outlineLevel="0" collapsed="false">
      <c r="A440" s="135"/>
      <c r="B440" s="135"/>
      <c r="C440" s="135"/>
      <c r="D440" s="135"/>
      <c r="E440" s="135"/>
      <c r="F440" s="135"/>
      <c r="G440" s="189"/>
      <c r="H440" s="135"/>
      <c r="I440" s="135"/>
      <c r="J440" s="189"/>
      <c r="K440" s="135"/>
      <c r="L440" s="135"/>
      <c r="M440" s="189"/>
      <c r="N440" s="135"/>
      <c r="O440" s="135"/>
      <c r="P440" s="135"/>
      <c r="Q440" s="135"/>
      <c r="R440" s="135"/>
      <c r="S440" s="135"/>
    </row>
    <row r="441" customFormat="false" ht="15.75" hidden="false" customHeight="true" outlineLevel="0" collapsed="false">
      <c r="A441" s="135"/>
      <c r="B441" s="135"/>
      <c r="C441" s="135"/>
      <c r="D441" s="135"/>
      <c r="E441" s="135"/>
      <c r="F441" s="135"/>
      <c r="G441" s="189"/>
      <c r="H441" s="135"/>
      <c r="I441" s="135"/>
      <c r="J441" s="189"/>
      <c r="K441" s="135"/>
      <c r="L441" s="135"/>
      <c r="M441" s="189"/>
      <c r="N441" s="135"/>
      <c r="O441" s="135"/>
      <c r="P441" s="135"/>
      <c r="Q441" s="135"/>
      <c r="R441" s="135"/>
      <c r="S441" s="135"/>
    </row>
    <row r="442" customFormat="false" ht="15.75" hidden="false" customHeight="true" outlineLevel="0" collapsed="false">
      <c r="A442" s="135"/>
      <c r="B442" s="135"/>
      <c r="C442" s="135"/>
      <c r="D442" s="135"/>
      <c r="E442" s="135"/>
      <c r="F442" s="135"/>
      <c r="G442" s="189"/>
      <c r="H442" s="135"/>
      <c r="I442" s="135"/>
      <c r="J442" s="189"/>
      <c r="K442" s="135"/>
      <c r="L442" s="135"/>
      <c r="M442" s="189"/>
      <c r="N442" s="135"/>
      <c r="O442" s="135"/>
      <c r="P442" s="135"/>
      <c r="Q442" s="135"/>
      <c r="R442" s="135"/>
      <c r="S442" s="135"/>
    </row>
    <row r="443" customFormat="false" ht="15.75" hidden="false" customHeight="true" outlineLevel="0" collapsed="false">
      <c r="A443" s="135"/>
      <c r="B443" s="135"/>
      <c r="C443" s="135"/>
      <c r="D443" s="135"/>
      <c r="E443" s="135"/>
      <c r="F443" s="135"/>
      <c r="G443" s="189"/>
      <c r="H443" s="135"/>
      <c r="I443" s="135"/>
      <c r="J443" s="189"/>
      <c r="K443" s="135"/>
      <c r="L443" s="135"/>
      <c r="M443" s="189"/>
      <c r="N443" s="135"/>
      <c r="O443" s="135"/>
      <c r="P443" s="135"/>
      <c r="Q443" s="135"/>
      <c r="R443" s="135"/>
      <c r="S443" s="135"/>
    </row>
    <row r="444" customFormat="false" ht="15.75" hidden="false" customHeight="true" outlineLevel="0" collapsed="false">
      <c r="A444" s="135"/>
      <c r="B444" s="135"/>
      <c r="C444" s="135"/>
      <c r="D444" s="135"/>
      <c r="E444" s="135"/>
      <c r="F444" s="135"/>
      <c r="G444" s="189"/>
      <c r="H444" s="135"/>
      <c r="I444" s="135"/>
      <c r="J444" s="189"/>
      <c r="K444" s="135"/>
      <c r="L444" s="135"/>
      <c r="M444" s="189"/>
      <c r="N444" s="135"/>
      <c r="O444" s="135"/>
      <c r="P444" s="135"/>
      <c r="Q444" s="135"/>
      <c r="R444" s="135"/>
      <c r="S444" s="135"/>
    </row>
    <row r="445" customFormat="false" ht="15.75" hidden="false" customHeight="true" outlineLevel="0" collapsed="false">
      <c r="A445" s="135"/>
      <c r="B445" s="135"/>
      <c r="C445" s="135"/>
      <c r="D445" s="135"/>
      <c r="E445" s="135"/>
      <c r="F445" s="135"/>
      <c r="G445" s="189"/>
      <c r="H445" s="135"/>
      <c r="I445" s="135"/>
      <c r="J445" s="189"/>
      <c r="K445" s="135"/>
      <c r="L445" s="135"/>
      <c r="M445" s="189"/>
      <c r="N445" s="135"/>
      <c r="O445" s="135"/>
      <c r="P445" s="135"/>
      <c r="Q445" s="135"/>
      <c r="R445" s="135"/>
      <c r="S445" s="135"/>
    </row>
    <row r="446" customFormat="false" ht="15.75" hidden="false" customHeight="true" outlineLevel="0" collapsed="false">
      <c r="A446" s="135"/>
      <c r="B446" s="135"/>
      <c r="C446" s="135"/>
      <c r="D446" s="135"/>
      <c r="E446" s="135"/>
      <c r="F446" s="135"/>
      <c r="G446" s="189"/>
      <c r="H446" s="135"/>
      <c r="I446" s="135"/>
      <c r="J446" s="189"/>
      <c r="K446" s="135"/>
      <c r="L446" s="135"/>
      <c r="M446" s="189"/>
      <c r="N446" s="135"/>
      <c r="O446" s="135"/>
      <c r="P446" s="135"/>
      <c r="Q446" s="135"/>
      <c r="R446" s="135"/>
      <c r="S446" s="135"/>
    </row>
    <row r="447" customFormat="false" ht="15.75" hidden="false" customHeight="true" outlineLevel="0" collapsed="false">
      <c r="A447" s="135"/>
      <c r="B447" s="135"/>
      <c r="C447" s="135"/>
      <c r="D447" s="135"/>
      <c r="E447" s="135"/>
      <c r="F447" s="135"/>
      <c r="G447" s="189"/>
      <c r="H447" s="135"/>
      <c r="I447" s="135"/>
      <c r="J447" s="189"/>
      <c r="K447" s="135"/>
      <c r="L447" s="135"/>
      <c r="M447" s="189"/>
      <c r="N447" s="135"/>
      <c r="O447" s="135"/>
      <c r="P447" s="135"/>
      <c r="Q447" s="135"/>
      <c r="R447" s="135"/>
      <c r="S447" s="135"/>
    </row>
    <row r="448" customFormat="false" ht="15.75" hidden="false" customHeight="true" outlineLevel="0" collapsed="false">
      <c r="A448" s="135"/>
      <c r="B448" s="135"/>
      <c r="C448" s="135"/>
      <c r="D448" s="135"/>
      <c r="E448" s="135"/>
      <c r="F448" s="135"/>
      <c r="G448" s="189"/>
      <c r="H448" s="135"/>
      <c r="I448" s="135"/>
      <c r="J448" s="189"/>
      <c r="K448" s="135"/>
      <c r="L448" s="135"/>
      <c r="M448" s="189"/>
      <c r="N448" s="135"/>
      <c r="O448" s="135"/>
      <c r="P448" s="135"/>
      <c r="Q448" s="135"/>
      <c r="R448" s="135"/>
      <c r="S448" s="135"/>
    </row>
    <row r="449" customFormat="false" ht="15.75" hidden="false" customHeight="true" outlineLevel="0" collapsed="false">
      <c r="A449" s="135"/>
      <c r="B449" s="135"/>
      <c r="C449" s="135"/>
      <c r="D449" s="135"/>
      <c r="E449" s="135"/>
      <c r="F449" s="135"/>
      <c r="G449" s="189"/>
      <c r="H449" s="135"/>
      <c r="I449" s="135"/>
      <c r="J449" s="189"/>
      <c r="K449" s="135"/>
      <c r="L449" s="135"/>
      <c r="M449" s="189"/>
      <c r="N449" s="135"/>
      <c r="O449" s="135"/>
      <c r="P449" s="135"/>
      <c r="Q449" s="135"/>
      <c r="R449" s="135"/>
      <c r="S449" s="135"/>
    </row>
    <row r="450" customFormat="false" ht="15.75" hidden="false" customHeight="true" outlineLevel="0" collapsed="false">
      <c r="A450" s="135"/>
      <c r="B450" s="135"/>
      <c r="C450" s="135"/>
      <c r="D450" s="135"/>
      <c r="E450" s="135"/>
      <c r="F450" s="135"/>
      <c r="G450" s="189"/>
      <c r="H450" s="135"/>
      <c r="I450" s="135"/>
      <c r="J450" s="189"/>
      <c r="K450" s="135"/>
      <c r="L450" s="135"/>
      <c r="M450" s="189"/>
      <c r="N450" s="135"/>
      <c r="O450" s="135"/>
      <c r="P450" s="135"/>
      <c r="Q450" s="135"/>
      <c r="R450" s="135"/>
      <c r="S450" s="135"/>
    </row>
    <row r="451" customFormat="false" ht="15.75" hidden="false" customHeight="true" outlineLevel="0" collapsed="false">
      <c r="A451" s="135"/>
      <c r="B451" s="135"/>
      <c r="C451" s="135"/>
      <c r="D451" s="135"/>
      <c r="E451" s="135"/>
      <c r="F451" s="135"/>
      <c r="G451" s="189"/>
      <c r="H451" s="135"/>
      <c r="I451" s="135"/>
      <c r="J451" s="189"/>
      <c r="K451" s="135"/>
      <c r="L451" s="135"/>
      <c r="M451" s="189"/>
      <c r="N451" s="135"/>
      <c r="O451" s="135"/>
      <c r="P451" s="135"/>
      <c r="Q451" s="135"/>
      <c r="R451" s="135"/>
      <c r="S451" s="135"/>
    </row>
    <row r="452" customFormat="false" ht="15.75" hidden="false" customHeight="true" outlineLevel="0" collapsed="false">
      <c r="A452" s="135"/>
      <c r="B452" s="135"/>
      <c r="C452" s="135"/>
      <c r="D452" s="135"/>
      <c r="E452" s="135"/>
      <c r="F452" s="135"/>
      <c r="G452" s="189"/>
      <c r="H452" s="135"/>
      <c r="I452" s="135"/>
      <c r="J452" s="189"/>
      <c r="K452" s="135"/>
      <c r="L452" s="135"/>
      <c r="M452" s="189"/>
      <c r="N452" s="135"/>
      <c r="O452" s="135"/>
      <c r="P452" s="135"/>
      <c r="Q452" s="135"/>
      <c r="R452" s="135"/>
      <c r="S452" s="135"/>
    </row>
    <row r="453" customFormat="false" ht="15.75" hidden="false" customHeight="true" outlineLevel="0" collapsed="false">
      <c r="A453" s="135"/>
      <c r="B453" s="135"/>
      <c r="C453" s="135"/>
      <c r="D453" s="135"/>
      <c r="E453" s="135"/>
      <c r="F453" s="135"/>
      <c r="G453" s="189"/>
      <c r="H453" s="135"/>
      <c r="I453" s="135"/>
      <c r="J453" s="189"/>
      <c r="K453" s="135"/>
      <c r="L453" s="135"/>
      <c r="M453" s="189"/>
      <c r="N453" s="135"/>
      <c r="O453" s="135"/>
      <c r="P453" s="135"/>
      <c r="Q453" s="135"/>
      <c r="R453" s="135"/>
      <c r="S453" s="135"/>
    </row>
    <row r="454" customFormat="false" ht="15.75" hidden="false" customHeight="true" outlineLevel="0" collapsed="false">
      <c r="A454" s="135"/>
      <c r="B454" s="135"/>
      <c r="C454" s="135"/>
      <c r="D454" s="135"/>
      <c r="E454" s="135"/>
      <c r="F454" s="135"/>
      <c r="G454" s="189"/>
      <c r="H454" s="135"/>
      <c r="I454" s="135"/>
      <c r="J454" s="189"/>
      <c r="K454" s="135"/>
      <c r="L454" s="135"/>
      <c r="M454" s="189"/>
      <c r="N454" s="135"/>
      <c r="O454" s="135"/>
      <c r="P454" s="135"/>
      <c r="Q454" s="135"/>
      <c r="R454" s="135"/>
      <c r="S454" s="135"/>
    </row>
    <row r="455" customFormat="false" ht="15.75" hidden="false" customHeight="true" outlineLevel="0" collapsed="false">
      <c r="A455" s="135"/>
      <c r="B455" s="135"/>
      <c r="C455" s="135"/>
      <c r="D455" s="135"/>
      <c r="E455" s="135"/>
      <c r="F455" s="135"/>
      <c r="G455" s="189"/>
      <c r="H455" s="135"/>
      <c r="I455" s="135"/>
      <c r="J455" s="189"/>
      <c r="K455" s="135"/>
      <c r="L455" s="135"/>
      <c r="M455" s="189"/>
      <c r="N455" s="135"/>
      <c r="O455" s="135"/>
      <c r="P455" s="135"/>
      <c r="Q455" s="135"/>
      <c r="R455" s="135"/>
      <c r="S455" s="135"/>
    </row>
    <row r="456" customFormat="false" ht="15.75" hidden="false" customHeight="true" outlineLevel="0" collapsed="false">
      <c r="A456" s="135"/>
      <c r="B456" s="135"/>
      <c r="C456" s="135"/>
      <c r="D456" s="135"/>
      <c r="E456" s="135"/>
      <c r="F456" s="135"/>
      <c r="G456" s="189"/>
      <c r="H456" s="135"/>
      <c r="I456" s="135"/>
      <c r="J456" s="189"/>
      <c r="K456" s="135"/>
      <c r="L456" s="135"/>
      <c r="M456" s="189"/>
      <c r="N456" s="135"/>
      <c r="O456" s="135"/>
      <c r="P456" s="135"/>
      <c r="Q456" s="135"/>
      <c r="R456" s="135"/>
      <c r="S456" s="135"/>
    </row>
    <row r="457" customFormat="false" ht="15.75" hidden="false" customHeight="true" outlineLevel="0" collapsed="false">
      <c r="A457" s="135"/>
      <c r="B457" s="135"/>
      <c r="C457" s="135"/>
      <c r="D457" s="135"/>
      <c r="E457" s="135"/>
      <c r="F457" s="135"/>
      <c r="G457" s="189"/>
      <c r="H457" s="135"/>
      <c r="I457" s="135"/>
      <c r="J457" s="189"/>
      <c r="K457" s="135"/>
      <c r="L457" s="135"/>
      <c r="M457" s="189"/>
      <c r="N457" s="135"/>
      <c r="O457" s="135"/>
      <c r="P457" s="135"/>
      <c r="Q457" s="135"/>
      <c r="R457" s="135"/>
      <c r="S457" s="135"/>
    </row>
    <row r="458" customFormat="false" ht="15.75" hidden="false" customHeight="true" outlineLevel="0" collapsed="false">
      <c r="A458" s="135"/>
      <c r="B458" s="135"/>
      <c r="C458" s="135"/>
      <c r="D458" s="135"/>
      <c r="E458" s="135"/>
      <c r="F458" s="135"/>
      <c r="G458" s="189"/>
      <c r="H458" s="135"/>
      <c r="I458" s="135"/>
      <c r="J458" s="189"/>
      <c r="K458" s="135"/>
      <c r="L458" s="135"/>
      <c r="M458" s="189"/>
      <c r="N458" s="135"/>
      <c r="O458" s="135"/>
      <c r="P458" s="135"/>
      <c r="Q458" s="135"/>
      <c r="R458" s="135"/>
      <c r="S458" s="135"/>
    </row>
    <row r="459" customFormat="false" ht="15.75" hidden="false" customHeight="true" outlineLevel="0" collapsed="false">
      <c r="A459" s="135"/>
      <c r="B459" s="135"/>
      <c r="C459" s="135"/>
      <c r="D459" s="135"/>
      <c r="E459" s="135"/>
      <c r="F459" s="135"/>
      <c r="G459" s="189"/>
      <c r="H459" s="135"/>
      <c r="I459" s="135"/>
      <c r="J459" s="189"/>
      <c r="K459" s="135"/>
      <c r="L459" s="135"/>
      <c r="M459" s="189"/>
      <c r="N459" s="135"/>
      <c r="O459" s="135"/>
      <c r="P459" s="135"/>
      <c r="Q459" s="135"/>
      <c r="R459" s="135"/>
      <c r="S459" s="135"/>
    </row>
    <row r="460" customFormat="false" ht="15.75" hidden="false" customHeight="true" outlineLevel="0" collapsed="false">
      <c r="A460" s="135"/>
      <c r="B460" s="135"/>
      <c r="C460" s="135"/>
      <c r="D460" s="135"/>
      <c r="E460" s="135"/>
      <c r="F460" s="135"/>
      <c r="G460" s="189"/>
      <c r="H460" s="135"/>
      <c r="I460" s="135"/>
      <c r="J460" s="189"/>
      <c r="K460" s="135"/>
      <c r="L460" s="135"/>
      <c r="M460" s="189"/>
      <c r="N460" s="135"/>
      <c r="O460" s="135"/>
      <c r="P460" s="135"/>
      <c r="Q460" s="135"/>
      <c r="R460" s="135"/>
      <c r="S460" s="135"/>
    </row>
    <row r="461" customFormat="false" ht="15.75" hidden="false" customHeight="true" outlineLevel="0" collapsed="false">
      <c r="A461" s="135"/>
      <c r="B461" s="135"/>
      <c r="C461" s="135"/>
      <c r="D461" s="135"/>
      <c r="E461" s="135"/>
      <c r="F461" s="135"/>
      <c r="G461" s="189"/>
      <c r="H461" s="135"/>
      <c r="I461" s="135"/>
      <c r="J461" s="189"/>
      <c r="K461" s="135"/>
      <c r="L461" s="135"/>
      <c r="M461" s="189"/>
      <c r="N461" s="135"/>
      <c r="O461" s="135"/>
      <c r="P461" s="135"/>
      <c r="Q461" s="135"/>
      <c r="R461" s="135"/>
      <c r="S461" s="135"/>
    </row>
    <row r="462" customFormat="false" ht="15.75" hidden="false" customHeight="true" outlineLevel="0" collapsed="false">
      <c r="A462" s="135"/>
      <c r="B462" s="135"/>
      <c r="C462" s="135"/>
      <c r="D462" s="135"/>
      <c r="E462" s="135"/>
      <c r="F462" s="135"/>
      <c r="G462" s="189"/>
      <c r="H462" s="135"/>
      <c r="I462" s="135"/>
      <c r="J462" s="189"/>
      <c r="K462" s="135"/>
      <c r="L462" s="135"/>
      <c r="M462" s="189"/>
      <c r="N462" s="135"/>
      <c r="O462" s="135"/>
      <c r="P462" s="135"/>
      <c r="Q462" s="135"/>
      <c r="R462" s="135"/>
      <c r="S462" s="135"/>
    </row>
    <row r="463" customFormat="false" ht="15.75" hidden="false" customHeight="true" outlineLevel="0" collapsed="false">
      <c r="A463" s="135"/>
      <c r="B463" s="135"/>
      <c r="C463" s="135"/>
      <c r="D463" s="135"/>
      <c r="E463" s="135"/>
      <c r="F463" s="135"/>
      <c r="G463" s="189"/>
      <c r="H463" s="135"/>
      <c r="I463" s="135"/>
      <c r="J463" s="189"/>
      <c r="K463" s="135"/>
      <c r="L463" s="135"/>
      <c r="M463" s="189"/>
      <c r="N463" s="135"/>
      <c r="O463" s="135"/>
      <c r="P463" s="135"/>
      <c r="Q463" s="135"/>
      <c r="R463" s="135"/>
      <c r="S463" s="135"/>
    </row>
    <row r="464" customFormat="false" ht="15.75" hidden="false" customHeight="true" outlineLevel="0" collapsed="false">
      <c r="A464" s="135"/>
      <c r="B464" s="135"/>
      <c r="C464" s="135"/>
      <c r="D464" s="135"/>
      <c r="E464" s="135"/>
      <c r="F464" s="135"/>
      <c r="G464" s="189"/>
      <c r="H464" s="135"/>
      <c r="I464" s="135"/>
      <c r="J464" s="189"/>
      <c r="K464" s="135"/>
      <c r="L464" s="135"/>
      <c r="M464" s="189"/>
      <c r="N464" s="135"/>
      <c r="O464" s="135"/>
      <c r="P464" s="135"/>
      <c r="Q464" s="135"/>
      <c r="R464" s="135"/>
      <c r="S464" s="135"/>
    </row>
    <row r="465" customFormat="false" ht="15.75" hidden="false" customHeight="true" outlineLevel="0" collapsed="false">
      <c r="A465" s="135"/>
      <c r="B465" s="135"/>
      <c r="C465" s="135"/>
      <c r="D465" s="135"/>
      <c r="E465" s="135"/>
      <c r="F465" s="135"/>
      <c r="G465" s="189"/>
      <c r="H465" s="135"/>
      <c r="I465" s="135"/>
      <c r="J465" s="189"/>
      <c r="K465" s="135"/>
      <c r="L465" s="135"/>
      <c r="M465" s="189"/>
      <c r="N465" s="135"/>
      <c r="O465" s="135"/>
      <c r="P465" s="135"/>
      <c r="Q465" s="135"/>
      <c r="R465" s="135"/>
      <c r="S465" s="135"/>
    </row>
    <row r="466" customFormat="false" ht="15.75" hidden="false" customHeight="true" outlineLevel="0" collapsed="false">
      <c r="A466" s="135"/>
      <c r="B466" s="135"/>
      <c r="C466" s="135"/>
      <c r="D466" s="135"/>
      <c r="E466" s="135"/>
      <c r="F466" s="135"/>
      <c r="G466" s="189"/>
      <c r="H466" s="135"/>
      <c r="I466" s="135"/>
      <c r="J466" s="189"/>
      <c r="K466" s="135"/>
      <c r="L466" s="135"/>
      <c r="M466" s="189"/>
      <c r="N466" s="135"/>
      <c r="O466" s="135"/>
      <c r="P466" s="135"/>
      <c r="Q466" s="135"/>
      <c r="R466" s="135"/>
      <c r="S466" s="135"/>
    </row>
    <row r="467" customFormat="false" ht="15.75" hidden="false" customHeight="true" outlineLevel="0" collapsed="false">
      <c r="A467" s="135"/>
      <c r="B467" s="135"/>
      <c r="C467" s="135"/>
      <c r="D467" s="135"/>
      <c r="E467" s="135"/>
      <c r="F467" s="135"/>
      <c r="G467" s="189"/>
      <c r="H467" s="135"/>
      <c r="I467" s="135"/>
      <c r="J467" s="189"/>
      <c r="K467" s="135"/>
      <c r="L467" s="135"/>
      <c r="M467" s="189"/>
      <c r="N467" s="135"/>
      <c r="O467" s="135"/>
      <c r="P467" s="135"/>
      <c r="Q467" s="135"/>
      <c r="R467" s="135"/>
      <c r="S467" s="135"/>
    </row>
    <row r="468" customFormat="false" ht="15.75" hidden="false" customHeight="true" outlineLevel="0" collapsed="false">
      <c r="A468" s="135"/>
      <c r="B468" s="135"/>
      <c r="C468" s="135"/>
      <c r="D468" s="135"/>
      <c r="E468" s="135"/>
      <c r="F468" s="135"/>
      <c r="G468" s="189"/>
      <c r="H468" s="135"/>
      <c r="I468" s="135"/>
      <c r="J468" s="189"/>
      <c r="K468" s="135"/>
      <c r="L468" s="135"/>
      <c r="M468" s="189"/>
      <c r="N468" s="135"/>
      <c r="O468" s="135"/>
      <c r="P468" s="135"/>
      <c r="Q468" s="135"/>
      <c r="R468" s="135"/>
      <c r="S468" s="135"/>
    </row>
    <row r="469" customFormat="false" ht="15.75" hidden="false" customHeight="true" outlineLevel="0" collapsed="false">
      <c r="A469" s="135"/>
      <c r="B469" s="135"/>
      <c r="C469" s="135"/>
      <c r="D469" s="135"/>
      <c r="E469" s="135"/>
      <c r="F469" s="135"/>
      <c r="G469" s="189"/>
      <c r="H469" s="135"/>
      <c r="I469" s="135"/>
      <c r="J469" s="189"/>
      <c r="K469" s="135"/>
      <c r="L469" s="135"/>
      <c r="M469" s="189"/>
      <c r="N469" s="135"/>
      <c r="O469" s="135"/>
      <c r="P469" s="135"/>
      <c r="Q469" s="135"/>
      <c r="R469" s="135"/>
      <c r="S469" s="135"/>
    </row>
    <row r="470" customFormat="false" ht="15.75" hidden="false" customHeight="true" outlineLevel="0" collapsed="false">
      <c r="A470" s="135"/>
      <c r="B470" s="135"/>
      <c r="C470" s="135"/>
      <c r="D470" s="135"/>
      <c r="E470" s="135"/>
      <c r="F470" s="135"/>
      <c r="G470" s="189"/>
      <c r="H470" s="135"/>
      <c r="I470" s="135"/>
      <c r="J470" s="189"/>
      <c r="K470" s="135"/>
      <c r="L470" s="135"/>
      <c r="M470" s="189"/>
      <c r="N470" s="135"/>
      <c r="O470" s="135"/>
      <c r="P470" s="135"/>
      <c r="Q470" s="135"/>
      <c r="R470" s="135"/>
      <c r="S470" s="135"/>
    </row>
    <row r="471" customFormat="false" ht="15.75" hidden="false" customHeight="true" outlineLevel="0" collapsed="false">
      <c r="A471" s="135"/>
      <c r="B471" s="135"/>
      <c r="C471" s="135"/>
      <c r="D471" s="135"/>
      <c r="E471" s="135"/>
      <c r="F471" s="135"/>
      <c r="G471" s="189"/>
      <c r="H471" s="135"/>
      <c r="I471" s="135"/>
      <c r="J471" s="189"/>
      <c r="K471" s="135"/>
      <c r="L471" s="135"/>
      <c r="M471" s="189"/>
      <c r="N471" s="135"/>
      <c r="O471" s="135"/>
      <c r="P471" s="135"/>
      <c r="Q471" s="135"/>
      <c r="R471" s="135"/>
      <c r="S471" s="135"/>
    </row>
    <row r="472" customFormat="false" ht="15.75" hidden="false" customHeight="true" outlineLevel="0" collapsed="false">
      <c r="A472" s="135"/>
      <c r="B472" s="135"/>
      <c r="C472" s="135"/>
      <c r="D472" s="135"/>
      <c r="E472" s="135"/>
      <c r="F472" s="135"/>
      <c r="G472" s="189"/>
      <c r="H472" s="135"/>
      <c r="I472" s="135"/>
      <c r="J472" s="189"/>
      <c r="K472" s="135"/>
      <c r="L472" s="135"/>
      <c r="M472" s="189"/>
      <c r="N472" s="135"/>
      <c r="O472" s="135"/>
      <c r="P472" s="135"/>
      <c r="Q472" s="135"/>
      <c r="R472" s="135"/>
      <c r="S472" s="135"/>
    </row>
    <row r="473" customFormat="false" ht="15.75" hidden="false" customHeight="true" outlineLevel="0" collapsed="false">
      <c r="A473" s="135"/>
      <c r="B473" s="135"/>
      <c r="C473" s="135"/>
      <c r="D473" s="135"/>
      <c r="E473" s="135"/>
      <c r="F473" s="135"/>
      <c r="G473" s="189"/>
      <c r="H473" s="135"/>
      <c r="I473" s="135"/>
      <c r="J473" s="189"/>
      <c r="K473" s="135"/>
      <c r="L473" s="135"/>
      <c r="M473" s="189"/>
      <c r="N473" s="135"/>
      <c r="O473" s="135"/>
      <c r="P473" s="135"/>
      <c r="Q473" s="135"/>
      <c r="R473" s="135"/>
      <c r="S473" s="135"/>
    </row>
    <row r="474" customFormat="false" ht="15.75" hidden="false" customHeight="true" outlineLevel="0" collapsed="false">
      <c r="A474" s="135"/>
      <c r="B474" s="135"/>
      <c r="C474" s="135"/>
      <c r="D474" s="135"/>
      <c r="E474" s="135"/>
      <c r="F474" s="135"/>
      <c r="G474" s="189"/>
      <c r="H474" s="135"/>
      <c r="I474" s="135"/>
      <c r="J474" s="189"/>
      <c r="K474" s="135"/>
      <c r="L474" s="135"/>
      <c r="M474" s="189"/>
      <c r="N474" s="135"/>
      <c r="O474" s="135"/>
      <c r="P474" s="135"/>
      <c r="Q474" s="135"/>
      <c r="R474" s="135"/>
      <c r="S474" s="135"/>
    </row>
    <row r="475" customFormat="false" ht="15.75" hidden="false" customHeight="true" outlineLevel="0" collapsed="false">
      <c r="A475" s="135"/>
      <c r="B475" s="135"/>
      <c r="C475" s="135"/>
      <c r="D475" s="135"/>
      <c r="E475" s="135"/>
      <c r="F475" s="135"/>
      <c r="G475" s="189"/>
      <c r="H475" s="135"/>
      <c r="I475" s="135"/>
      <c r="J475" s="189"/>
      <c r="K475" s="135"/>
      <c r="L475" s="135"/>
      <c r="M475" s="189"/>
      <c r="N475" s="135"/>
      <c r="O475" s="135"/>
      <c r="P475" s="135"/>
      <c r="Q475" s="135"/>
      <c r="R475" s="135"/>
      <c r="S475" s="135"/>
    </row>
    <row r="476" customFormat="false" ht="15.75" hidden="false" customHeight="true" outlineLevel="0" collapsed="false">
      <c r="A476" s="135"/>
      <c r="B476" s="135"/>
      <c r="C476" s="135"/>
      <c r="D476" s="135"/>
      <c r="E476" s="135"/>
      <c r="F476" s="135"/>
      <c r="G476" s="189"/>
      <c r="H476" s="135"/>
      <c r="I476" s="135"/>
      <c r="J476" s="189"/>
      <c r="K476" s="135"/>
      <c r="L476" s="135"/>
      <c r="M476" s="189"/>
      <c r="N476" s="135"/>
      <c r="O476" s="135"/>
      <c r="P476" s="135"/>
      <c r="Q476" s="135"/>
      <c r="R476" s="135"/>
      <c r="S476" s="135"/>
    </row>
    <row r="477" customFormat="false" ht="15.75" hidden="false" customHeight="true" outlineLevel="0" collapsed="false">
      <c r="A477" s="135"/>
      <c r="B477" s="135"/>
      <c r="C477" s="135"/>
      <c r="D477" s="135"/>
      <c r="E477" s="135"/>
      <c r="F477" s="135"/>
      <c r="G477" s="189"/>
      <c r="H477" s="135"/>
      <c r="I477" s="135"/>
      <c r="J477" s="189"/>
      <c r="K477" s="135"/>
      <c r="L477" s="135"/>
      <c r="M477" s="189"/>
      <c r="N477" s="135"/>
      <c r="O477" s="135"/>
      <c r="P477" s="135"/>
      <c r="Q477" s="135"/>
      <c r="R477" s="135"/>
      <c r="S477" s="135"/>
    </row>
    <row r="478" customFormat="false" ht="15.75" hidden="false" customHeight="true" outlineLevel="0" collapsed="false">
      <c r="A478" s="135"/>
      <c r="B478" s="135"/>
      <c r="C478" s="135"/>
      <c r="D478" s="135"/>
      <c r="E478" s="135"/>
      <c r="F478" s="135"/>
      <c r="G478" s="189"/>
      <c r="H478" s="135"/>
      <c r="I478" s="135"/>
      <c r="J478" s="189"/>
      <c r="K478" s="135"/>
      <c r="L478" s="135"/>
      <c r="M478" s="189"/>
      <c r="N478" s="135"/>
      <c r="O478" s="135"/>
      <c r="P478" s="135"/>
      <c r="Q478" s="135"/>
      <c r="R478" s="135"/>
      <c r="S478" s="135"/>
    </row>
    <row r="479" customFormat="false" ht="15.75" hidden="false" customHeight="true" outlineLevel="0" collapsed="false">
      <c r="A479" s="135"/>
      <c r="B479" s="135"/>
      <c r="C479" s="135"/>
      <c r="D479" s="135"/>
      <c r="E479" s="135"/>
      <c r="F479" s="135"/>
      <c r="G479" s="189"/>
      <c r="H479" s="135"/>
      <c r="I479" s="135"/>
      <c r="J479" s="189"/>
      <c r="K479" s="135"/>
      <c r="L479" s="135"/>
      <c r="M479" s="189"/>
      <c r="N479" s="135"/>
      <c r="O479" s="135"/>
      <c r="P479" s="135"/>
      <c r="Q479" s="135"/>
      <c r="R479" s="135"/>
      <c r="S479" s="135"/>
    </row>
    <row r="480" customFormat="false" ht="15.75" hidden="false" customHeight="true" outlineLevel="0" collapsed="false">
      <c r="A480" s="135"/>
      <c r="B480" s="135"/>
      <c r="C480" s="135"/>
      <c r="D480" s="135"/>
      <c r="E480" s="135"/>
      <c r="F480" s="135"/>
      <c r="G480" s="189"/>
      <c r="H480" s="135"/>
      <c r="I480" s="135"/>
      <c r="J480" s="189"/>
      <c r="K480" s="135"/>
      <c r="L480" s="135"/>
      <c r="M480" s="189"/>
      <c r="N480" s="135"/>
      <c r="O480" s="135"/>
      <c r="P480" s="135"/>
      <c r="Q480" s="135"/>
      <c r="R480" s="135"/>
      <c r="S480" s="135"/>
    </row>
    <row r="481" customFormat="false" ht="15.75" hidden="false" customHeight="true" outlineLevel="0" collapsed="false">
      <c r="A481" s="135"/>
      <c r="B481" s="135"/>
      <c r="C481" s="135"/>
      <c r="D481" s="135"/>
      <c r="E481" s="135"/>
      <c r="F481" s="135"/>
      <c r="G481" s="189"/>
      <c r="H481" s="135"/>
      <c r="I481" s="135"/>
      <c r="J481" s="189"/>
      <c r="K481" s="135"/>
      <c r="L481" s="135"/>
      <c r="M481" s="189"/>
      <c r="N481" s="135"/>
      <c r="O481" s="135"/>
      <c r="P481" s="135"/>
      <c r="Q481" s="135"/>
      <c r="R481" s="135"/>
      <c r="S481" s="135"/>
    </row>
    <row r="482" customFormat="false" ht="15.75" hidden="false" customHeight="true" outlineLevel="0" collapsed="false">
      <c r="A482" s="135"/>
      <c r="B482" s="135"/>
      <c r="C482" s="135"/>
      <c r="D482" s="135"/>
      <c r="E482" s="135"/>
      <c r="F482" s="135"/>
      <c r="G482" s="189"/>
      <c r="H482" s="135"/>
      <c r="I482" s="135"/>
      <c r="J482" s="189"/>
      <c r="K482" s="135"/>
      <c r="L482" s="135"/>
      <c r="M482" s="189"/>
      <c r="N482" s="135"/>
      <c r="O482" s="135"/>
      <c r="P482" s="135"/>
      <c r="Q482" s="135"/>
      <c r="R482" s="135"/>
      <c r="S482" s="135"/>
    </row>
    <row r="483" customFormat="false" ht="15.75" hidden="false" customHeight="true" outlineLevel="0" collapsed="false">
      <c r="A483" s="135"/>
      <c r="B483" s="135"/>
      <c r="C483" s="135"/>
      <c r="D483" s="135"/>
      <c r="E483" s="135"/>
      <c r="F483" s="135"/>
      <c r="G483" s="189"/>
      <c r="H483" s="135"/>
      <c r="I483" s="135"/>
      <c r="J483" s="189"/>
      <c r="K483" s="135"/>
      <c r="L483" s="135"/>
      <c r="M483" s="189"/>
      <c r="N483" s="135"/>
      <c r="O483" s="135"/>
      <c r="P483" s="135"/>
      <c r="Q483" s="135"/>
      <c r="R483" s="135"/>
      <c r="S483" s="135"/>
    </row>
    <row r="484" customFormat="false" ht="15.75" hidden="false" customHeight="true" outlineLevel="0" collapsed="false">
      <c r="A484" s="135"/>
      <c r="B484" s="135"/>
      <c r="C484" s="135"/>
      <c r="D484" s="135"/>
      <c r="E484" s="135"/>
      <c r="F484" s="135"/>
      <c r="G484" s="189"/>
      <c r="H484" s="135"/>
      <c r="I484" s="135"/>
      <c r="J484" s="189"/>
      <c r="K484" s="135"/>
      <c r="L484" s="135"/>
      <c r="M484" s="189"/>
      <c r="N484" s="135"/>
      <c r="O484" s="135"/>
      <c r="P484" s="135"/>
      <c r="Q484" s="135"/>
      <c r="R484" s="135"/>
      <c r="S484" s="135"/>
    </row>
    <row r="485" customFormat="false" ht="15.75" hidden="false" customHeight="true" outlineLevel="0" collapsed="false">
      <c r="A485" s="135"/>
      <c r="B485" s="135"/>
      <c r="C485" s="135"/>
      <c r="D485" s="135"/>
      <c r="E485" s="135"/>
      <c r="F485" s="135"/>
      <c r="G485" s="189"/>
      <c r="H485" s="135"/>
      <c r="I485" s="135"/>
      <c r="J485" s="189"/>
      <c r="K485" s="135"/>
      <c r="L485" s="135"/>
      <c r="M485" s="189"/>
      <c r="N485" s="135"/>
      <c r="O485" s="135"/>
      <c r="P485" s="135"/>
      <c r="Q485" s="135"/>
      <c r="R485" s="135"/>
      <c r="S485" s="135"/>
    </row>
    <row r="486" customFormat="false" ht="15.75" hidden="false" customHeight="true" outlineLevel="0" collapsed="false">
      <c r="A486" s="135"/>
      <c r="B486" s="135"/>
      <c r="C486" s="135"/>
      <c r="D486" s="135"/>
      <c r="E486" s="135"/>
      <c r="F486" s="135"/>
      <c r="G486" s="189"/>
      <c r="H486" s="135"/>
      <c r="I486" s="135"/>
      <c r="J486" s="189"/>
      <c r="K486" s="135"/>
      <c r="L486" s="135"/>
      <c r="M486" s="189"/>
      <c r="N486" s="135"/>
      <c r="O486" s="135"/>
      <c r="P486" s="135"/>
      <c r="Q486" s="135"/>
      <c r="R486" s="135"/>
      <c r="S486" s="135"/>
    </row>
    <row r="487" customFormat="false" ht="15.75" hidden="false" customHeight="true" outlineLevel="0" collapsed="false">
      <c r="A487" s="135"/>
      <c r="B487" s="135"/>
      <c r="C487" s="135"/>
      <c r="D487" s="135"/>
      <c r="E487" s="135"/>
      <c r="F487" s="135"/>
      <c r="G487" s="189"/>
      <c r="H487" s="135"/>
      <c r="I487" s="135"/>
      <c r="J487" s="189"/>
      <c r="K487" s="135"/>
      <c r="L487" s="135"/>
      <c r="M487" s="189"/>
      <c r="N487" s="135"/>
      <c r="O487" s="135"/>
      <c r="P487" s="135"/>
      <c r="Q487" s="135"/>
      <c r="R487" s="135"/>
      <c r="S487" s="135"/>
    </row>
    <row r="488" customFormat="false" ht="15.75" hidden="false" customHeight="true" outlineLevel="0" collapsed="false">
      <c r="A488" s="135"/>
      <c r="B488" s="135"/>
      <c r="C488" s="135"/>
      <c r="D488" s="135"/>
      <c r="E488" s="135"/>
      <c r="F488" s="135"/>
      <c r="G488" s="189"/>
      <c r="H488" s="135"/>
      <c r="I488" s="135"/>
      <c r="J488" s="189"/>
      <c r="K488" s="135"/>
      <c r="L488" s="135"/>
      <c r="M488" s="189"/>
      <c r="N488" s="135"/>
      <c r="O488" s="135"/>
      <c r="P488" s="135"/>
      <c r="Q488" s="135"/>
      <c r="R488" s="135"/>
      <c r="S488" s="135"/>
    </row>
    <row r="489" customFormat="false" ht="15.75" hidden="false" customHeight="true" outlineLevel="0" collapsed="false">
      <c r="A489" s="135"/>
      <c r="B489" s="135"/>
      <c r="C489" s="135"/>
      <c r="D489" s="135"/>
      <c r="E489" s="135"/>
      <c r="F489" s="135"/>
      <c r="G489" s="189"/>
      <c r="H489" s="135"/>
      <c r="I489" s="135"/>
      <c r="J489" s="189"/>
      <c r="K489" s="135"/>
      <c r="L489" s="135"/>
      <c r="M489" s="189"/>
      <c r="N489" s="135"/>
      <c r="O489" s="135"/>
      <c r="P489" s="135"/>
      <c r="Q489" s="135"/>
      <c r="R489" s="135"/>
      <c r="S489" s="135"/>
    </row>
    <row r="490" customFormat="false" ht="15.75" hidden="false" customHeight="true" outlineLevel="0" collapsed="false">
      <c r="A490" s="135"/>
      <c r="B490" s="135"/>
      <c r="C490" s="135"/>
      <c r="D490" s="135"/>
      <c r="E490" s="135"/>
      <c r="F490" s="135"/>
      <c r="G490" s="189"/>
      <c r="H490" s="135"/>
      <c r="I490" s="135"/>
      <c r="J490" s="189"/>
      <c r="K490" s="135"/>
      <c r="L490" s="135"/>
      <c r="M490" s="189"/>
      <c r="N490" s="135"/>
      <c r="O490" s="135"/>
      <c r="P490" s="135"/>
      <c r="Q490" s="135"/>
      <c r="R490" s="135"/>
      <c r="S490" s="135"/>
    </row>
    <row r="491" customFormat="false" ht="15.75" hidden="false" customHeight="true" outlineLevel="0" collapsed="false">
      <c r="A491" s="135"/>
      <c r="B491" s="135"/>
      <c r="C491" s="135"/>
      <c r="D491" s="135"/>
      <c r="E491" s="135"/>
      <c r="F491" s="135"/>
      <c r="G491" s="189"/>
      <c r="H491" s="135"/>
      <c r="I491" s="135"/>
      <c r="J491" s="189"/>
      <c r="K491" s="135"/>
      <c r="L491" s="135"/>
      <c r="M491" s="189"/>
      <c r="N491" s="135"/>
      <c r="O491" s="135"/>
      <c r="P491" s="135"/>
      <c r="Q491" s="135"/>
      <c r="R491" s="135"/>
      <c r="S491" s="135"/>
    </row>
    <row r="492" customFormat="false" ht="15.75" hidden="false" customHeight="true" outlineLevel="0" collapsed="false">
      <c r="A492" s="135"/>
      <c r="B492" s="135"/>
      <c r="C492" s="135"/>
      <c r="D492" s="135"/>
      <c r="E492" s="135"/>
      <c r="F492" s="135"/>
      <c r="G492" s="189"/>
      <c r="H492" s="135"/>
      <c r="I492" s="135"/>
      <c r="J492" s="189"/>
      <c r="K492" s="135"/>
      <c r="L492" s="135"/>
      <c r="M492" s="189"/>
      <c r="N492" s="135"/>
      <c r="O492" s="135"/>
      <c r="P492" s="135"/>
      <c r="Q492" s="135"/>
      <c r="R492" s="135"/>
      <c r="S492" s="135"/>
    </row>
    <row r="493" customFormat="false" ht="15.75" hidden="false" customHeight="true" outlineLevel="0" collapsed="false">
      <c r="A493" s="135"/>
      <c r="B493" s="135"/>
      <c r="C493" s="135"/>
      <c r="D493" s="135"/>
      <c r="E493" s="135"/>
      <c r="F493" s="135"/>
      <c r="G493" s="189"/>
      <c r="H493" s="135"/>
      <c r="I493" s="135"/>
      <c r="J493" s="189"/>
      <c r="K493" s="135"/>
      <c r="L493" s="135"/>
      <c r="M493" s="189"/>
      <c r="N493" s="135"/>
      <c r="O493" s="135"/>
      <c r="P493" s="135"/>
      <c r="Q493" s="135"/>
      <c r="R493" s="135"/>
      <c r="S493" s="135"/>
    </row>
    <row r="494" customFormat="false" ht="15.75" hidden="false" customHeight="true" outlineLevel="0" collapsed="false">
      <c r="A494" s="135"/>
      <c r="B494" s="135"/>
      <c r="C494" s="135"/>
      <c r="D494" s="135"/>
      <c r="E494" s="135"/>
      <c r="F494" s="135"/>
      <c r="G494" s="189"/>
      <c r="H494" s="135"/>
      <c r="I494" s="135"/>
      <c r="J494" s="189"/>
      <c r="K494" s="135"/>
      <c r="L494" s="135"/>
      <c r="M494" s="189"/>
      <c r="N494" s="135"/>
      <c r="O494" s="135"/>
      <c r="P494" s="135"/>
      <c r="Q494" s="135"/>
      <c r="R494" s="135"/>
      <c r="S494" s="135"/>
    </row>
    <row r="495" customFormat="false" ht="15.75" hidden="false" customHeight="true" outlineLevel="0" collapsed="false">
      <c r="A495" s="135"/>
      <c r="B495" s="135"/>
      <c r="C495" s="135"/>
      <c r="D495" s="135"/>
      <c r="E495" s="135"/>
      <c r="F495" s="135"/>
      <c r="G495" s="189"/>
      <c r="H495" s="135"/>
      <c r="I495" s="135"/>
      <c r="J495" s="189"/>
      <c r="K495" s="135"/>
      <c r="L495" s="135"/>
      <c r="M495" s="189"/>
      <c r="N495" s="135"/>
      <c r="O495" s="135"/>
      <c r="P495" s="135"/>
      <c r="Q495" s="135"/>
      <c r="R495" s="135"/>
      <c r="S495" s="135"/>
    </row>
    <row r="496" customFormat="false" ht="15.75" hidden="false" customHeight="true" outlineLevel="0" collapsed="false">
      <c r="A496" s="135"/>
      <c r="B496" s="135"/>
      <c r="C496" s="135"/>
      <c r="D496" s="135"/>
      <c r="E496" s="135"/>
      <c r="F496" s="135"/>
      <c r="G496" s="189"/>
      <c r="H496" s="135"/>
      <c r="I496" s="135"/>
      <c r="J496" s="189"/>
      <c r="K496" s="135"/>
      <c r="L496" s="135"/>
      <c r="M496" s="189"/>
      <c r="N496" s="135"/>
      <c r="O496" s="135"/>
      <c r="P496" s="135"/>
      <c r="Q496" s="135"/>
      <c r="R496" s="135"/>
      <c r="S496" s="135"/>
    </row>
    <row r="497" customFormat="false" ht="15.75" hidden="false" customHeight="true" outlineLevel="0" collapsed="false">
      <c r="A497" s="135"/>
      <c r="B497" s="135"/>
      <c r="C497" s="135"/>
      <c r="D497" s="135"/>
      <c r="E497" s="135"/>
      <c r="F497" s="135"/>
      <c r="G497" s="189"/>
      <c r="H497" s="135"/>
      <c r="I497" s="135"/>
      <c r="J497" s="189"/>
      <c r="K497" s="135"/>
      <c r="L497" s="135"/>
      <c r="M497" s="189"/>
      <c r="N497" s="135"/>
      <c r="O497" s="135"/>
      <c r="P497" s="135"/>
      <c r="Q497" s="135"/>
      <c r="R497" s="135"/>
      <c r="S497" s="135"/>
    </row>
    <row r="498" customFormat="false" ht="15.75" hidden="false" customHeight="true" outlineLevel="0" collapsed="false">
      <c r="A498" s="135"/>
      <c r="B498" s="135"/>
      <c r="C498" s="135"/>
      <c r="D498" s="135"/>
      <c r="E498" s="135"/>
      <c r="F498" s="135"/>
      <c r="G498" s="189"/>
      <c r="H498" s="135"/>
      <c r="I498" s="135"/>
      <c r="J498" s="189"/>
      <c r="K498" s="135"/>
      <c r="L498" s="135"/>
      <c r="M498" s="189"/>
      <c r="N498" s="135"/>
      <c r="O498" s="135"/>
      <c r="P498" s="135"/>
      <c r="Q498" s="135"/>
      <c r="R498" s="135"/>
      <c r="S498" s="135"/>
    </row>
    <row r="499" customFormat="false" ht="15.75" hidden="false" customHeight="true" outlineLevel="0" collapsed="false">
      <c r="A499" s="135"/>
      <c r="B499" s="135"/>
      <c r="C499" s="135"/>
      <c r="D499" s="135"/>
      <c r="E499" s="135"/>
      <c r="F499" s="135"/>
      <c r="G499" s="189"/>
      <c r="H499" s="135"/>
      <c r="I499" s="135"/>
      <c r="J499" s="189"/>
      <c r="K499" s="135"/>
      <c r="L499" s="135"/>
      <c r="M499" s="189"/>
      <c r="N499" s="135"/>
      <c r="O499" s="135"/>
      <c r="P499" s="135"/>
      <c r="Q499" s="135"/>
      <c r="R499" s="135"/>
      <c r="S499" s="135"/>
    </row>
    <row r="500" customFormat="false" ht="15.75" hidden="false" customHeight="true" outlineLevel="0" collapsed="false">
      <c r="A500" s="135"/>
      <c r="B500" s="135"/>
      <c r="C500" s="135"/>
      <c r="D500" s="135"/>
      <c r="E500" s="135"/>
      <c r="F500" s="135"/>
      <c r="G500" s="189"/>
      <c r="H500" s="135"/>
      <c r="I500" s="135"/>
      <c r="J500" s="189"/>
      <c r="K500" s="135"/>
      <c r="L500" s="135"/>
      <c r="M500" s="189"/>
      <c r="N500" s="135"/>
      <c r="O500" s="135"/>
      <c r="P500" s="135"/>
      <c r="Q500" s="135"/>
      <c r="R500" s="135"/>
      <c r="S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O8"/>
  <conditionalFormatting sqref="D4:D1000">
    <cfRule type="expression" priority="2" aboveAverage="0" equalAverage="0" bottom="0" percent="0" rank="0" text="" dxfId="14">
      <formula>ISNUMBER(SEARCH("not_assigned",D4))</formula>
    </cfRule>
    <cfRule type="expression" priority="3" aboveAverage="0" equalAverage="0" bottom="0" percent="0" rank="0" text="" dxfId="15">
      <formula>ISNUMBER(SEARCH("changed",D4))</formula>
    </cfRule>
  </conditionalFormatting>
  <conditionalFormatting sqref="K4:K1000">
    <cfRule type="expression" priority="4" aboveAverage="0" equalAverage="0" bottom="0" percent="0" rank="0" text="" dxfId="18">
      <formula>ISNUMBER(SEARCH("completed",K4))</formula>
    </cfRule>
    <cfRule type="expression" priority="5" aboveAverage="0" equalAverage="0" bottom="0" percent="0" rank="0" text="" dxfId="14">
      <formula>ISNUMBER(SEARCH("not_started",K4))</formula>
    </cfRule>
  </conditionalFormatting>
  <conditionalFormatting sqref="O4:O1000">
    <cfRule type="expression" priority="6" aboveAverage="0" equalAverage="0" bottom="0" percent="0" rank="0" text="" dxfId="14">
      <formula>ISNUMBER(SEARCH("Quá SLA",O4))</formula>
    </cfRule>
  </conditionalFormatting>
  <conditionalFormatting sqref="Q4:Q1000">
    <cfRule type="expression" priority="7" aboveAverage="0" equalAverage="0" bottom="0" percent="0" rank="0" text="" dxfId="14">
      <formula>ISNUMBER(SEARCH("⚠",Q4))</formula>
    </cfRule>
    <cfRule type="expression" priority="8" aboveAverage="0" equalAverage="0" bottom="0" percent="0" rank="0" text="" dxfId="18">
      <formula>ISNUMBER(SEARCH("✓",Q4))</formula>
    </cfRule>
    <cfRule type="expression" priority="9" aboveAverage="0" equalAverage="0" bottom="0" percent="0" rank="0" text="" dxfId="14">
      <formula>OR(ISNUMBER(SEARCH("Quá SLA",Q4)),ISNUMBER(SEARCH("NGAY",Q4)),ISNUMBER(SEARCH("GẤP",Q4)),ISNUMBER(SEARCH("NGUY HIỂM",Q4)),ISNUMBER(SEARCH("XỬ LÝ",Q4)),ISNUMBER(SEARCH("THAM GIA",Q4)),ISNUMBER(SEARCH("LH GẤP",Q4)))</formula>
    </cfRule>
    <cfRule type="expression" priority="10" aboveAverage="0" equalAverage="0" bottom="0" percent="0" rank="0" text="" dxfId="15">
      <formula>OR(ISNUMBER(SEARCH("đến hạn",Q4)),ISNUMBER(SEARCH("còn ",Q4)),ISNUMBER(SEARCH("trong SLA",Q4)),ISNUMBER(SEARCH("chốt",Q4)),ISNUMBER(SEARCH("LH chốt",Q4)),ISNUMBER(SEARCH("Follow-up",Q4)),ISNUMBER(SEARCH("Phân tích",Q4)),ISNUMBER(SEARCH("đến hạn",Q4)),ISNUMBER(SEARCH("Set ",Q4)))</formula>
    </cfRule>
    <cfRule type="expression" priority="11" aboveAverage="0" equalAverage="0" bottom="0" percent="0" rank="0" text="" dxfId="19">
      <formula>OR(ISNUMBER(SEARCH(" ngay",Q4)),ISNUMBER(SEARCH(" gấp",Q4)),ISNUMBER(SEARCH("GỌI",Q4)),ISNUMBER(SEARCH("NGUY",Q4)))</formula>
    </cfRule>
    <cfRule type="expression" priority="12" aboveAverage="0" equalAverage="0" bottom="0" percent="0" rank="0" text="" dxfId="20">
      <formula>ISNUMBER(SEARCH("Không cần làm gì",Q4))</formula>
    </cfRule>
    <cfRule type="expression" priority="13" aboveAverage="0" equalAverage="0" bottom="0" percent="0" rank="0" text="" dxfId="21">
      <formula>LEN(Q4)&gt;0</formula>
    </cfRule>
  </conditionalFormatting>
  <dataValidations count="3">
    <dataValidation allowBlank="true" errorStyle="stop" operator="between" showDropDown="false" showErrorMessage="false" showInputMessage="false" sqref="I4:I500" type="list">
      <formula1>'CH1. Danh mục lựa chọn'!$B$151:$B$153</formula1>
      <formula2>0</formula2>
    </dataValidation>
    <dataValidation allowBlank="true" errorStyle="stop" operator="between" showDropDown="false" showErrorMessage="false" showInputMessage="false" sqref="K4:K500" type="list">
      <formula1>'CH1. Danh mục lựa chọn'!$B$157:$B$159</formula1>
      <formula2>0</formula2>
    </dataValidation>
    <dataValidation allowBlank="true" errorStyle="stop" operator="between" showDropDown="false" showErrorMessage="false" showInputMessage="false" sqref="D4:D500" type="list">
      <formula1>'CH1. Danh mục lựa chọn'!$B$144:$B$147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A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5.71"/>
    <col collapsed="false" customWidth="true" hidden="false" outlineLevel="0" max="2" min="2" style="1" width="19.43"/>
    <col collapsed="false" customWidth="true" hidden="false" outlineLevel="0" max="3" min="3" style="1" width="20.85"/>
    <col collapsed="false" customWidth="true" hidden="false" outlineLevel="0" max="4" min="4" style="1" width="19.29"/>
    <col collapsed="false" customWidth="true" hidden="false" outlineLevel="0" max="5" min="5" style="1" width="11.85"/>
    <col collapsed="false" customWidth="true" hidden="false" outlineLevel="0" max="6" min="6" style="1" width="17.43"/>
    <col collapsed="false" customWidth="true" hidden="false" outlineLevel="0" max="7" min="7" style="1" width="33.43"/>
    <col collapsed="false" customWidth="true" hidden="false" outlineLevel="0" max="8" min="8" style="1" width="13.57"/>
    <col collapsed="false" customWidth="true" hidden="false" outlineLevel="0" max="9" min="9" style="1" width="33.14"/>
    <col collapsed="false" customWidth="true" hidden="false" outlineLevel="0" max="10" min="10" style="1" width="34"/>
    <col collapsed="false" customWidth="true" hidden="false" outlineLevel="0" max="11" min="11" style="1" width="35.43"/>
    <col collapsed="false" customWidth="true" hidden="false" outlineLevel="0" max="12" min="12" style="1" width="24.71"/>
    <col collapsed="false" customWidth="true" hidden="false" outlineLevel="0" max="13" min="13" style="1" width="27.57"/>
    <col collapsed="false" customWidth="true" hidden="false" outlineLevel="0" max="14" min="14" style="1" width="23.29"/>
    <col collapsed="false" customWidth="true" hidden="false" outlineLevel="0" max="15" min="15" style="1" width="32.86"/>
    <col collapsed="false" customWidth="true" hidden="false" outlineLevel="0" max="16" min="16" style="1" width="14.14"/>
    <col collapsed="false" customWidth="true" hidden="false" outlineLevel="0" max="17" min="17" style="1" width="15.14"/>
    <col collapsed="false" customWidth="true" hidden="false" outlineLevel="0" max="18" min="18" style="1" width="35"/>
    <col collapsed="false" customWidth="true" hidden="false" outlineLevel="0" max="19" min="19" style="1" width="30.29"/>
    <col collapsed="false" customWidth="true" hidden="false" outlineLevel="0" max="20" min="20" style="1" width="34"/>
    <col collapsed="false" customWidth="true" hidden="false" outlineLevel="0" max="21" min="21" style="1" width="38.71"/>
    <col collapsed="false" customWidth="true" hidden="false" outlineLevel="0" max="22" min="22" style="1" width="30.43"/>
    <col collapsed="false" customWidth="true" hidden="false" outlineLevel="0" max="23" min="23" style="1" width="27"/>
    <col collapsed="false" customWidth="true" hidden="false" outlineLevel="0" max="24" min="24" style="1" width="7.86"/>
    <col collapsed="false" customWidth="true" hidden="false" outlineLevel="0" max="25" min="25" style="1" width="22.57"/>
    <col collapsed="false" customWidth="true" hidden="false" outlineLevel="0" max="26" min="26" style="1" width="24.29"/>
    <col collapsed="false" customWidth="true" hidden="false" outlineLevel="0" max="27" min="27" style="1" width="25.57"/>
    <col collapsed="false" customWidth="true" hidden="false" outlineLevel="0" max="28" min="28" style="1" width="20.85"/>
    <col collapsed="false" customWidth="true" hidden="false" outlineLevel="0" max="29" min="29" style="1" width="26.16"/>
    <col collapsed="false" customWidth="true" hidden="false" outlineLevel="0" max="30" min="30" style="1" width="67.43"/>
  </cols>
  <sheetData>
    <row r="1" customFormat="false" ht="21.75" hidden="false" customHeight="true" outlineLevel="0" collapsed="false">
      <c r="A1" s="87" t="s">
        <v>850</v>
      </c>
      <c r="B1" s="87" t="s">
        <v>2263</v>
      </c>
      <c r="C1" s="87" t="s">
        <v>2472</v>
      </c>
      <c r="D1" s="87" t="s">
        <v>998</v>
      </c>
      <c r="E1" s="87" t="s">
        <v>3045</v>
      </c>
      <c r="F1" s="87" t="s">
        <v>3046</v>
      </c>
      <c r="G1" s="87" t="s">
        <v>2474</v>
      </c>
      <c r="H1" s="87" t="s">
        <v>3047</v>
      </c>
      <c r="I1" s="87" t="s">
        <v>3048</v>
      </c>
      <c r="J1" s="87" t="s">
        <v>3049</v>
      </c>
      <c r="K1" s="87" t="s">
        <v>3050</v>
      </c>
      <c r="L1" s="87" t="s">
        <v>877</v>
      </c>
      <c r="M1" s="87" t="s">
        <v>878</v>
      </c>
      <c r="N1" s="87" t="s">
        <v>880</v>
      </c>
      <c r="O1" s="87" t="s">
        <v>3051</v>
      </c>
      <c r="P1" s="87" t="s">
        <v>3052</v>
      </c>
      <c r="Q1" s="87" t="s">
        <v>2267</v>
      </c>
      <c r="R1" s="87" t="s">
        <v>3053</v>
      </c>
      <c r="S1" s="87" t="s">
        <v>3054</v>
      </c>
      <c r="T1" s="87" t="s">
        <v>3055</v>
      </c>
      <c r="U1" s="87" t="s">
        <v>3056</v>
      </c>
      <c r="V1" s="87" t="s">
        <v>882</v>
      </c>
      <c r="W1" s="87" t="s">
        <v>3057</v>
      </c>
      <c r="X1" s="87" t="s">
        <v>2270</v>
      </c>
      <c r="Y1" s="100" t="s">
        <v>884</v>
      </c>
      <c r="Z1" s="100" t="s">
        <v>3058</v>
      </c>
      <c r="AA1" s="100" t="s">
        <v>3059</v>
      </c>
      <c r="AB1" s="100" t="s">
        <v>886</v>
      </c>
      <c r="AC1" s="100" t="s">
        <v>888</v>
      </c>
      <c r="AD1" s="183" t="s">
        <v>480</v>
      </c>
    </row>
    <row r="2" customFormat="false" ht="18" hidden="false" customHeight="true" outlineLevel="0" collapsed="false">
      <c r="A2" s="176" t="s">
        <v>3060</v>
      </c>
      <c r="B2" s="176" t="s">
        <v>2490</v>
      </c>
      <c r="C2" s="176" t="s">
        <v>2278</v>
      </c>
      <c r="D2" s="176" t="s">
        <v>2279</v>
      </c>
      <c r="E2" s="176" t="s">
        <v>3061</v>
      </c>
      <c r="F2" s="176" t="s">
        <v>3062</v>
      </c>
      <c r="G2" s="176" t="s">
        <v>2492</v>
      </c>
      <c r="H2" s="176" t="s">
        <v>3063</v>
      </c>
      <c r="I2" s="176" t="s">
        <v>3064</v>
      </c>
      <c r="J2" s="176" t="s">
        <v>3065</v>
      </c>
      <c r="K2" s="176" t="s">
        <v>3066</v>
      </c>
      <c r="L2" s="176" t="s">
        <v>3067</v>
      </c>
      <c r="M2" s="176" t="s">
        <v>3068</v>
      </c>
      <c r="N2" s="176" t="s">
        <v>3069</v>
      </c>
      <c r="O2" s="176" t="s">
        <v>3070</v>
      </c>
      <c r="P2" s="176" t="s">
        <v>3071</v>
      </c>
      <c r="Q2" s="176" t="s">
        <v>2277</v>
      </c>
      <c r="R2" s="176" t="s">
        <v>3072</v>
      </c>
      <c r="S2" s="176" t="s">
        <v>3073</v>
      </c>
      <c r="T2" s="176" t="s">
        <v>3074</v>
      </c>
      <c r="U2" s="176" t="s">
        <v>3075</v>
      </c>
      <c r="V2" s="176" t="s">
        <v>3076</v>
      </c>
      <c r="W2" s="176" t="s">
        <v>3077</v>
      </c>
      <c r="X2" s="176" t="s">
        <v>2281</v>
      </c>
      <c r="Y2" s="176" t="s">
        <v>3078</v>
      </c>
      <c r="Z2" s="176" t="s">
        <v>3079</v>
      </c>
      <c r="AA2" s="176" t="s">
        <v>3080</v>
      </c>
      <c r="AB2" s="176" t="s">
        <v>3081</v>
      </c>
      <c r="AC2" s="176" t="s">
        <v>3082</v>
      </c>
      <c r="AD2" s="176" t="s">
        <v>2503</v>
      </c>
    </row>
    <row r="3" customFormat="false" ht="27.75" hidden="false" customHeight="true" outlineLevel="0" collapsed="false">
      <c r="A3" s="195" t="s">
        <v>3083</v>
      </c>
      <c r="B3" s="195" t="s">
        <v>3084</v>
      </c>
      <c r="C3" s="195" t="s">
        <v>2512</v>
      </c>
      <c r="D3" s="195"/>
      <c r="E3" s="195" t="s">
        <v>2291</v>
      </c>
      <c r="F3" s="195" t="s">
        <v>3085</v>
      </c>
      <c r="G3" s="195" t="s">
        <v>2514</v>
      </c>
      <c r="H3" s="195" t="s">
        <v>3086</v>
      </c>
      <c r="I3" s="195" t="s">
        <v>3087</v>
      </c>
      <c r="J3" s="195" t="s">
        <v>2512</v>
      </c>
      <c r="K3" s="195" t="s">
        <v>3088</v>
      </c>
      <c r="L3" s="195" t="s">
        <v>3089</v>
      </c>
      <c r="M3" s="195" t="s">
        <v>3090</v>
      </c>
      <c r="N3" s="195" t="s">
        <v>3019</v>
      </c>
      <c r="O3" s="195" t="s">
        <v>2514</v>
      </c>
      <c r="P3" s="195" t="s">
        <v>3090</v>
      </c>
      <c r="Q3" s="195" t="s">
        <v>2519</v>
      </c>
      <c r="R3" s="195" t="s">
        <v>2514</v>
      </c>
      <c r="S3" s="195" t="s">
        <v>2514</v>
      </c>
      <c r="T3" s="195" t="s">
        <v>2514</v>
      </c>
      <c r="U3" s="195" t="s">
        <v>2514</v>
      </c>
      <c r="V3" s="195" t="s">
        <v>3091</v>
      </c>
      <c r="W3" s="195" t="s">
        <v>3092</v>
      </c>
      <c r="X3" s="195"/>
      <c r="Y3" s="195" t="s">
        <v>3093</v>
      </c>
      <c r="Z3" s="195" t="s">
        <v>3094</v>
      </c>
      <c r="AA3" s="195" t="s">
        <v>3095</v>
      </c>
      <c r="AB3" s="195" t="s">
        <v>3096</v>
      </c>
      <c r="AC3" s="195" t="s">
        <v>3097</v>
      </c>
      <c r="AD3" s="195" t="s">
        <v>2523</v>
      </c>
    </row>
    <row r="4" customFormat="false" ht="46.5" hidden="false" customHeight="true" outlineLevel="0" collapsed="false">
      <c r="A4" s="209" t="s">
        <v>129</v>
      </c>
      <c r="B4" s="209" t="s">
        <v>2548</v>
      </c>
      <c r="C4" s="209" t="s">
        <v>2549</v>
      </c>
      <c r="D4" s="209" t="s">
        <v>3098</v>
      </c>
      <c r="E4" s="232" t="n">
        <v>39208.375</v>
      </c>
      <c r="F4" s="209" t="s">
        <v>3099</v>
      </c>
      <c r="G4" s="209" t="s">
        <v>1008</v>
      </c>
      <c r="H4" s="209" t="s">
        <v>3100</v>
      </c>
      <c r="I4" s="209" t="s">
        <v>3101</v>
      </c>
      <c r="J4" s="209" t="s">
        <v>3102</v>
      </c>
      <c r="K4" s="209" t="s">
        <v>3103</v>
      </c>
      <c r="L4" s="210" t="str">
        <f aca="false">IFERROR(HYPERLINK("#'DL06. Đăng ký'!A"&amp;MATCH("ENR-2026-001",'DL06. Đăng ký'!A:A,0),"ENR-2026-001"),"ENR-2026-001")</f>
        <v>ENR-2026-001</v>
      </c>
      <c r="M4" s="232" t="n">
        <f aca="false">IF(A4="","",IF(SUMPRODUCT(MIN((('DL06. Đăng ký'!$B$4:$B$500=A4)*N('DL06. Đăng ký'!$G$4:$G$500))+((('DL06. Đăng ký'!$B$4:$B$500&lt;&gt;A4)+('DL06. Đăng ký'!$G$4:$G$500=""))*10^10)))&gt;=10^10,"",SUMPRODUCT(MIN((('DL06. Đăng ký'!$B$4:$B$500=A4)*N('DL06. Đăng ký'!$G$4:$G$500))+((('DL06. Đăng ký'!$B$4:$B$500&lt;&gt;A4)+('DL06. Đăng ký'!$G$4:$G$500=""))*10^10)))))</f>
        <v>46153.375</v>
      </c>
      <c r="N4" s="233" t="n">
        <f aca="false">IFERROR(COUNTIF('DL06. Đăng ký'!B:B,A4),0)</f>
        <v>1</v>
      </c>
      <c r="O4" s="209" t="s">
        <v>1126</v>
      </c>
      <c r="P4" s="211" t="n">
        <v>46155.375</v>
      </c>
      <c r="Q4" s="209"/>
      <c r="R4" s="209" t="s">
        <v>1141</v>
      </c>
      <c r="S4" s="209" t="s">
        <v>1154</v>
      </c>
      <c r="T4" s="209"/>
      <c r="U4" s="209"/>
      <c r="V4" s="211" t="n">
        <f aca="true">IF(A4="","",IF(MAX(SUMPRODUCT(MAX(('DL12. Điểm danh'!$C$4:$C$1000=A4)*('DL12. Điểm danh'!$G$4:$G$1000&lt;=NOW())*N('DL12. Điểm danh'!$G$4:$G$1000))),SUMPRODUCT(MAX(('DL13. Bài tập'!$D$4:$D$1000=A4)*('DL13. Bài tập'!$J$4:$J$1000&lt;=NOW())*N('DL13. Bài tập'!$J$4:$J$1000))),SUMPRODUCT(MAX(('DL14. Buổi WOW 1-1'!$C$4:$C$1000=A4)*('DL14. Buổi WOW 1-1'!$E$4:$E$1000&lt;=NOW())*N('DL14. Buổi WOW 1-1'!$E$4:$E$1000))))=0,"",MAX(SUMPRODUCT(MAX(('DL12. Điểm danh'!$C$4:$C$1000=A4)*('DL12. Điểm danh'!$G$4:$G$1000&lt;=NOW())*N('DL12. Điểm danh'!$G$4:$G$1000))),SUMPRODUCT(MAX(('DL13. Bài tập'!$D$4:$D$1000=A4)*('DL13. Bài tập'!$J$4:$J$1000&lt;=NOW())*N('DL13. Bài tập'!$J$4:$J$1000))),SUMPRODUCT(MAX(('DL14. Buổi WOW 1-1'!$C$4:$C$1000=A4)*('DL14. Buổi WOW 1-1'!$E$4:$E$1000&lt;=NOW())*N('DL14. Buổi WOW 1-1'!$E$4:$E$1000))))))</f>
        <v>46209.375</v>
      </c>
      <c r="W4" s="209"/>
      <c r="X4" s="209"/>
      <c r="Y4" s="234" t="n">
        <f aca="false">IFERROR(VLOOKUP(VLOOKUP(L4,'DL06. Đăng ký'!A:E,5,FALSE()),'DL05. Khóa học'!A:G,7,FALSE()),wowQuota_default_sessions)</f>
        <v>5</v>
      </c>
      <c r="Z4" s="235" t="n">
        <v>0</v>
      </c>
      <c r="AA4" s="235" t="n">
        <v>0</v>
      </c>
      <c r="AB4" s="234" t="n">
        <f aca="false">COUNTIFS('DL14. Buổi WOW 1-1'!C:C,A4,'DL14. Buổi WOW 1-1'!L:L,"completed*")+COUNTIFS('DL14. Buổi WOW 1-1'!C:C,A4,'DL14. Buổi WOW 1-1'!L:L,"no_show*")</f>
        <v>0</v>
      </c>
      <c r="AC4" s="234" t="n">
        <f aca="false">Y4+Z4+AA4-AB4</f>
        <v>5</v>
      </c>
      <c r="AD4" s="212" t="str">
        <f aca="true" t="array" ref="AD4:AD4">IF(SUMPRODUCT(('DL12. Điểm danh'!$C$4:$C$1000=A4)*ISNUMBER(SEARCH("no_show",'DL12. Điểm danh'!$E$4:$E$1000)))&gt;=thresholdAtRisk_absences,INDEX('CH4. Thông điệp nhắc việc'!$G:$G,MATCH("NA064",'CH4. Thông điệp nhắc việc'!$A:$A,0)),IF(SUMPRODUCT(('DL13. Bài tập'!$D$4:$D$1000=A4)*ISNUMBER(SEARCH("missing",'DL13. Bài tập'!$L$4:$L$1000)))&gt;=thresholdAtRisk_hw_missing,INDEX('CH4. Thông điệp nhắc việc'!$G:$G,MATCH("NA065",'CH4. Thông điệp nhắc việc'!$A:$A,0)),IF(AND(ISNUMBER(SEARCH("off_track",R4)),ISNUMBER(SEARCH("off_track",S4))),INDEX('CH4. Thông điệp nhắc việc'!$G:$G,MATCH("NA014",'CH4. Thông điệp nhắc việc'!$A:$A,0)),IF(ISNUMBER(SEARCH("off_track",S4)),INDEX('CH4. Thông điệp nhắc việc'!$G:$G,MATCH("NA015",'CH4. Thông điệp nhắc việc'!$A:$A,0)),IF(ISNUMBER(SEARCH("off_track",R4)),INDEX('CH4. Thông điệp nhắc việc'!$G:$G,MATCH("NA016",'CH4. Thông điệp nhắc việc'!$A:$A,0)),IF(ISNUMBER(SEARCH("at_risk",S4)),INDEX('CH4. Thông điệp nhắc việc'!$G:$G,MATCH("NA066",'CH4. Thông điệp nhắc việc'!$A:$A,0)),IF(ISNUMBER(SEARCH("at_risk",R4)),INDEX('CH4. Thông điệp nhắc việc'!$G:$G,MATCH("NA017",'CH4. Thông điệp nhắc việc'!$A:$A,0)),IF(AND(V4&lt;&gt;"",(NOW()-N(V4))&gt;slaActivity_inactive_days),INDEX('CH4. Thông điệp nhắc việc'!$G:$G,MATCH("NA067",'CH4. Thông điệp nhắc việc'!$A:$A,0)),INDEX('CH4. Thông điệp nhắc việc'!$G:$G,MATCH("NA018",'CH4. Thông điệp nhắc việc'!$A:$A,0))))))))))</f>
        <v>HV đang học đều và ổn định. Không cần làm gì thêm.</v>
      </c>
    </row>
    <row r="5" customFormat="false" ht="46.5" hidden="false" customHeight="true" outlineLevel="0" collapsed="false">
      <c r="A5" s="209" t="s">
        <v>3104</v>
      </c>
      <c r="B5" s="209" t="s">
        <v>2552</v>
      </c>
      <c r="C5" s="209" t="s">
        <v>2553</v>
      </c>
      <c r="D5" s="209" t="s">
        <v>3105</v>
      </c>
      <c r="E5" s="232" t="n">
        <v>39208.375</v>
      </c>
      <c r="F5" s="209" t="s">
        <v>3106</v>
      </c>
      <c r="G5" s="209" t="s">
        <v>1010</v>
      </c>
      <c r="H5" s="209" t="s">
        <v>3100</v>
      </c>
      <c r="I5" s="209" t="s">
        <v>3107</v>
      </c>
      <c r="J5" s="209" t="s">
        <v>3108</v>
      </c>
      <c r="K5" s="209" t="s">
        <v>3103</v>
      </c>
      <c r="L5" s="210" t="str">
        <f aca="false">IFERROR(HYPERLINK("#'DL06. Đăng ký'!A"&amp;MATCH("ENR-2026-002",'DL06. Đăng ký'!A:A,0),"ENR-2026-002"),"ENR-2026-002")</f>
        <v>ENR-2026-002</v>
      </c>
      <c r="M5" s="232" t="n">
        <f aca="false">IF(A5="","",IF(SUMPRODUCT(MIN((('DL06. Đăng ký'!$B$4:$B$500=A5)*N('DL06. Đăng ký'!$G$4:$G$500))+((('DL06. Đăng ký'!$B$4:$B$500&lt;&gt;A5)+('DL06. Đăng ký'!$G$4:$G$500=""))*10^10)))&gt;=10^10,"",SUMPRODUCT(MIN((('DL06. Đăng ký'!$B$4:$B$500=A5)*N('DL06. Đăng ký'!$G$4:$G$500))+((('DL06. Đăng ký'!$B$4:$B$500&lt;&gt;A5)+('DL06. Đăng ký'!$G$4:$G$500=""))*10^10)))))</f>
        <v>46138.375</v>
      </c>
      <c r="N5" s="233" t="n">
        <f aca="false">IFERROR(COUNTIF('DL06. Đăng ký'!B:B,A5),0)</f>
        <v>1</v>
      </c>
      <c r="O5" s="209" t="s">
        <v>1127</v>
      </c>
      <c r="P5" s="211" t="n">
        <v>46140.375</v>
      </c>
      <c r="Q5" s="209"/>
      <c r="R5" s="209" t="s">
        <v>1141</v>
      </c>
      <c r="S5" s="209" t="s">
        <v>1154</v>
      </c>
      <c r="T5" s="209"/>
      <c r="U5" s="209"/>
      <c r="V5" s="211" t="n">
        <f aca="true">IF(A5="","",IF(MAX(SUMPRODUCT(MAX(('DL12. Điểm danh'!$C$4:$C$1000=A5)*('DL12. Điểm danh'!$G$4:$G$1000&lt;=NOW())*N('DL12. Điểm danh'!$G$4:$G$1000))),SUMPRODUCT(MAX(('DL13. Bài tập'!$D$4:$D$1000=A5)*('DL13. Bài tập'!$J$4:$J$1000&lt;=NOW())*N('DL13. Bài tập'!$J$4:$J$1000))),SUMPRODUCT(MAX(('DL14. Buổi WOW 1-1'!$C$4:$C$1000=A5)*('DL14. Buổi WOW 1-1'!$E$4:$E$1000&lt;=NOW())*N('DL14. Buổi WOW 1-1'!$E$4:$E$1000))))=0,"",MAX(SUMPRODUCT(MAX(('DL12. Điểm danh'!$C$4:$C$1000=A5)*('DL12. Điểm danh'!$G$4:$G$1000&lt;=NOW())*N('DL12. Điểm danh'!$G$4:$G$1000))),SUMPRODUCT(MAX(('DL13. Bài tập'!$D$4:$D$1000=A5)*('DL13. Bài tập'!$J$4:$J$1000&lt;=NOW())*N('DL13. Bài tập'!$J$4:$J$1000))),SUMPRODUCT(MAX(('DL14. Buổi WOW 1-1'!$C$4:$C$1000=A5)*('DL14. Buổi WOW 1-1'!$E$4:$E$1000&lt;=NOW())*N('DL14. Buổi WOW 1-1'!$E$4:$E$1000))))))</f>
        <v>46206.375</v>
      </c>
      <c r="W5" s="209"/>
      <c r="X5" s="209"/>
      <c r="Y5" s="234" t="n">
        <f aca="false">IFERROR(VLOOKUP(VLOOKUP(L5,'DL06. Đăng ký'!A:E,5,FALSE()),'DL05. Khóa học'!A:G,7,FALSE()),wowQuota_default_sessions)</f>
        <v>10</v>
      </c>
      <c r="Z5" s="235" t="n">
        <v>0</v>
      </c>
      <c r="AA5" s="235" t="n">
        <v>0</v>
      </c>
      <c r="AB5" s="234" t="n">
        <f aca="false">COUNTIFS('DL14. Buổi WOW 1-1'!C:C,A5,'DL14. Buổi WOW 1-1'!L:L,"completed*")+COUNTIFS('DL14. Buổi WOW 1-1'!C:C,A5,'DL14. Buổi WOW 1-1'!L:L,"no_show*")</f>
        <v>1</v>
      </c>
      <c r="AC5" s="234" t="n">
        <f aca="false">Y5+Z5+AA5-AB5</f>
        <v>9</v>
      </c>
      <c r="AD5" s="212" t="str">
        <f aca="true" t="array" ref="AD5:AD5">IF(SUMPRODUCT(('DL12. Điểm danh'!$C$4:$C$1000=A5)*ISNUMBER(SEARCH("no_show",'DL12. Điểm danh'!$E$4:$E$1000)))&gt;=thresholdAtRisk_absences,INDEX('CH4. Thông điệp nhắc việc'!$G:$G,MATCH("NA064",'CH4. Thông điệp nhắc việc'!$A:$A,0)),IF(SUMPRODUCT(('DL13. Bài tập'!$D$4:$D$1000=A5)*ISNUMBER(SEARCH("missing",'DL13. Bài tập'!$L$4:$L$1000)))&gt;=thresholdAtRisk_hw_missing,INDEX('CH4. Thông điệp nhắc việc'!$G:$G,MATCH("NA065",'CH4. Thông điệp nhắc việc'!$A:$A,0)),IF(AND(ISNUMBER(SEARCH("off_track",R5)),ISNUMBER(SEARCH("off_track",S5))),INDEX('CH4. Thông điệp nhắc việc'!$G:$G,MATCH("NA014",'CH4. Thông điệp nhắc việc'!$A:$A,0)),IF(ISNUMBER(SEARCH("off_track",S5)),INDEX('CH4. Thông điệp nhắc việc'!$G:$G,MATCH("NA015",'CH4. Thông điệp nhắc việc'!$A:$A,0)),IF(ISNUMBER(SEARCH("off_track",R5)),INDEX('CH4. Thông điệp nhắc việc'!$G:$G,MATCH("NA016",'CH4. Thông điệp nhắc việc'!$A:$A,0)),IF(ISNUMBER(SEARCH("at_risk",S5)),INDEX('CH4. Thông điệp nhắc việc'!$G:$G,MATCH("NA066",'CH4. Thông điệp nhắc việc'!$A:$A,0)),IF(ISNUMBER(SEARCH("at_risk",R5)),INDEX('CH4. Thông điệp nhắc việc'!$G:$G,MATCH("NA017",'CH4. Thông điệp nhắc việc'!$A:$A,0)),IF(AND(V5&lt;&gt;"",(NOW()-N(V5))&gt;slaActivity_inactive_days),INDEX('CH4. Thông điệp nhắc việc'!$G:$G,MATCH("NA067",'CH4. Thông điệp nhắc việc'!$A:$A,0)),INDEX('CH4. Thông điệp nhắc việc'!$G:$G,MATCH("NA018",'CH4. Thông điệp nhắc việc'!$A:$A,0))))))))))</f>
        <v>HV đang học đều và ổn định. Không cần làm gì thêm.</v>
      </c>
    </row>
    <row r="6" customFormat="false" ht="46.5" hidden="false" customHeight="true" outlineLevel="0" collapsed="false">
      <c r="A6" s="209" t="s">
        <v>3109</v>
      </c>
      <c r="B6" s="209" t="s">
        <v>2556</v>
      </c>
      <c r="C6" s="209" t="s">
        <v>2557</v>
      </c>
      <c r="D6" s="209" t="s">
        <v>3110</v>
      </c>
      <c r="E6" s="232" t="n">
        <v>39208.375</v>
      </c>
      <c r="F6" s="209" t="s">
        <v>3099</v>
      </c>
      <c r="G6" s="209" t="s">
        <v>1012</v>
      </c>
      <c r="H6" s="209" t="s">
        <v>3100</v>
      </c>
      <c r="I6" s="209" t="s">
        <v>3111</v>
      </c>
      <c r="J6" s="209" t="s">
        <v>3112</v>
      </c>
      <c r="K6" s="209" t="s">
        <v>3103</v>
      </c>
      <c r="L6" s="210" t="str">
        <f aca="false">IFERROR(HYPERLINK("#'DL06. Đăng ký'!A"&amp;MATCH("ENR-2026-003",'DL06. Đăng ký'!A:A,0),"ENR-2026-003"),"ENR-2026-003")</f>
        <v>ENR-2026-003</v>
      </c>
      <c r="M6" s="232" t="n">
        <f aca="false">IF(A6="","",IF(SUMPRODUCT(MIN((('DL06. Đăng ký'!$B$4:$B$500=A6)*N('DL06. Đăng ký'!$G$4:$G$500))+((('DL06. Đăng ký'!$B$4:$B$500&lt;&gt;A6)+('DL06. Đăng ký'!$G$4:$G$500=""))*10^10)))&gt;=10^10,"",SUMPRODUCT(MIN((('DL06. Đăng ký'!$B$4:$B$500=A6)*N('DL06. Đăng ký'!$G$4:$G$500))+((('DL06. Đăng ký'!$B$4:$B$500&lt;&gt;A6)+('DL06. Đăng ký'!$G$4:$G$500=""))*10^10)))))</f>
        <v>46158.375</v>
      </c>
      <c r="N6" s="233" t="n">
        <f aca="false">IFERROR(COUNTIF('DL06. Đăng ký'!B:B,A6),0)</f>
        <v>1</v>
      </c>
      <c r="O6" s="209" t="s">
        <v>1126</v>
      </c>
      <c r="P6" s="211" t="n">
        <v>46160.375</v>
      </c>
      <c r="Q6" s="209"/>
      <c r="R6" s="209" t="s">
        <v>1143</v>
      </c>
      <c r="S6" s="209" t="s">
        <v>1154</v>
      </c>
      <c r="T6" s="209" t="s">
        <v>1148</v>
      </c>
      <c r="U6" s="209"/>
      <c r="V6" s="211" t="n">
        <f aca="true">IF(A6="","",IF(MAX(SUMPRODUCT(MAX(('DL12. Điểm danh'!$C$4:$C$1000=A6)*('DL12. Điểm danh'!$G$4:$G$1000&lt;=NOW())*N('DL12. Điểm danh'!$G$4:$G$1000))),SUMPRODUCT(MAX(('DL13. Bài tập'!$D$4:$D$1000=A6)*('DL13. Bài tập'!$J$4:$J$1000&lt;=NOW())*N('DL13. Bài tập'!$J$4:$J$1000))),SUMPRODUCT(MAX(('DL14. Buổi WOW 1-1'!$C$4:$C$1000=A6)*('DL14. Buổi WOW 1-1'!$E$4:$E$1000&lt;=NOW())*N('DL14. Buổi WOW 1-1'!$E$4:$E$1000))))=0,"",MAX(SUMPRODUCT(MAX(('DL12. Điểm danh'!$C$4:$C$1000=A6)*('DL12. Điểm danh'!$G$4:$G$1000&lt;=NOW())*N('DL12. Điểm danh'!$G$4:$G$1000))),SUMPRODUCT(MAX(('DL13. Bài tập'!$D$4:$D$1000=A6)*('DL13. Bài tập'!$J$4:$J$1000&lt;=NOW())*N('DL13. Bài tập'!$J$4:$J$1000))),SUMPRODUCT(MAX(('DL14. Buổi WOW 1-1'!$C$4:$C$1000=A6)*('DL14. Buổi WOW 1-1'!$E$4:$E$1000&lt;=NOW())*N('DL14. Buổi WOW 1-1'!$E$4:$E$1000))))))</f>
        <v>46206.75</v>
      </c>
      <c r="W6" s="209"/>
      <c r="X6" s="209"/>
      <c r="Y6" s="234" t="n">
        <f aca="false">IFERROR(VLOOKUP(VLOOKUP(L6,'DL06. Đăng ký'!A:E,5,FALSE()),'DL05. Khóa học'!A:G,7,FALSE()),wowQuota_default_sessions)</f>
        <v>10</v>
      </c>
      <c r="Z6" s="235" t="n">
        <v>0</v>
      </c>
      <c r="AA6" s="235" t="n">
        <v>0</v>
      </c>
      <c r="AB6" s="234" t="n">
        <f aca="false">COUNTIFS('DL14. Buổi WOW 1-1'!C:C,A6,'DL14. Buổi WOW 1-1'!L:L,"completed*")+COUNTIFS('DL14. Buổi WOW 1-1'!C:C,A6,'DL14. Buổi WOW 1-1'!L:L,"no_show*")</f>
        <v>1</v>
      </c>
      <c r="AC6" s="234" t="n">
        <f aca="false">Y6+Z6+AA6-AB6</f>
        <v>9</v>
      </c>
      <c r="AD6" s="212" t="str">
        <f aca="true" t="array" ref="AD6:AD6">IF(SUMPRODUCT(('DL12. Điểm danh'!$C$4:$C$1000=A6)*ISNUMBER(SEARCH("no_show",'DL12. Điểm danh'!$E$4:$E$1000)))&gt;=thresholdAtRisk_absences,INDEX('CH4. Thông điệp nhắc việc'!$G:$G,MATCH("NA064",'CH4. Thông điệp nhắc việc'!$A:$A,0)),IF(SUMPRODUCT(('DL13. Bài tập'!$D$4:$D$1000=A6)*ISNUMBER(SEARCH("missing",'DL13. Bài tập'!$L$4:$L$1000)))&gt;=thresholdAtRisk_hw_missing,INDEX('CH4. Thông điệp nhắc việc'!$G:$G,MATCH("NA065",'CH4. Thông điệp nhắc việc'!$A:$A,0)),IF(AND(ISNUMBER(SEARCH("off_track",R6)),ISNUMBER(SEARCH("off_track",S6))),INDEX('CH4. Thông điệp nhắc việc'!$G:$G,MATCH("NA014",'CH4. Thông điệp nhắc việc'!$A:$A,0)),IF(ISNUMBER(SEARCH("off_track",S6)),INDEX('CH4. Thông điệp nhắc việc'!$G:$G,MATCH("NA015",'CH4. Thông điệp nhắc việc'!$A:$A,0)),IF(ISNUMBER(SEARCH("off_track",R6)),INDEX('CH4. Thông điệp nhắc việc'!$G:$G,MATCH("NA016",'CH4. Thông điệp nhắc việc'!$A:$A,0)),IF(ISNUMBER(SEARCH("at_risk",S6)),INDEX('CH4. Thông điệp nhắc việc'!$G:$G,MATCH("NA066",'CH4. Thông điệp nhắc việc'!$A:$A,0)),IF(ISNUMBER(SEARCH("at_risk",R6)),INDEX('CH4. Thông điệp nhắc việc'!$G:$G,MATCH("NA017",'CH4. Thông điệp nhắc việc'!$A:$A,0)),IF(AND(V6&lt;&gt;"",(NOW()-N(V6))&gt;slaActivity_inactive_days),INDEX('CH4. Thông điệp nhắc việc'!$G:$G,MATCH("NA067",'CH4. Thông điệp nhắc việc'!$A:$A,0)),INDEX('CH4. Thông điệp nhắc việc'!$G:$G,MATCH("NA018",'CH4. Thông điệp nhắc việc'!$A:$A,0))))))))))</f>
        <v>HV vắng không phép từ 2 buổi trở lên (cấu hình thresholdAtRisk_absences). Việc cần làm: đánh dấu nguy cơ chuyên cần, học vụ liên hệ HV ngay.</v>
      </c>
    </row>
    <row r="7" customFormat="false" ht="46.5" hidden="false" customHeight="true" outlineLevel="0" collapsed="false">
      <c r="A7" s="209" t="s">
        <v>3113</v>
      </c>
      <c r="B7" s="209" t="s">
        <v>2560</v>
      </c>
      <c r="C7" s="209" t="s">
        <v>2561</v>
      </c>
      <c r="D7" s="209" t="s">
        <v>3114</v>
      </c>
      <c r="E7" s="232" t="n">
        <v>39208.375</v>
      </c>
      <c r="F7" s="209" t="s">
        <v>3106</v>
      </c>
      <c r="G7" s="209" t="s">
        <v>1010</v>
      </c>
      <c r="H7" s="209" t="s">
        <v>3100</v>
      </c>
      <c r="I7" s="209" t="s">
        <v>3115</v>
      </c>
      <c r="J7" s="209" t="s">
        <v>3116</v>
      </c>
      <c r="K7" s="209" t="s">
        <v>3103</v>
      </c>
      <c r="L7" s="210" t="str">
        <f aca="false">IFERROR(HYPERLINK("#'DL06. Đăng ký'!A"&amp;MATCH("ENR-2026-004",'DL06. Đăng ký'!A:A,0),"ENR-2026-004"),"ENR-2026-004")</f>
        <v>ENR-2026-004</v>
      </c>
      <c r="M7" s="232" t="n">
        <f aca="false">IF(A7="","",IF(SUMPRODUCT(MIN((('DL06. Đăng ký'!$B$4:$B$500=A7)*N('DL06. Đăng ký'!$G$4:$G$500))+((('DL06. Đăng ký'!$B$4:$B$500&lt;&gt;A7)+('DL06. Đăng ký'!$G$4:$G$500=""))*10^10)))&gt;=10^10,"",SUMPRODUCT(MIN((('DL06. Đăng ký'!$B$4:$B$500=A7)*N('DL06. Đăng ký'!$G$4:$G$500))+((('DL06. Đăng ký'!$B$4:$B$500&lt;&gt;A7)+('DL06. Đăng ký'!$G$4:$G$500=""))*10^10)))))</f>
        <v>46160.375</v>
      </c>
      <c r="N7" s="233" t="n">
        <f aca="false">IFERROR(COUNTIF('DL06. Đăng ký'!B:B,A7),0)</f>
        <v>1</v>
      </c>
      <c r="O7" s="209" t="s">
        <v>1126</v>
      </c>
      <c r="P7" s="211" t="n">
        <v>46162.375</v>
      </c>
      <c r="Q7" s="209"/>
      <c r="R7" s="209" t="s">
        <v>1141</v>
      </c>
      <c r="S7" s="209" t="s">
        <v>1143</v>
      </c>
      <c r="T7" s="209"/>
      <c r="U7" s="209" t="s">
        <v>1158</v>
      </c>
      <c r="V7" s="211" t="n">
        <f aca="true">IF(A7="","",IF(MAX(SUMPRODUCT(MAX(('DL12. Điểm danh'!$C$4:$C$1000=A7)*('DL12. Điểm danh'!$G$4:$G$1000&lt;=NOW())*N('DL12. Điểm danh'!$G$4:$G$1000))),SUMPRODUCT(MAX(('DL13. Bài tập'!$D$4:$D$1000=A7)*('DL13. Bài tập'!$J$4:$J$1000&lt;=NOW())*N('DL13. Bài tập'!$J$4:$J$1000))),SUMPRODUCT(MAX(('DL14. Buổi WOW 1-1'!$C$4:$C$1000=A7)*('DL14. Buổi WOW 1-1'!$E$4:$E$1000&lt;=NOW())*N('DL14. Buổi WOW 1-1'!$E$4:$E$1000))))=0,"",MAX(SUMPRODUCT(MAX(('DL12. Điểm danh'!$C$4:$C$1000=A7)*('DL12. Điểm danh'!$G$4:$G$1000&lt;=NOW())*N('DL12. Điểm danh'!$G$4:$G$1000))),SUMPRODUCT(MAX(('DL13. Bài tập'!$D$4:$D$1000=A7)*('DL13. Bài tập'!$J$4:$J$1000&lt;=NOW())*N('DL13. Bài tập'!$J$4:$J$1000))),SUMPRODUCT(MAX(('DL14. Buổi WOW 1-1'!$C$4:$C$1000=A7)*('DL14. Buổi WOW 1-1'!$E$4:$E$1000&lt;=NOW())*N('DL14. Buổi WOW 1-1'!$E$4:$E$1000))))))</f>
        <v>46201.75</v>
      </c>
      <c r="W7" s="209"/>
      <c r="X7" s="209"/>
      <c r="Y7" s="234" t="n">
        <f aca="false">IFERROR(VLOOKUP(VLOOKUP(L7,'DL06. Đăng ký'!A:E,5,FALSE()),'DL05. Khóa học'!A:G,7,FALSE()),wowQuota_default_sessions)</f>
        <v>10</v>
      </c>
      <c r="Z7" s="235" t="n">
        <v>0</v>
      </c>
      <c r="AA7" s="235" t="n">
        <v>0</v>
      </c>
      <c r="AB7" s="234" t="n">
        <f aca="false">COUNTIFS('DL14. Buổi WOW 1-1'!C:C,A7,'DL14. Buổi WOW 1-1'!L:L,"completed*")+COUNTIFS('DL14. Buổi WOW 1-1'!C:C,A7,'DL14. Buổi WOW 1-1'!L:L,"no_show*")</f>
        <v>0</v>
      </c>
      <c r="AC7" s="234" t="n">
        <f aca="false">Y7+Z7+AA7-AB7</f>
        <v>10</v>
      </c>
      <c r="AD7" s="212" t="str">
        <f aca="true" t="array" ref="AD7:AD7">IF(SUMPRODUCT(('DL12. Điểm danh'!$C$4:$C$1000=A7)*ISNUMBER(SEARCH("no_show",'DL12. Điểm danh'!$E$4:$E$1000)))&gt;=thresholdAtRisk_absences,INDEX('CH4. Thông điệp nhắc việc'!$G:$G,MATCH("NA064",'CH4. Thông điệp nhắc việc'!$A:$A,0)),IF(SUMPRODUCT(('DL13. Bài tập'!$D$4:$D$1000=A7)*ISNUMBER(SEARCH("missing",'DL13. Bài tập'!$L$4:$L$1000)))&gt;=thresholdAtRisk_hw_missing,INDEX('CH4. Thông điệp nhắc việc'!$G:$G,MATCH("NA065",'CH4. Thông điệp nhắc việc'!$A:$A,0)),IF(AND(ISNUMBER(SEARCH("off_track",R7)),ISNUMBER(SEARCH("off_track",S7))),INDEX('CH4. Thông điệp nhắc việc'!$G:$G,MATCH("NA014",'CH4. Thông điệp nhắc việc'!$A:$A,0)),IF(ISNUMBER(SEARCH("off_track",S7)),INDEX('CH4. Thông điệp nhắc việc'!$G:$G,MATCH("NA015",'CH4. Thông điệp nhắc việc'!$A:$A,0)),IF(ISNUMBER(SEARCH("off_track",R7)),INDEX('CH4. Thông điệp nhắc việc'!$G:$G,MATCH("NA016",'CH4. Thông điệp nhắc việc'!$A:$A,0)),IF(ISNUMBER(SEARCH("at_risk",S7)),INDEX('CH4. Thông điệp nhắc việc'!$G:$G,MATCH("NA066",'CH4. Thông điệp nhắc việc'!$A:$A,0)),IF(ISNUMBER(SEARCH("at_risk",R7)),INDEX('CH4. Thông điệp nhắc việc'!$G:$G,MATCH("NA017",'CH4. Thông điệp nhắc việc'!$A:$A,0)),IF(AND(V7&lt;&gt;"",(NOW()-N(V7))&gt;slaActivity_inactive_days),INDEX('CH4. Thông điệp nhắc việc'!$G:$G,MATCH("NA067",'CH4. Thông điệp nhắc việc'!$A:$A,0)),INDEX('CH4. Thông điệp nhắc việc'!$G:$G,MATCH("NA018",'CH4. Thông điệp nhắc việc'!$A:$A,0))))))))))</f>
        <v>HV thiếu bài tập từ 3 lần trở lên (cấu hình thresholdAtRisk_hw_missing). Việc cần làm: đánh dấu nguy cơ học thuật, can thiệp ngay.</v>
      </c>
    </row>
    <row r="8" customFormat="false" ht="46.5" hidden="false" customHeight="true" outlineLevel="0" collapsed="false">
      <c r="A8" s="209" t="s">
        <v>3117</v>
      </c>
      <c r="B8" s="209" t="s">
        <v>2563</v>
      </c>
      <c r="C8" s="209" t="s">
        <v>2564</v>
      </c>
      <c r="D8" s="209" t="s">
        <v>3118</v>
      </c>
      <c r="E8" s="232" t="n">
        <v>39208.375</v>
      </c>
      <c r="F8" s="209" t="s">
        <v>3099</v>
      </c>
      <c r="G8" s="209" t="s">
        <v>1012</v>
      </c>
      <c r="H8" s="209" t="s">
        <v>3100</v>
      </c>
      <c r="I8" s="209" t="s">
        <v>3119</v>
      </c>
      <c r="J8" s="209" t="s">
        <v>3120</v>
      </c>
      <c r="K8" s="209" t="s">
        <v>3103</v>
      </c>
      <c r="L8" s="210" t="str">
        <f aca="false">IFERROR(HYPERLINK("#'DL06. Đăng ký'!A"&amp;MATCH("ENR-2026-005",'DL06. Đăng ký'!A:A,0),"ENR-2026-005"),"ENR-2026-005")</f>
        <v>ENR-2026-005</v>
      </c>
      <c r="M8" s="232" t="n">
        <f aca="false">IF(A8="","",IF(SUMPRODUCT(MIN((('DL06. Đăng ký'!$B$4:$B$500=A8)*N('DL06. Đăng ký'!$G$4:$G$500))+((('DL06. Đăng ký'!$B$4:$B$500&lt;&gt;A8)+('DL06. Đăng ký'!$G$4:$G$500=""))*10^10)))&gt;=10^10,"",SUMPRODUCT(MIN((('DL06. Đăng ký'!$B$4:$B$500=A8)*N('DL06. Đăng ký'!$G$4:$G$500))+((('DL06. Đăng ký'!$B$4:$B$500&lt;&gt;A8)+('DL06. Đăng ký'!$G$4:$G$500=""))*10^10)))))</f>
        <v>46163.375</v>
      </c>
      <c r="N8" s="233" t="n">
        <f aca="false">IFERROR(COUNTIF('DL06. Đăng ký'!B:B,A8),0)</f>
        <v>1</v>
      </c>
      <c r="O8" s="209" t="s">
        <v>1126</v>
      </c>
      <c r="P8" s="211" t="n">
        <v>46165.375</v>
      </c>
      <c r="Q8" s="209"/>
      <c r="R8" s="209" t="s">
        <v>1145</v>
      </c>
      <c r="S8" s="209" t="s">
        <v>1155</v>
      </c>
      <c r="T8" s="209" t="s">
        <v>1148</v>
      </c>
      <c r="U8" s="209" t="s">
        <v>1158</v>
      </c>
      <c r="V8" s="211" t="n">
        <f aca="true">IF(A8="","",IF(MAX(SUMPRODUCT(MAX(('DL12. Điểm danh'!$C$4:$C$1000=A8)*('DL12. Điểm danh'!$G$4:$G$1000&lt;=NOW())*N('DL12. Điểm danh'!$G$4:$G$1000))),SUMPRODUCT(MAX(('DL13. Bài tập'!$D$4:$D$1000=A8)*('DL13. Bài tập'!$J$4:$J$1000&lt;=NOW())*N('DL13. Bài tập'!$J$4:$J$1000))),SUMPRODUCT(MAX(('DL14. Buổi WOW 1-1'!$C$4:$C$1000=A8)*('DL14. Buổi WOW 1-1'!$E$4:$E$1000&lt;=NOW())*N('DL14. Buổi WOW 1-1'!$E$4:$E$1000))))=0,"",MAX(SUMPRODUCT(MAX(('DL12. Điểm danh'!$C$4:$C$1000=A8)*('DL12. Điểm danh'!$G$4:$G$1000&lt;=NOW())*N('DL12. Điểm danh'!$G$4:$G$1000))),SUMPRODUCT(MAX(('DL13. Bài tập'!$D$4:$D$1000=A8)*('DL13. Bài tập'!$J$4:$J$1000&lt;=NOW())*N('DL13. Bài tập'!$J$4:$J$1000))),SUMPRODUCT(MAX(('DL14. Buổi WOW 1-1'!$C$4:$C$1000=A8)*('DL14. Buổi WOW 1-1'!$E$4:$E$1000&lt;=NOW())*N('DL14. Buổi WOW 1-1'!$E$4:$E$1000))))))</f>
        <v>46207.7916666667</v>
      </c>
      <c r="W8" s="209"/>
      <c r="X8" s="209"/>
      <c r="Y8" s="234" t="n">
        <f aca="false">IFERROR(VLOOKUP(VLOOKUP(L8,'DL06. Đăng ký'!A:E,5,FALSE()),'DL05. Khóa học'!A:G,7,FALSE()),wowQuota_default_sessions)</f>
        <v>12</v>
      </c>
      <c r="Z8" s="235" t="n">
        <v>0</v>
      </c>
      <c r="AA8" s="235" t="n">
        <v>0</v>
      </c>
      <c r="AB8" s="234" t="n">
        <f aca="false">COUNTIFS('DL14. Buổi WOW 1-1'!C:C,A8,'DL14. Buổi WOW 1-1'!L:L,"completed*")+COUNTIFS('DL14. Buổi WOW 1-1'!C:C,A8,'DL14. Buổi WOW 1-1'!L:L,"no_show*")</f>
        <v>1</v>
      </c>
      <c r="AC8" s="234" t="n">
        <f aca="false">Y8+Z8+AA8-AB8</f>
        <v>11</v>
      </c>
      <c r="AD8" s="212" t="str">
        <f aca="true" t="array" ref="AD8:AD8">IF(SUMPRODUCT(('DL12. Điểm danh'!$C$4:$C$1000=A8)*ISNUMBER(SEARCH("no_show",'DL12. Điểm danh'!$E$4:$E$1000)))&gt;=thresholdAtRisk_absences,INDEX('CH4. Thông điệp nhắc việc'!$G:$G,MATCH("NA064",'CH4. Thông điệp nhắc việc'!$A:$A,0)),IF(SUMPRODUCT(('DL13. Bài tập'!$D$4:$D$1000=A8)*ISNUMBER(SEARCH("missing",'DL13. Bài tập'!$L$4:$L$1000)))&gt;=thresholdAtRisk_hw_missing,INDEX('CH4. Thông điệp nhắc việc'!$G:$G,MATCH("NA065",'CH4. Thông điệp nhắc việc'!$A:$A,0)),IF(AND(ISNUMBER(SEARCH("off_track",R8)),ISNUMBER(SEARCH("off_track",S8))),INDEX('CH4. Thông điệp nhắc việc'!$G:$G,MATCH("NA014",'CH4. Thông điệp nhắc việc'!$A:$A,0)),IF(ISNUMBER(SEARCH("off_track",S8)),INDEX('CH4. Thông điệp nhắc việc'!$G:$G,MATCH("NA015",'CH4. Thông điệp nhắc việc'!$A:$A,0)),IF(ISNUMBER(SEARCH("off_track",R8)),INDEX('CH4. Thông điệp nhắc việc'!$G:$G,MATCH("NA016",'CH4. Thông điệp nhắc việc'!$A:$A,0)),IF(ISNUMBER(SEARCH("at_risk",S8)),INDEX('CH4. Thông điệp nhắc việc'!$G:$G,MATCH("NA066",'CH4. Thông điệp nhắc việc'!$A:$A,0)),IF(ISNUMBER(SEARCH("at_risk",R8)),INDEX('CH4. Thông điệp nhắc việc'!$G:$G,MATCH("NA017",'CH4. Thông điệp nhắc việc'!$A:$A,0)),IF(AND(V8&lt;&gt;"",(NOW()-N(V8))&gt;slaActivity_inactive_days),INDEX('CH4. Thông điệp nhắc việc'!$G:$G,MATCH("NA067",'CH4. Thông điệp nhắc việc'!$A:$A,0)),INDEX('CH4. Thông điệp nhắc việc'!$G:$G,MATCH("NA018",'CH4. Thông điệp nhắc việc'!$A:$A,0))))))))))</f>
        <v>HV vắng không phép từ 2 buổi trở lên (cấu hình thresholdAtRisk_absences). Việc cần làm: đánh dấu nguy cơ chuyên cần, học vụ liên hệ HV ngay.</v>
      </c>
    </row>
    <row r="9" customFormat="false" ht="46.5" hidden="false" customHeight="true" outlineLevel="0" collapsed="false">
      <c r="A9" s="209" t="s">
        <v>3121</v>
      </c>
      <c r="B9" s="209" t="s">
        <v>2567</v>
      </c>
      <c r="C9" s="209" t="s">
        <v>2568</v>
      </c>
      <c r="D9" s="209" t="s">
        <v>3122</v>
      </c>
      <c r="E9" s="232" t="n">
        <v>39208.375</v>
      </c>
      <c r="F9" s="209" t="s">
        <v>3106</v>
      </c>
      <c r="G9" s="209" t="s">
        <v>1008</v>
      </c>
      <c r="H9" s="209" t="s">
        <v>3100</v>
      </c>
      <c r="I9" s="209" t="s">
        <v>3123</v>
      </c>
      <c r="J9" s="209" t="s">
        <v>3124</v>
      </c>
      <c r="K9" s="209" t="s">
        <v>3103</v>
      </c>
      <c r="L9" s="210" t="str">
        <f aca="false">IFERROR(HYPERLINK("#'DL06. Đăng ký'!A"&amp;MATCH("ENR-2026-006",'DL06. Đăng ký'!A:A,0),"ENR-2026-006"),"ENR-2026-006")</f>
        <v>ENR-2026-006</v>
      </c>
      <c r="M9" s="232" t="n">
        <f aca="false">IF(A9="","",IF(SUMPRODUCT(MIN((('DL06. Đăng ký'!$B$4:$B$500=A9)*N('DL06. Đăng ký'!$G$4:$G$500))+((('DL06. Đăng ký'!$B$4:$B$500&lt;&gt;A9)+('DL06. Đăng ký'!$G$4:$G$500=""))*10^10)))&gt;=10^10,"",SUMPRODUCT(MIN((('DL06. Đăng ký'!$B$4:$B$500=A9)*N('DL06. Đăng ký'!$G$4:$G$500))+((('DL06. Đăng ký'!$B$4:$B$500&lt;&gt;A9)+('DL06. Đăng ký'!$G$4:$G$500=""))*10^10)))))</f>
        <v>46192.375</v>
      </c>
      <c r="N9" s="233" t="n">
        <f aca="false">IFERROR(COUNTIF('DL06. Đăng ký'!B:B,A9),0)</f>
        <v>1</v>
      </c>
      <c r="O9" s="209" t="s">
        <v>1126</v>
      </c>
      <c r="P9" s="211" t="n">
        <v>46203.375</v>
      </c>
      <c r="Q9" s="209"/>
      <c r="R9" s="209" t="s">
        <v>1141</v>
      </c>
      <c r="S9" s="209" t="s">
        <v>1154</v>
      </c>
      <c r="T9" s="209"/>
      <c r="U9" s="209"/>
      <c r="V9" s="211" t="str">
        <f aca="true">IF(A9="","",IF(MAX(SUMPRODUCT(MAX(('DL12. Điểm danh'!$C$4:$C$1000=A9)*('DL12. Điểm danh'!$G$4:$G$1000&lt;=NOW())*N('DL12. Điểm danh'!$G$4:$G$1000))),SUMPRODUCT(MAX(('DL13. Bài tập'!$D$4:$D$1000=A9)*('DL13. Bài tập'!$J$4:$J$1000&lt;=NOW())*N('DL13. Bài tập'!$J$4:$J$1000))),SUMPRODUCT(MAX(('DL14. Buổi WOW 1-1'!$C$4:$C$1000=A9)*('DL14. Buổi WOW 1-1'!$E$4:$E$1000&lt;=NOW())*N('DL14. Buổi WOW 1-1'!$E$4:$E$1000))))=0,"",MAX(SUMPRODUCT(MAX(('DL12. Điểm danh'!$C$4:$C$1000=A9)*('DL12. Điểm danh'!$G$4:$G$1000&lt;=NOW())*N('DL12. Điểm danh'!$G$4:$G$1000))),SUMPRODUCT(MAX(('DL13. Bài tập'!$D$4:$D$1000=A9)*('DL13. Bài tập'!$J$4:$J$1000&lt;=NOW())*N('DL13. Bài tập'!$J$4:$J$1000))),SUMPRODUCT(MAX(('DL14. Buổi WOW 1-1'!$C$4:$C$1000=A9)*('DL14. Buổi WOW 1-1'!$E$4:$E$1000&lt;=NOW())*N('DL14. Buổi WOW 1-1'!$E$4:$E$1000))))))</f>
        <v/>
      </c>
      <c r="W9" s="209"/>
      <c r="X9" s="209"/>
      <c r="Y9" s="234" t="n">
        <f aca="false">IFERROR(VLOOKUP(VLOOKUP(L9,'DL06. Đăng ký'!A:E,5,FALSE()),'DL05. Khóa học'!A:G,7,FALSE()),wowQuota_default_sessions)</f>
        <v>5</v>
      </c>
      <c r="Z9" s="235" t="n">
        <v>0</v>
      </c>
      <c r="AA9" s="235" t="n">
        <v>0</v>
      </c>
      <c r="AB9" s="234" t="n">
        <f aca="false">COUNTIFS('DL14. Buổi WOW 1-1'!C:C,A9,'DL14. Buổi WOW 1-1'!L:L,"completed*")+COUNTIFS('DL14. Buổi WOW 1-1'!C:C,A9,'DL14. Buổi WOW 1-1'!L:L,"no_show*")</f>
        <v>0</v>
      </c>
      <c r="AC9" s="234" t="n">
        <f aca="false">Y9+Z9+AA9-AB9</f>
        <v>5</v>
      </c>
      <c r="AD9" s="212" t="str">
        <f aca="true" t="array" ref="AD9:AD9">IF(SUMPRODUCT(('DL12. Điểm danh'!$C$4:$C$1000=A9)*ISNUMBER(SEARCH("no_show",'DL12. Điểm danh'!$E$4:$E$1000)))&gt;=thresholdAtRisk_absences,INDEX('CH4. Thông điệp nhắc việc'!$G:$G,MATCH("NA064",'CH4. Thông điệp nhắc việc'!$A:$A,0)),IF(SUMPRODUCT(('DL13. Bài tập'!$D$4:$D$1000=A9)*ISNUMBER(SEARCH("missing",'DL13. Bài tập'!$L$4:$L$1000)))&gt;=thresholdAtRisk_hw_missing,INDEX('CH4. Thông điệp nhắc việc'!$G:$G,MATCH("NA065",'CH4. Thông điệp nhắc việc'!$A:$A,0)),IF(AND(ISNUMBER(SEARCH("off_track",R9)),ISNUMBER(SEARCH("off_track",S9))),INDEX('CH4. Thông điệp nhắc việc'!$G:$G,MATCH("NA014",'CH4. Thông điệp nhắc việc'!$A:$A,0)),IF(ISNUMBER(SEARCH("off_track",S9)),INDEX('CH4. Thông điệp nhắc việc'!$G:$G,MATCH("NA015",'CH4. Thông điệp nhắc việc'!$A:$A,0)),IF(ISNUMBER(SEARCH("off_track",R9)),INDEX('CH4. Thông điệp nhắc việc'!$G:$G,MATCH("NA016",'CH4. Thông điệp nhắc việc'!$A:$A,0)),IF(ISNUMBER(SEARCH("at_risk",S9)),INDEX('CH4. Thông điệp nhắc việc'!$G:$G,MATCH("NA066",'CH4. Thông điệp nhắc việc'!$A:$A,0)),IF(ISNUMBER(SEARCH("at_risk",R9)),INDEX('CH4. Thông điệp nhắc việc'!$G:$G,MATCH("NA017",'CH4. Thông điệp nhắc việc'!$A:$A,0)),IF(AND(V9&lt;&gt;"",(NOW()-N(V9))&gt;slaActivity_inactive_days),INDEX('CH4. Thông điệp nhắc việc'!$G:$G,MATCH("NA067",'CH4. Thông điệp nhắc việc'!$A:$A,0)),INDEX('CH4. Thông điệp nhắc việc'!$G:$G,MATCH("NA018",'CH4. Thông điệp nhắc việc'!$A:$A,0))))))))))</f>
        <v>HV đang học đều và ổn định. Không cần làm gì thêm.</v>
      </c>
    </row>
    <row r="10" customFormat="false" ht="46.5" hidden="false" customHeight="true" outlineLevel="0" collapsed="false">
      <c r="A10" s="209" t="s">
        <v>3125</v>
      </c>
      <c r="B10" s="209" t="s">
        <v>2962</v>
      </c>
      <c r="C10" s="209" t="s">
        <v>3126</v>
      </c>
      <c r="D10" s="209" t="s">
        <v>3127</v>
      </c>
      <c r="E10" s="232" t="n">
        <v>39208.375</v>
      </c>
      <c r="F10" s="209" t="s">
        <v>3099</v>
      </c>
      <c r="G10" s="209" t="s">
        <v>1012</v>
      </c>
      <c r="H10" s="209" t="s">
        <v>3100</v>
      </c>
      <c r="I10" s="209" t="s">
        <v>3128</v>
      </c>
      <c r="J10" s="209" t="s">
        <v>3129</v>
      </c>
      <c r="K10" s="209" t="s">
        <v>3103</v>
      </c>
      <c r="L10" s="210" t="str">
        <f aca="false">IFERROR(HYPERLINK("#'DL06. Đăng ký'!A"&amp;MATCH("ENR-2026-007",'DL06. Đăng ký'!A:A,0),"ENR-2026-007"),"ENR-2026-007")</f>
        <v>ENR-2026-007</v>
      </c>
      <c r="M10" s="232" t="n">
        <f aca="false">IF(A10="","",IF(SUMPRODUCT(MIN((('DL06. Đăng ký'!$B$4:$B$500=A10)*N('DL06. Đăng ký'!$G$4:$G$500))+((('DL06. Đăng ký'!$B$4:$B$500&lt;&gt;A10)+('DL06. Đăng ký'!$G$4:$G$500=""))*10^10)))&gt;=10^10,"",SUMPRODUCT(MIN((('DL06. Đăng ký'!$B$4:$B$500=A10)*N('DL06. Đăng ký'!$G$4:$G$500))+((('DL06. Đăng ký'!$B$4:$B$500&lt;&gt;A10)+('DL06. Đăng ký'!$G$4:$G$500=""))*10^10)))))</f>
        <v>46168.375</v>
      </c>
      <c r="N10" s="233" t="n">
        <f aca="false">IFERROR(COUNTIF('DL06. Đăng ký'!B:B,A10),0)</f>
        <v>1</v>
      </c>
      <c r="O10" s="209" t="s">
        <v>1128</v>
      </c>
      <c r="P10" s="211" t="n">
        <v>46168.375</v>
      </c>
      <c r="Q10" s="209"/>
      <c r="R10" s="209" t="s">
        <v>1141</v>
      </c>
      <c r="S10" s="209" t="s">
        <v>1154</v>
      </c>
      <c r="T10" s="209"/>
      <c r="U10" s="209"/>
      <c r="V10" s="211" t="str">
        <f aca="true">IF(A10="","",IF(MAX(SUMPRODUCT(MAX(('DL12. Điểm danh'!$C$4:$C$1000=A10)*('DL12. Điểm danh'!$G$4:$G$1000&lt;=NOW())*N('DL12. Điểm danh'!$G$4:$G$1000))),SUMPRODUCT(MAX(('DL13. Bài tập'!$D$4:$D$1000=A10)*('DL13. Bài tập'!$J$4:$J$1000&lt;=NOW())*N('DL13. Bài tập'!$J$4:$J$1000))),SUMPRODUCT(MAX(('DL14. Buổi WOW 1-1'!$C$4:$C$1000=A10)*('DL14. Buổi WOW 1-1'!$E$4:$E$1000&lt;=NOW())*N('DL14. Buổi WOW 1-1'!$E$4:$E$1000))))=0,"",MAX(SUMPRODUCT(MAX(('DL12. Điểm danh'!$C$4:$C$1000=A10)*('DL12. Điểm danh'!$G$4:$G$1000&lt;=NOW())*N('DL12. Điểm danh'!$G$4:$G$1000))),SUMPRODUCT(MAX(('DL13. Bài tập'!$D$4:$D$1000=A10)*('DL13. Bài tập'!$J$4:$J$1000&lt;=NOW())*N('DL13. Bài tập'!$J$4:$J$1000))),SUMPRODUCT(MAX(('DL14. Buổi WOW 1-1'!$C$4:$C$1000=A10)*('DL14. Buổi WOW 1-1'!$E$4:$E$1000&lt;=NOW())*N('DL14. Buổi WOW 1-1'!$E$4:$E$1000))))))</f>
        <v/>
      </c>
      <c r="W10" s="209"/>
      <c r="X10" s="209"/>
      <c r="Y10" s="234" t="n">
        <f aca="false">IFERROR(VLOOKUP(VLOOKUP(L10,'DL06. Đăng ký'!A:E,5,FALSE()),'DL05. Khóa học'!A:G,7,FALSE()),wowQuota_default_sessions)</f>
        <v>5</v>
      </c>
      <c r="Z10" s="235" t="n">
        <v>0</v>
      </c>
      <c r="AA10" s="235" t="n">
        <v>0</v>
      </c>
      <c r="AB10" s="234" t="n">
        <f aca="false">COUNTIFS('DL14. Buổi WOW 1-1'!C:C,A10,'DL14. Buổi WOW 1-1'!L:L,"completed*")+COUNTIFS('DL14. Buổi WOW 1-1'!C:C,A10,'DL14. Buổi WOW 1-1'!L:L,"no_show*")</f>
        <v>0</v>
      </c>
      <c r="AC10" s="234" t="n">
        <f aca="false">Y10+Z10+AA10-AB10</f>
        <v>5</v>
      </c>
      <c r="AD10" s="212" t="str">
        <f aca="true" t="array" ref="AD10:AD10">IF(SUMPRODUCT(('DL12. Điểm danh'!$C$4:$C$1000=A10)*ISNUMBER(SEARCH("no_show",'DL12. Điểm danh'!$E$4:$E$1000)))&gt;=thresholdAtRisk_absences,INDEX('CH4. Thông điệp nhắc việc'!$G:$G,MATCH("NA064",'CH4. Thông điệp nhắc việc'!$A:$A,0)),IF(SUMPRODUCT(('DL13. Bài tập'!$D$4:$D$1000=A10)*ISNUMBER(SEARCH("missing",'DL13. Bài tập'!$L$4:$L$1000)))&gt;=thresholdAtRisk_hw_missing,INDEX('CH4. Thông điệp nhắc việc'!$G:$G,MATCH("NA065",'CH4. Thông điệp nhắc việc'!$A:$A,0)),IF(AND(ISNUMBER(SEARCH("off_track",R10)),ISNUMBER(SEARCH("off_track",S10))),INDEX('CH4. Thông điệp nhắc việc'!$G:$G,MATCH("NA014",'CH4. Thông điệp nhắc việc'!$A:$A,0)),IF(ISNUMBER(SEARCH("off_track",S10)),INDEX('CH4. Thông điệp nhắc việc'!$G:$G,MATCH("NA015",'CH4. Thông điệp nhắc việc'!$A:$A,0)),IF(ISNUMBER(SEARCH("off_track",R10)),INDEX('CH4. Thông điệp nhắc việc'!$G:$G,MATCH("NA016",'CH4. Thông điệp nhắc việc'!$A:$A,0)),IF(ISNUMBER(SEARCH("at_risk",S10)),INDEX('CH4. Thông điệp nhắc việc'!$G:$G,MATCH("NA066",'CH4. Thông điệp nhắc việc'!$A:$A,0)),IF(ISNUMBER(SEARCH("at_risk",R10)),INDEX('CH4. Thông điệp nhắc việc'!$G:$G,MATCH("NA017",'CH4. Thông điệp nhắc việc'!$A:$A,0)),IF(AND(V10&lt;&gt;"",(NOW()-N(V10))&gt;slaActivity_inactive_days),INDEX('CH4. Thông điệp nhắc việc'!$G:$G,MATCH("NA067",'CH4. Thông điệp nhắc việc'!$A:$A,0)),INDEX('CH4. Thông điệp nhắc việc'!$G:$G,MATCH("NA018",'CH4. Thông điệp nhắc việc'!$A:$A,0))))))))))</f>
        <v>HV đang học đều và ổn định. Không cần làm gì thêm.</v>
      </c>
    </row>
    <row r="11" customFormat="false" ht="46.5" hidden="false" customHeight="true" outlineLevel="0" collapsed="false">
      <c r="A11" s="209" t="s">
        <v>3130</v>
      </c>
      <c r="B11" s="209" t="s">
        <v>2966</v>
      </c>
      <c r="C11" s="209" t="s">
        <v>3131</v>
      </c>
      <c r="D11" s="209" t="s">
        <v>3132</v>
      </c>
      <c r="E11" s="232" t="n">
        <v>39208.375</v>
      </c>
      <c r="F11" s="209" t="s">
        <v>3106</v>
      </c>
      <c r="G11" s="209" t="s">
        <v>1010</v>
      </c>
      <c r="H11" s="209" t="s">
        <v>3100</v>
      </c>
      <c r="I11" s="209" t="s">
        <v>3133</v>
      </c>
      <c r="J11" s="209" t="s">
        <v>3134</v>
      </c>
      <c r="K11" s="209" t="s">
        <v>3103</v>
      </c>
      <c r="L11" s="210" t="str">
        <f aca="false">IFERROR(HYPERLINK("#'DL06. Đăng ký'!A"&amp;MATCH("ENR-2025-050",'DL06. Đăng ký'!A:A,0),"ENR-2025-050"),"ENR-2025-050")</f>
        <v>ENR-2025-050</v>
      </c>
      <c r="M11" s="232" t="n">
        <f aca="false">IF(A11="","",IF(SUMPRODUCT(MIN((('DL06. Đăng ký'!$B$4:$B$500=A11)*N('DL06. Đăng ký'!$G$4:$G$500))+((('DL06. Đăng ký'!$B$4:$B$500&lt;&gt;A11)+('DL06. Đăng ký'!$G$4:$G$500=""))*10^10)))&gt;=10^10,"",SUMPRODUCT(MIN((('DL06. Đăng ký'!$B$4:$B$500=A11)*N('DL06. Đăng ký'!$G$4:$G$500))+((('DL06. Đăng ký'!$B$4:$B$500&lt;&gt;A11)+('DL06. Đăng ký'!$G$4:$G$500=""))*10^10)))))</f>
        <v>46008.375</v>
      </c>
      <c r="N11" s="233" t="n">
        <f aca="false">IFERROR(COUNTIF('DL06. Đăng ký'!B:B,A11),0)</f>
        <v>2</v>
      </c>
      <c r="O11" s="209" t="s">
        <v>1127</v>
      </c>
      <c r="P11" s="211" t="n">
        <v>46008.375</v>
      </c>
      <c r="Q11" s="209"/>
      <c r="R11" s="209" t="s">
        <v>1141</v>
      </c>
      <c r="S11" s="209" t="s">
        <v>1154</v>
      </c>
      <c r="T11" s="209"/>
      <c r="U11" s="209"/>
      <c r="V11" s="211" t="str">
        <f aca="true">IF(A11="","",IF(MAX(SUMPRODUCT(MAX(('DL12. Điểm danh'!$C$4:$C$1000=A11)*('DL12. Điểm danh'!$G$4:$G$1000&lt;=NOW())*N('DL12. Điểm danh'!$G$4:$G$1000))),SUMPRODUCT(MAX(('DL13. Bài tập'!$D$4:$D$1000=A11)*('DL13. Bài tập'!$J$4:$J$1000&lt;=NOW())*N('DL13. Bài tập'!$J$4:$J$1000))),SUMPRODUCT(MAX(('DL14. Buổi WOW 1-1'!$C$4:$C$1000=A11)*('DL14. Buổi WOW 1-1'!$E$4:$E$1000&lt;=NOW())*N('DL14. Buổi WOW 1-1'!$E$4:$E$1000))))=0,"",MAX(SUMPRODUCT(MAX(('DL12. Điểm danh'!$C$4:$C$1000=A11)*('DL12. Điểm danh'!$G$4:$G$1000&lt;=NOW())*N('DL12. Điểm danh'!$G$4:$G$1000))),SUMPRODUCT(MAX(('DL13. Bài tập'!$D$4:$D$1000=A11)*('DL13. Bài tập'!$J$4:$J$1000&lt;=NOW())*N('DL13. Bài tập'!$J$4:$J$1000))),SUMPRODUCT(MAX(('DL14. Buổi WOW 1-1'!$C$4:$C$1000=A11)*('DL14. Buổi WOW 1-1'!$E$4:$E$1000&lt;=NOW())*N('DL14. Buổi WOW 1-1'!$E$4:$E$1000))))))</f>
        <v/>
      </c>
      <c r="W11" s="209"/>
      <c r="X11" s="209"/>
      <c r="Y11" s="234" t="n">
        <f aca="false">IFERROR(VLOOKUP(VLOOKUP(L11,'DL06. Đăng ký'!A:E,5,FALSE()),'DL05. Khóa học'!A:G,7,FALSE()),wowQuota_default_sessions)</f>
        <v>10</v>
      </c>
      <c r="Z11" s="235" t="n">
        <v>0</v>
      </c>
      <c r="AA11" s="235" t="n">
        <v>0</v>
      </c>
      <c r="AB11" s="234" t="n">
        <f aca="false">COUNTIFS('DL14. Buổi WOW 1-1'!C:C,A11,'DL14. Buổi WOW 1-1'!L:L,"completed*")+COUNTIFS('DL14. Buổi WOW 1-1'!C:C,A11,'DL14. Buổi WOW 1-1'!L:L,"no_show*")</f>
        <v>0</v>
      </c>
      <c r="AC11" s="234" t="n">
        <f aca="false">Y11+Z11+AA11-AB11</f>
        <v>10</v>
      </c>
      <c r="AD11" s="212" t="str">
        <f aca="true" t="array" ref="AD11:AD11">IF(SUMPRODUCT(('DL12. Điểm danh'!$C$4:$C$1000=A11)*ISNUMBER(SEARCH("no_show",'DL12. Điểm danh'!$E$4:$E$1000)))&gt;=thresholdAtRisk_absences,INDEX('CH4. Thông điệp nhắc việc'!$G:$G,MATCH("NA064",'CH4. Thông điệp nhắc việc'!$A:$A,0)),IF(SUMPRODUCT(('DL13. Bài tập'!$D$4:$D$1000=A11)*ISNUMBER(SEARCH("missing",'DL13. Bài tập'!$L$4:$L$1000)))&gt;=thresholdAtRisk_hw_missing,INDEX('CH4. Thông điệp nhắc việc'!$G:$G,MATCH("NA065",'CH4. Thông điệp nhắc việc'!$A:$A,0)),IF(AND(ISNUMBER(SEARCH("off_track",R11)),ISNUMBER(SEARCH("off_track",S11))),INDEX('CH4. Thông điệp nhắc việc'!$G:$G,MATCH("NA014",'CH4. Thông điệp nhắc việc'!$A:$A,0)),IF(ISNUMBER(SEARCH("off_track",S11)),INDEX('CH4. Thông điệp nhắc việc'!$G:$G,MATCH("NA015",'CH4. Thông điệp nhắc việc'!$A:$A,0)),IF(ISNUMBER(SEARCH("off_track",R11)),INDEX('CH4. Thông điệp nhắc việc'!$G:$G,MATCH("NA016",'CH4. Thông điệp nhắc việc'!$A:$A,0)),IF(ISNUMBER(SEARCH("at_risk",S11)),INDEX('CH4. Thông điệp nhắc việc'!$G:$G,MATCH("NA066",'CH4. Thông điệp nhắc việc'!$A:$A,0)),IF(ISNUMBER(SEARCH("at_risk",R11)),INDEX('CH4. Thông điệp nhắc việc'!$G:$G,MATCH("NA017",'CH4. Thông điệp nhắc việc'!$A:$A,0)),IF(AND(V11&lt;&gt;"",(NOW()-N(V11))&gt;slaActivity_inactive_days),INDEX('CH4. Thông điệp nhắc việc'!$G:$G,MATCH("NA067",'CH4. Thông điệp nhắc việc'!$A:$A,0)),INDEX('CH4. Thông điệp nhắc việc'!$G:$G,MATCH("NA018",'CH4. Thông điệp nhắc việc'!$A:$A,0))))))))))</f>
        <v>HV đang học đều và ổn định. Không cần làm gì thêm.</v>
      </c>
    </row>
    <row r="12" customFormat="false" ht="46.5" hidden="false" customHeight="true" outlineLevel="0" collapsed="false">
      <c r="A12" s="209" t="s">
        <v>3135</v>
      </c>
      <c r="B12" s="209" t="s">
        <v>2571</v>
      </c>
      <c r="C12" s="209" t="s">
        <v>2572</v>
      </c>
      <c r="D12" s="209" t="s">
        <v>3136</v>
      </c>
      <c r="E12" s="232" t="n">
        <v>39208.375</v>
      </c>
      <c r="F12" s="209" t="s">
        <v>3099</v>
      </c>
      <c r="G12" s="209" t="s">
        <v>1008</v>
      </c>
      <c r="H12" s="209" t="s">
        <v>3100</v>
      </c>
      <c r="I12" s="209" t="s">
        <v>3137</v>
      </c>
      <c r="J12" s="209" t="s">
        <v>3138</v>
      </c>
      <c r="K12" s="209" t="s">
        <v>3103</v>
      </c>
      <c r="L12" s="210" t="str">
        <f aca="false">IFERROR(HYPERLINK("#'DL06. Đăng ký'!A"&amp;MATCH("ENR-2026-009",'DL06. Đăng ký'!A:A,0),"ENR-2026-009"),"ENR-2026-009")</f>
        <v>ENR-2026-009</v>
      </c>
      <c r="M12" s="232" t="n">
        <f aca="false">IF(A12="","",IF(SUMPRODUCT(MIN((('DL06. Đăng ký'!$B$4:$B$500=A12)*N('DL06. Đăng ký'!$G$4:$G$500))+((('DL06. Đăng ký'!$B$4:$B$500&lt;&gt;A12)+('DL06. Đăng ký'!$G$4:$G$500=""))*10^10)))&gt;=10^10,"",SUMPRODUCT(MIN((('DL06. Đăng ký'!$B$4:$B$500=A12)*N('DL06. Đăng ký'!$G$4:$G$500))+((('DL06. Đăng ký'!$B$4:$B$500&lt;&gt;A12)+('DL06. Đăng ký'!$G$4:$G$500=""))*10^10)))))</f>
        <v>46178.375</v>
      </c>
      <c r="N12" s="233" t="n">
        <f aca="false">IFERROR(COUNTIF('DL06. Đăng ký'!B:B,A12),0)</f>
        <v>1</v>
      </c>
      <c r="O12" s="209" t="s">
        <v>1126</v>
      </c>
      <c r="P12" s="211" t="n">
        <v>46180.375</v>
      </c>
      <c r="Q12" s="209"/>
      <c r="R12" s="209" t="s">
        <v>1141</v>
      </c>
      <c r="S12" s="209" t="s">
        <v>1154</v>
      </c>
      <c r="T12" s="209"/>
      <c r="U12" s="209"/>
      <c r="V12" s="211" t="n">
        <f aca="true">IF(A12="","",IF(MAX(SUMPRODUCT(MAX(('DL12. Điểm danh'!$C$4:$C$1000=A12)*('DL12. Điểm danh'!$G$4:$G$1000&lt;=NOW())*N('DL12. Điểm danh'!$G$4:$G$1000))),SUMPRODUCT(MAX(('DL13. Bài tập'!$D$4:$D$1000=A12)*('DL13. Bài tập'!$J$4:$J$1000&lt;=NOW())*N('DL13. Bài tập'!$J$4:$J$1000))),SUMPRODUCT(MAX(('DL14. Buổi WOW 1-1'!$C$4:$C$1000=A12)*('DL14. Buổi WOW 1-1'!$E$4:$E$1000&lt;=NOW())*N('DL14. Buổi WOW 1-1'!$E$4:$E$1000))))=0,"",MAX(SUMPRODUCT(MAX(('DL12. Điểm danh'!$C$4:$C$1000=A12)*('DL12. Điểm danh'!$G$4:$G$1000&lt;=NOW())*N('DL12. Điểm danh'!$G$4:$G$1000))),SUMPRODUCT(MAX(('DL13. Bài tập'!$D$4:$D$1000=A12)*('DL13. Bài tập'!$J$4:$J$1000&lt;=NOW())*N('DL13. Bài tập'!$J$4:$J$1000))),SUMPRODUCT(MAX(('DL14. Buổi WOW 1-1'!$C$4:$C$1000=A12)*('DL14. Buổi WOW 1-1'!$E$4:$E$1000&lt;=NOW())*N('DL14. Buổi WOW 1-1'!$E$4:$E$1000))))))</f>
        <v>46205.4583333333</v>
      </c>
      <c r="W12" s="209"/>
      <c r="X12" s="209"/>
      <c r="Y12" s="234" t="n">
        <f aca="false">IFERROR(VLOOKUP(VLOOKUP(L12,'DL06. Đăng ký'!A:E,5,FALSE()),'DL05. Khóa học'!A:G,7,FALSE()),wowQuota_default_sessions)</f>
        <v>5</v>
      </c>
      <c r="Z12" s="235" t="n">
        <v>0</v>
      </c>
      <c r="AA12" s="235" t="n">
        <v>0</v>
      </c>
      <c r="AB12" s="234" t="n">
        <f aca="false">COUNTIFS('DL14. Buổi WOW 1-1'!C:C,A12,'DL14. Buổi WOW 1-1'!L:L,"completed*")+COUNTIFS('DL14. Buổi WOW 1-1'!C:C,A12,'DL14. Buổi WOW 1-1'!L:L,"no_show*")</f>
        <v>1</v>
      </c>
      <c r="AC12" s="234" t="n">
        <f aca="false">Y12+Z12+AA12-AB12</f>
        <v>4</v>
      </c>
      <c r="AD12" s="212" t="str">
        <f aca="true" t="array" ref="AD12:AD12">IF(SUMPRODUCT(('DL12. Điểm danh'!$C$4:$C$1000=A12)*ISNUMBER(SEARCH("no_show",'DL12. Điểm danh'!$E$4:$E$1000)))&gt;=thresholdAtRisk_absences,INDEX('CH4. Thông điệp nhắc việc'!$G:$G,MATCH("NA064",'CH4. Thông điệp nhắc việc'!$A:$A,0)),IF(SUMPRODUCT(('DL13. Bài tập'!$D$4:$D$1000=A12)*ISNUMBER(SEARCH("missing",'DL13. Bài tập'!$L$4:$L$1000)))&gt;=thresholdAtRisk_hw_missing,INDEX('CH4. Thông điệp nhắc việc'!$G:$G,MATCH("NA065",'CH4. Thông điệp nhắc việc'!$A:$A,0)),IF(AND(ISNUMBER(SEARCH("off_track",R12)),ISNUMBER(SEARCH("off_track",S12))),INDEX('CH4. Thông điệp nhắc việc'!$G:$G,MATCH("NA014",'CH4. Thông điệp nhắc việc'!$A:$A,0)),IF(ISNUMBER(SEARCH("off_track",S12)),INDEX('CH4. Thông điệp nhắc việc'!$G:$G,MATCH("NA015",'CH4. Thông điệp nhắc việc'!$A:$A,0)),IF(ISNUMBER(SEARCH("off_track",R12)),INDEX('CH4. Thông điệp nhắc việc'!$G:$G,MATCH("NA016",'CH4. Thông điệp nhắc việc'!$A:$A,0)),IF(ISNUMBER(SEARCH("at_risk",S12)),INDEX('CH4. Thông điệp nhắc việc'!$G:$G,MATCH("NA066",'CH4. Thông điệp nhắc việc'!$A:$A,0)),IF(ISNUMBER(SEARCH("at_risk",R12)),INDEX('CH4. Thông điệp nhắc việc'!$G:$G,MATCH("NA017",'CH4. Thông điệp nhắc việc'!$A:$A,0)),IF(AND(V12&lt;&gt;"",(NOW()-N(V12))&gt;slaActivity_inactive_days),INDEX('CH4. Thông điệp nhắc việc'!$G:$G,MATCH("NA067",'CH4. Thông điệp nhắc việc'!$A:$A,0)),INDEX('CH4. Thông điệp nhắc việc'!$G:$G,MATCH("NA018",'CH4. Thông điệp nhắc việc'!$A:$A,0))))))))))</f>
        <v>HV đang học đều và ổn định. Không cần làm gì thêm.</v>
      </c>
    </row>
    <row r="13" customFormat="false" ht="46.5" hidden="false" customHeight="true" outlineLevel="0" collapsed="false">
      <c r="A13" s="209" t="s">
        <v>3139</v>
      </c>
      <c r="B13" s="209" t="s">
        <v>2575</v>
      </c>
      <c r="C13" s="209" t="s">
        <v>2576</v>
      </c>
      <c r="D13" s="209" t="s">
        <v>3140</v>
      </c>
      <c r="E13" s="232" t="n">
        <v>39208.375</v>
      </c>
      <c r="F13" s="209" t="s">
        <v>3106</v>
      </c>
      <c r="G13" s="209" t="s">
        <v>1008</v>
      </c>
      <c r="H13" s="209" t="s">
        <v>3100</v>
      </c>
      <c r="I13" s="209" t="s">
        <v>3141</v>
      </c>
      <c r="J13" s="209" t="s">
        <v>3142</v>
      </c>
      <c r="K13" s="209" t="s">
        <v>3103</v>
      </c>
      <c r="L13" s="210" t="str">
        <f aca="false">IFERROR(HYPERLINK("#'DL06. Đăng ký'!A"&amp;MATCH("ENR-2026-010",'DL06. Đăng ký'!A:A,0),"ENR-2026-010"),"ENR-2026-010")</f>
        <v>ENR-2026-010</v>
      </c>
      <c r="M13" s="232" t="n">
        <f aca="false">IF(A13="","",IF(SUMPRODUCT(MIN((('DL06. Đăng ký'!$B$4:$B$500=A13)*N('DL06. Đăng ký'!$G$4:$G$500))+((('DL06. Đăng ký'!$B$4:$B$500&lt;&gt;A13)+('DL06. Đăng ký'!$G$4:$G$500=""))*10^10)))&gt;=10^10,"",SUMPRODUCT(MIN((('DL06. Đăng ký'!$B$4:$B$500=A13)*N('DL06. Đăng ký'!$G$4:$G$500))+((('DL06. Đăng ký'!$B$4:$B$500&lt;&gt;A13)+('DL06. Đăng ký'!$G$4:$G$500=""))*10^10)))))</f>
        <v>46180.375</v>
      </c>
      <c r="N13" s="233" t="n">
        <f aca="false">IFERROR(COUNTIF('DL06. Đăng ký'!B:B,A13),0)</f>
        <v>1</v>
      </c>
      <c r="O13" s="209" t="s">
        <v>1126</v>
      </c>
      <c r="P13" s="211" t="n">
        <v>46182.375</v>
      </c>
      <c r="Q13" s="209"/>
      <c r="R13" s="209" t="s">
        <v>1141</v>
      </c>
      <c r="S13" s="209" t="s">
        <v>1154</v>
      </c>
      <c r="T13" s="209"/>
      <c r="U13" s="209"/>
      <c r="V13" s="211" t="n">
        <f aca="true">IF(A13="","",IF(MAX(SUMPRODUCT(MAX(('DL12. Điểm danh'!$C$4:$C$1000=A13)*('DL12. Điểm danh'!$G$4:$G$1000&lt;=NOW())*N('DL12. Điểm danh'!$G$4:$G$1000))),SUMPRODUCT(MAX(('DL13. Bài tập'!$D$4:$D$1000=A13)*('DL13. Bài tập'!$J$4:$J$1000&lt;=NOW())*N('DL13. Bài tập'!$J$4:$J$1000))),SUMPRODUCT(MAX(('DL14. Buổi WOW 1-1'!$C$4:$C$1000=A13)*('DL14. Buổi WOW 1-1'!$E$4:$E$1000&lt;=NOW())*N('DL14. Buổi WOW 1-1'!$E$4:$E$1000))))=0,"",MAX(SUMPRODUCT(MAX(('DL12. Điểm danh'!$C$4:$C$1000=A13)*('DL12. Điểm danh'!$G$4:$G$1000&lt;=NOW())*N('DL12. Điểm danh'!$G$4:$G$1000))),SUMPRODUCT(MAX(('DL13. Bài tập'!$D$4:$D$1000=A13)*('DL13. Bài tập'!$J$4:$J$1000&lt;=NOW())*N('DL13. Bài tập'!$J$4:$J$1000))),SUMPRODUCT(MAX(('DL14. Buổi WOW 1-1'!$C$4:$C$1000=A13)*('DL14. Buổi WOW 1-1'!$E$4:$E$1000&lt;=NOW())*N('DL14. Buổi WOW 1-1'!$E$4:$E$1000))))))</f>
        <v>46207.375</v>
      </c>
      <c r="W13" s="209"/>
      <c r="X13" s="209"/>
      <c r="Y13" s="234" t="n">
        <f aca="false">IFERROR(VLOOKUP(VLOOKUP(L13,'DL06. Đăng ký'!A:E,5,FALSE()),'DL05. Khóa học'!A:G,7,FALSE()),wowQuota_default_sessions)</f>
        <v>5</v>
      </c>
      <c r="Z13" s="235" t="n">
        <v>0</v>
      </c>
      <c r="AA13" s="235" t="n">
        <v>0</v>
      </c>
      <c r="AB13" s="234" t="n">
        <f aca="false">COUNTIFS('DL14. Buổi WOW 1-1'!C:C,A13,'DL14. Buổi WOW 1-1'!L:L,"completed*")+COUNTIFS('DL14. Buổi WOW 1-1'!C:C,A13,'DL14. Buổi WOW 1-1'!L:L,"no_show*")</f>
        <v>0</v>
      </c>
      <c r="AC13" s="234" t="n">
        <f aca="false">Y13+Z13+AA13-AB13</f>
        <v>5</v>
      </c>
      <c r="AD13" s="212" t="str">
        <f aca="true" t="array" ref="AD13:AD13">IF(SUMPRODUCT(('DL12. Điểm danh'!$C$4:$C$1000=A13)*ISNUMBER(SEARCH("no_show",'DL12. Điểm danh'!$E$4:$E$1000)))&gt;=thresholdAtRisk_absences,INDEX('CH4. Thông điệp nhắc việc'!$G:$G,MATCH("NA064",'CH4. Thông điệp nhắc việc'!$A:$A,0)),IF(SUMPRODUCT(('DL13. Bài tập'!$D$4:$D$1000=A13)*ISNUMBER(SEARCH("missing",'DL13. Bài tập'!$L$4:$L$1000)))&gt;=thresholdAtRisk_hw_missing,INDEX('CH4. Thông điệp nhắc việc'!$G:$G,MATCH("NA065",'CH4. Thông điệp nhắc việc'!$A:$A,0)),IF(AND(ISNUMBER(SEARCH("off_track",R13)),ISNUMBER(SEARCH("off_track",S13))),INDEX('CH4. Thông điệp nhắc việc'!$G:$G,MATCH("NA014",'CH4. Thông điệp nhắc việc'!$A:$A,0)),IF(ISNUMBER(SEARCH("off_track",S13)),INDEX('CH4. Thông điệp nhắc việc'!$G:$G,MATCH("NA015",'CH4. Thông điệp nhắc việc'!$A:$A,0)),IF(ISNUMBER(SEARCH("off_track",R13)),INDEX('CH4. Thông điệp nhắc việc'!$G:$G,MATCH("NA016",'CH4. Thông điệp nhắc việc'!$A:$A,0)),IF(ISNUMBER(SEARCH("at_risk",S13)),INDEX('CH4. Thông điệp nhắc việc'!$G:$G,MATCH("NA066",'CH4. Thông điệp nhắc việc'!$A:$A,0)),IF(ISNUMBER(SEARCH("at_risk",R13)),INDEX('CH4. Thông điệp nhắc việc'!$G:$G,MATCH("NA017",'CH4. Thông điệp nhắc việc'!$A:$A,0)),IF(AND(V13&lt;&gt;"",(NOW()-N(V13))&gt;slaActivity_inactive_days),INDEX('CH4. Thông điệp nhắc việc'!$G:$G,MATCH("NA067",'CH4. Thông điệp nhắc việc'!$A:$A,0)),INDEX('CH4. Thông điệp nhắc việc'!$G:$G,MATCH("NA018",'CH4. Thông điệp nhắc việc'!$A:$A,0))))))))))</f>
        <v>HV đang học đều và ổn định. Không cần làm gì thêm.</v>
      </c>
    </row>
    <row r="14" customFormat="false" ht="46.5" hidden="false" customHeight="true" outlineLevel="0" collapsed="false">
      <c r="A14" s="209" t="s">
        <v>3143</v>
      </c>
      <c r="B14" s="209" t="s">
        <v>2578</v>
      </c>
      <c r="C14" s="209" t="s">
        <v>2579</v>
      </c>
      <c r="D14" s="209" t="s">
        <v>3144</v>
      </c>
      <c r="E14" s="232" t="n">
        <v>39208.375</v>
      </c>
      <c r="F14" s="209" t="s">
        <v>3099</v>
      </c>
      <c r="G14" s="209" t="s">
        <v>1010</v>
      </c>
      <c r="H14" s="209" t="s">
        <v>3100</v>
      </c>
      <c r="I14" s="209" t="s">
        <v>3145</v>
      </c>
      <c r="J14" s="209" t="s">
        <v>3146</v>
      </c>
      <c r="K14" s="209" t="s">
        <v>3103</v>
      </c>
      <c r="L14" s="210" t="str">
        <f aca="false">IFERROR(HYPERLINK("#'DL06. Đăng ký'!A"&amp;MATCH("ENR-2026-011",'DL06. Đăng ký'!A:A,0),"ENR-2026-011"),"ENR-2026-011")</f>
        <v>ENR-2026-011</v>
      </c>
      <c r="M14" s="232" t="n">
        <f aca="false">IF(A14="","",IF(SUMPRODUCT(MIN((('DL06. Đăng ký'!$B$4:$B$500=A14)*N('DL06. Đăng ký'!$G$4:$G$500))+((('DL06. Đăng ký'!$B$4:$B$500&lt;&gt;A14)+('DL06. Đăng ký'!$G$4:$G$500=""))*10^10)))&gt;=10^10,"",SUMPRODUCT(MIN((('DL06. Đăng ký'!$B$4:$B$500=A14)*N('DL06. Đăng ký'!$G$4:$G$500))+((('DL06. Đăng ký'!$B$4:$B$500&lt;&gt;A14)+('DL06. Đăng ký'!$G$4:$G$500=""))*10^10)))))</f>
        <v>46182.375</v>
      </c>
      <c r="N14" s="233" t="n">
        <f aca="false">IFERROR(COUNTIF('DL06. Đăng ký'!B:B,A14),0)</f>
        <v>1</v>
      </c>
      <c r="O14" s="209" t="s">
        <v>1126</v>
      </c>
      <c r="P14" s="211" t="n">
        <v>46184.375</v>
      </c>
      <c r="Q14" s="209"/>
      <c r="R14" s="209" t="s">
        <v>1141</v>
      </c>
      <c r="S14" s="209" t="s">
        <v>1154</v>
      </c>
      <c r="T14" s="209"/>
      <c r="U14" s="209"/>
      <c r="V14" s="211" t="n">
        <f aca="true">IF(A14="","",IF(MAX(SUMPRODUCT(MAX(('DL12. Điểm danh'!$C$4:$C$1000=A14)*('DL12. Điểm danh'!$G$4:$G$1000&lt;=NOW())*N('DL12. Điểm danh'!$G$4:$G$1000))),SUMPRODUCT(MAX(('DL13. Bài tập'!$D$4:$D$1000=A14)*('DL13. Bài tập'!$J$4:$J$1000&lt;=NOW())*N('DL13. Bài tập'!$J$4:$J$1000))),SUMPRODUCT(MAX(('DL14. Buổi WOW 1-1'!$C$4:$C$1000=A14)*('DL14. Buổi WOW 1-1'!$E$4:$E$1000&lt;=NOW())*N('DL14. Buổi WOW 1-1'!$E$4:$E$1000))))=0,"",MAX(SUMPRODUCT(MAX(('DL12. Điểm danh'!$C$4:$C$1000=A14)*('DL12. Điểm danh'!$G$4:$G$1000&lt;=NOW())*N('DL12. Điểm danh'!$G$4:$G$1000))),SUMPRODUCT(MAX(('DL13. Bài tập'!$D$4:$D$1000=A14)*('DL13. Bài tập'!$J$4:$J$1000&lt;=NOW())*N('DL13. Bài tập'!$J$4:$J$1000))),SUMPRODUCT(MAX(('DL14. Buổi WOW 1-1'!$C$4:$C$1000=A14)*('DL14. Buổi WOW 1-1'!$E$4:$E$1000&lt;=NOW())*N('DL14. Buổi WOW 1-1'!$E$4:$E$1000))))))</f>
        <v>46206.375</v>
      </c>
      <c r="W14" s="209"/>
      <c r="X14" s="209"/>
      <c r="Y14" s="234" t="n">
        <f aca="false">IFERROR(VLOOKUP(VLOOKUP(L14,'DL06. Đăng ký'!A:E,5,FALSE()),'DL05. Khóa học'!A:G,7,FALSE()),wowQuota_default_sessions)</f>
        <v>10</v>
      </c>
      <c r="Z14" s="235" t="n">
        <v>0</v>
      </c>
      <c r="AA14" s="235" t="n">
        <v>0</v>
      </c>
      <c r="AB14" s="234" t="n">
        <f aca="false">COUNTIFS('DL14. Buổi WOW 1-1'!C:C,A14,'DL14. Buổi WOW 1-1'!L:L,"completed*")+COUNTIFS('DL14. Buổi WOW 1-1'!C:C,A14,'DL14. Buổi WOW 1-1'!L:L,"no_show*")</f>
        <v>1</v>
      </c>
      <c r="AC14" s="234" t="n">
        <f aca="false">Y14+Z14+AA14-AB14</f>
        <v>9</v>
      </c>
      <c r="AD14" s="212" t="str">
        <f aca="true" t="array" ref="AD14:AD14">IF(SUMPRODUCT(('DL12. Điểm danh'!$C$4:$C$1000=A14)*ISNUMBER(SEARCH("no_show",'DL12. Điểm danh'!$E$4:$E$1000)))&gt;=thresholdAtRisk_absences,INDEX('CH4. Thông điệp nhắc việc'!$G:$G,MATCH("NA064",'CH4. Thông điệp nhắc việc'!$A:$A,0)),IF(SUMPRODUCT(('DL13. Bài tập'!$D$4:$D$1000=A14)*ISNUMBER(SEARCH("missing",'DL13. Bài tập'!$L$4:$L$1000)))&gt;=thresholdAtRisk_hw_missing,INDEX('CH4. Thông điệp nhắc việc'!$G:$G,MATCH("NA065",'CH4. Thông điệp nhắc việc'!$A:$A,0)),IF(AND(ISNUMBER(SEARCH("off_track",R14)),ISNUMBER(SEARCH("off_track",S14))),INDEX('CH4. Thông điệp nhắc việc'!$G:$G,MATCH("NA014",'CH4. Thông điệp nhắc việc'!$A:$A,0)),IF(ISNUMBER(SEARCH("off_track",S14)),INDEX('CH4. Thông điệp nhắc việc'!$G:$G,MATCH("NA015",'CH4. Thông điệp nhắc việc'!$A:$A,0)),IF(ISNUMBER(SEARCH("off_track",R14)),INDEX('CH4. Thông điệp nhắc việc'!$G:$G,MATCH("NA016",'CH4. Thông điệp nhắc việc'!$A:$A,0)),IF(ISNUMBER(SEARCH("at_risk",S14)),INDEX('CH4. Thông điệp nhắc việc'!$G:$G,MATCH("NA066",'CH4. Thông điệp nhắc việc'!$A:$A,0)),IF(ISNUMBER(SEARCH("at_risk",R14)),INDEX('CH4. Thông điệp nhắc việc'!$G:$G,MATCH("NA017",'CH4. Thông điệp nhắc việc'!$A:$A,0)),IF(AND(V14&lt;&gt;"",(NOW()-N(V14))&gt;slaActivity_inactive_days),INDEX('CH4. Thông điệp nhắc việc'!$G:$G,MATCH("NA067",'CH4. Thông điệp nhắc việc'!$A:$A,0)),INDEX('CH4. Thông điệp nhắc việc'!$G:$G,MATCH("NA018",'CH4. Thông điệp nhắc việc'!$A:$A,0))))))))))</f>
        <v>HV đang học đều và ổn định. Không cần làm gì thêm.</v>
      </c>
    </row>
    <row r="15" customFormat="false" ht="46.5" hidden="false" customHeight="true" outlineLevel="0" collapsed="false">
      <c r="A15" s="209" t="s">
        <v>3147</v>
      </c>
      <c r="B15" s="209" t="s">
        <v>2581</v>
      </c>
      <c r="C15" s="209" t="s">
        <v>2582</v>
      </c>
      <c r="D15" s="209" t="s">
        <v>3148</v>
      </c>
      <c r="E15" s="232" t="n">
        <v>39208.375</v>
      </c>
      <c r="F15" s="209" t="s">
        <v>3106</v>
      </c>
      <c r="G15" s="209" t="s">
        <v>1010</v>
      </c>
      <c r="H15" s="209" t="s">
        <v>3100</v>
      </c>
      <c r="I15" s="209" t="s">
        <v>3149</v>
      </c>
      <c r="J15" s="209" t="s">
        <v>3150</v>
      </c>
      <c r="K15" s="209" t="s">
        <v>3103</v>
      </c>
      <c r="L15" s="210" t="str">
        <f aca="false">IFERROR(HYPERLINK("#'DL06. Đăng ký'!A"&amp;MATCH("ENR-2026-012",'DL06. Đăng ký'!A:A,0),"ENR-2026-012"),"ENR-2026-012")</f>
        <v>ENR-2026-012</v>
      </c>
      <c r="M15" s="232" t="n">
        <f aca="false">IF(A15="","",IF(SUMPRODUCT(MIN((('DL06. Đăng ký'!$B$4:$B$500=A15)*N('DL06. Đăng ký'!$G$4:$G$500))+((('DL06. Đăng ký'!$B$4:$B$500&lt;&gt;A15)+('DL06. Đăng ký'!$G$4:$G$500=""))*10^10)))&gt;=10^10,"",SUMPRODUCT(MIN((('DL06. Đăng ký'!$B$4:$B$500=A15)*N('DL06. Đăng ký'!$G$4:$G$500))+((('DL06. Đăng ký'!$B$4:$B$500&lt;&gt;A15)+('DL06. Đăng ký'!$G$4:$G$500=""))*10^10)))))</f>
        <v>46186.375</v>
      </c>
      <c r="N15" s="233" t="n">
        <f aca="false">IFERROR(COUNTIF('DL06. Đăng ký'!B:B,A15),0)</f>
        <v>1</v>
      </c>
      <c r="O15" s="209" t="s">
        <v>1126</v>
      </c>
      <c r="P15" s="211" t="n">
        <v>46188.375</v>
      </c>
      <c r="Q15" s="209"/>
      <c r="R15" s="209" t="s">
        <v>1141</v>
      </c>
      <c r="S15" s="209" t="s">
        <v>1154</v>
      </c>
      <c r="T15" s="209"/>
      <c r="U15" s="209"/>
      <c r="V15" s="211" t="n">
        <f aca="true">IF(A15="","",IF(MAX(SUMPRODUCT(MAX(('DL12. Điểm danh'!$C$4:$C$1000=A15)*('DL12. Điểm danh'!$G$4:$G$1000&lt;=NOW())*N('DL12. Điểm danh'!$G$4:$G$1000))),SUMPRODUCT(MAX(('DL13. Bài tập'!$D$4:$D$1000=A15)*('DL13. Bài tập'!$J$4:$J$1000&lt;=NOW())*N('DL13. Bài tập'!$J$4:$J$1000))),SUMPRODUCT(MAX(('DL14. Buổi WOW 1-1'!$C$4:$C$1000=A15)*('DL14. Buổi WOW 1-1'!$E$4:$E$1000&lt;=NOW())*N('DL14. Buổi WOW 1-1'!$E$4:$E$1000))))=0,"",MAX(SUMPRODUCT(MAX(('DL12. Điểm danh'!$C$4:$C$1000=A15)*('DL12. Điểm danh'!$G$4:$G$1000&lt;=NOW())*N('DL12. Điểm danh'!$G$4:$G$1000))),SUMPRODUCT(MAX(('DL13. Bài tập'!$D$4:$D$1000=A15)*('DL13. Bài tập'!$J$4:$J$1000&lt;=NOW())*N('DL13. Bài tập'!$J$4:$J$1000))),SUMPRODUCT(MAX(('DL14. Buổi WOW 1-1'!$C$4:$C$1000=A15)*('DL14. Buổi WOW 1-1'!$E$4:$E$1000&lt;=NOW())*N('DL14. Buổi WOW 1-1'!$E$4:$E$1000))))))</f>
        <v>46207.375</v>
      </c>
      <c r="W15" s="209"/>
      <c r="X15" s="209"/>
      <c r="Y15" s="234" t="n">
        <f aca="false">IFERROR(VLOOKUP(VLOOKUP(L15,'DL06. Đăng ký'!A:E,5,FALSE()),'DL05. Khóa học'!A:G,7,FALSE()),wowQuota_default_sessions)</f>
        <v>10</v>
      </c>
      <c r="Z15" s="235" t="n">
        <v>0</v>
      </c>
      <c r="AA15" s="235" t="n">
        <v>0</v>
      </c>
      <c r="AB15" s="234" t="n">
        <f aca="false">COUNTIFS('DL14. Buổi WOW 1-1'!C:C,A15,'DL14. Buổi WOW 1-1'!L:L,"completed*")+COUNTIFS('DL14. Buổi WOW 1-1'!C:C,A15,'DL14. Buổi WOW 1-1'!L:L,"no_show*")</f>
        <v>0</v>
      </c>
      <c r="AC15" s="234" t="n">
        <f aca="false">Y15+Z15+AA15-AB15</f>
        <v>10</v>
      </c>
      <c r="AD15" s="212" t="str">
        <f aca="true" t="array" ref="AD15:AD15">IF(SUMPRODUCT(('DL12. Điểm danh'!$C$4:$C$1000=A15)*ISNUMBER(SEARCH("no_show",'DL12. Điểm danh'!$E$4:$E$1000)))&gt;=thresholdAtRisk_absences,INDEX('CH4. Thông điệp nhắc việc'!$G:$G,MATCH("NA064",'CH4. Thông điệp nhắc việc'!$A:$A,0)),IF(SUMPRODUCT(('DL13. Bài tập'!$D$4:$D$1000=A15)*ISNUMBER(SEARCH("missing",'DL13. Bài tập'!$L$4:$L$1000)))&gt;=thresholdAtRisk_hw_missing,INDEX('CH4. Thông điệp nhắc việc'!$G:$G,MATCH("NA065",'CH4. Thông điệp nhắc việc'!$A:$A,0)),IF(AND(ISNUMBER(SEARCH("off_track",R15)),ISNUMBER(SEARCH("off_track",S15))),INDEX('CH4. Thông điệp nhắc việc'!$G:$G,MATCH("NA014",'CH4. Thông điệp nhắc việc'!$A:$A,0)),IF(ISNUMBER(SEARCH("off_track",S15)),INDEX('CH4. Thông điệp nhắc việc'!$G:$G,MATCH("NA015",'CH4. Thông điệp nhắc việc'!$A:$A,0)),IF(ISNUMBER(SEARCH("off_track",R15)),INDEX('CH4. Thông điệp nhắc việc'!$G:$G,MATCH("NA016",'CH4. Thông điệp nhắc việc'!$A:$A,0)),IF(ISNUMBER(SEARCH("at_risk",S15)),INDEX('CH4. Thông điệp nhắc việc'!$G:$G,MATCH("NA066",'CH4. Thông điệp nhắc việc'!$A:$A,0)),IF(ISNUMBER(SEARCH("at_risk",R15)),INDEX('CH4. Thông điệp nhắc việc'!$G:$G,MATCH("NA017",'CH4. Thông điệp nhắc việc'!$A:$A,0)),IF(AND(V15&lt;&gt;"",(NOW()-N(V15))&gt;slaActivity_inactive_days),INDEX('CH4. Thông điệp nhắc việc'!$G:$G,MATCH("NA067",'CH4. Thông điệp nhắc việc'!$A:$A,0)),INDEX('CH4. Thông điệp nhắc việc'!$G:$G,MATCH("NA018",'CH4. Thông điệp nhắc việc'!$A:$A,0))))))))))</f>
        <v>HV đang học đều và ổn định. Không cần làm gì thêm.</v>
      </c>
    </row>
    <row r="16" customFormat="false" ht="46.5" hidden="false" customHeight="true" outlineLevel="0" collapsed="false">
      <c r="A16" s="209" t="s">
        <v>3151</v>
      </c>
      <c r="B16" s="209" t="s">
        <v>2584</v>
      </c>
      <c r="C16" s="209" t="s">
        <v>2585</v>
      </c>
      <c r="D16" s="209" t="s">
        <v>3152</v>
      </c>
      <c r="E16" s="232" t="n">
        <v>39208.375</v>
      </c>
      <c r="F16" s="209" t="s">
        <v>3099</v>
      </c>
      <c r="G16" s="209" t="s">
        <v>1010</v>
      </c>
      <c r="H16" s="209" t="s">
        <v>3100</v>
      </c>
      <c r="I16" s="209" t="s">
        <v>3153</v>
      </c>
      <c r="J16" s="209" t="s">
        <v>3154</v>
      </c>
      <c r="K16" s="209" t="s">
        <v>3103</v>
      </c>
      <c r="L16" s="210" t="str">
        <f aca="false">IFERROR(HYPERLINK("#'DL06. Đăng ký'!A"&amp;MATCH("ENR-2026-013",'DL06. Đăng ký'!A:A,0),"ENR-2026-013"),"ENR-2026-013")</f>
        <v>ENR-2026-013</v>
      </c>
      <c r="M16" s="232" t="n">
        <f aca="false">IF(A16="","",IF(SUMPRODUCT(MIN((('DL06. Đăng ký'!$B$4:$B$500=A16)*N('DL06. Đăng ký'!$G$4:$G$500))+((('DL06. Đăng ký'!$B$4:$B$500&lt;&gt;A16)+('DL06. Đăng ký'!$G$4:$G$500=""))*10^10)))&gt;=10^10,"",SUMPRODUCT(MIN((('DL06. Đăng ký'!$B$4:$B$500=A16)*N('DL06. Đăng ký'!$G$4:$G$500))+((('DL06. Đăng ký'!$B$4:$B$500&lt;&gt;A16)+('DL06. Đăng ký'!$G$4:$G$500=""))*10^10)))))</f>
        <v>46190.375</v>
      </c>
      <c r="N16" s="233" t="n">
        <f aca="false">IFERROR(COUNTIF('DL06. Đăng ký'!B:B,A16),0)</f>
        <v>1</v>
      </c>
      <c r="O16" s="209" t="s">
        <v>1126</v>
      </c>
      <c r="P16" s="211" t="n">
        <v>46192.375</v>
      </c>
      <c r="Q16" s="209"/>
      <c r="R16" s="209" t="s">
        <v>1141</v>
      </c>
      <c r="S16" s="209" t="s">
        <v>1154</v>
      </c>
      <c r="T16" s="209"/>
      <c r="U16" s="209"/>
      <c r="V16" s="211" t="n">
        <f aca="true">IF(A16="","",IF(MAX(SUMPRODUCT(MAX(('DL12. Điểm danh'!$C$4:$C$1000=A16)*('DL12. Điểm danh'!$G$4:$G$1000&lt;=NOW())*N('DL12. Điểm danh'!$G$4:$G$1000))),SUMPRODUCT(MAX(('DL13. Bài tập'!$D$4:$D$1000=A16)*('DL13. Bài tập'!$J$4:$J$1000&lt;=NOW())*N('DL13. Bài tập'!$J$4:$J$1000))),SUMPRODUCT(MAX(('DL14. Buổi WOW 1-1'!$C$4:$C$1000=A16)*('DL14. Buổi WOW 1-1'!$E$4:$E$1000&lt;=NOW())*N('DL14. Buổi WOW 1-1'!$E$4:$E$1000))))=0,"",MAX(SUMPRODUCT(MAX(('DL12. Điểm danh'!$C$4:$C$1000=A16)*('DL12. Điểm danh'!$G$4:$G$1000&lt;=NOW())*N('DL12. Điểm danh'!$G$4:$G$1000))),SUMPRODUCT(MAX(('DL13. Bài tập'!$D$4:$D$1000=A16)*('DL13. Bài tập'!$J$4:$J$1000&lt;=NOW())*N('DL13. Bài tập'!$J$4:$J$1000))),SUMPRODUCT(MAX(('DL14. Buổi WOW 1-1'!$C$4:$C$1000=A16)*('DL14. Buổi WOW 1-1'!$E$4:$E$1000&lt;=NOW())*N('DL14. Buổi WOW 1-1'!$E$4:$E$1000))))))</f>
        <v>46205.4166666667</v>
      </c>
      <c r="W16" s="209"/>
      <c r="X16" s="209"/>
      <c r="Y16" s="234" t="n">
        <f aca="false">IFERROR(VLOOKUP(VLOOKUP(L16,'DL06. Đăng ký'!A:E,5,FALSE()),'DL05. Khóa học'!A:G,7,FALSE()),wowQuota_default_sessions)</f>
        <v>12</v>
      </c>
      <c r="Z16" s="235" t="n">
        <v>0</v>
      </c>
      <c r="AA16" s="235" t="n">
        <v>0</v>
      </c>
      <c r="AB16" s="234" t="n">
        <f aca="false">COUNTIFS('DL14. Buổi WOW 1-1'!C:C,A16,'DL14. Buổi WOW 1-1'!L:L,"completed*")+COUNTIFS('DL14. Buổi WOW 1-1'!C:C,A16,'DL14. Buổi WOW 1-1'!L:L,"no_show*")</f>
        <v>0</v>
      </c>
      <c r="AC16" s="234" t="n">
        <f aca="false">Y16+Z16+AA16-AB16</f>
        <v>12</v>
      </c>
      <c r="AD16" s="212" t="str">
        <f aca="true" t="array" ref="AD16:AD16">IF(SUMPRODUCT(('DL12. Điểm danh'!$C$4:$C$1000=A16)*ISNUMBER(SEARCH("no_show",'DL12. Điểm danh'!$E$4:$E$1000)))&gt;=thresholdAtRisk_absences,INDEX('CH4. Thông điệp nhắc việc'!$G:$G,MATCH("NA064",'CH4. Thông điệp nhắc việc'!$A:$A,0)),IF(SUMPRODUCT(('DL13. Bài tập'!$D$4:$D$1000=A16)*ISNUMBER(SEARCH("missing",'DL13. Bài tập'!$L$4:$L$1000)))&gt;=thresholdAtRisk_hw_missing,INDEX('CH4. Thông điệp nhắc việc'!$G:$G,MATCH("NA065",'CH4. Thông điệp nhắc việc'!$A:$A,0)),IF(AND(ISNUMBER(SEARCH("off_track",R16)),ISNUMBER(SEARCH("off_track",S16))),INDEX('CH4. Thông điệp nhắc việc'!$G:$G,MATCH("NA014",'CH4. Thông điệp nhắc việc'!$A:$A,0)),IF(ISNUMBER(SEARCH("off_track",S16)),INDEX('CH4. Thông điệp nhắc việc'!$G:$G,MATCH("NA015",'CH4. Thông điệp nhắc việc'!$A:$A,0)),IF(ISNUMBER(SEARCH("off_track",R16)),INDEX('CH4. Thông điệp nhắc việc'!$G:$G,MATCH("NA016",'CH4. Thông điệp nhắc việc'!$A:$A,0)),IF(ISNUMBER(SEARCH("at_risk",S16)),INDEX('CH4. Thông điệp nhắc việc'!$G:$G,MATCH("NA066",'CH4. Thông điệp nhắc việc'!$A:$A,0)),IF(ISNUMBER(SEARCH("at_risk",R16)),INDEX('CH4. Thông điệp nhắc việc'!$G:$G,MATCH("NA017",'CH4. Thông điệp nhắc việc'!$A:$A,0)),IF(AND(V16&lt;&gt;"",(NOW()-N(V16))&gt;slaActivity_inactive_days),INDEX('CH4. Thông điệp nhắc việc'!$G:$G,MATCH("NA067",'CH4. Thông điệp nhắc việc'!$A:$A,0)),INDEX('CH4. Thông điệp nhắc việc'!$G:$G,MATCH("NA018",'CH4. Thông điệp nhắc việc'!$A:$A,0))))))))))</f>
        <v>HV đang học đều và ổn định. Không cần làm gì thêm.</v>
      </c>
    </row>
    <row r="17" customFormat="false" ht="46.5" hidden="false" customHeight="true" outlineLevel="0" collapsed="false">
      <c r="A17" s="209" t="s">
        <v>3155</v>
      </c>
      <c r="B17" s="209" t="s">
        <v>2587</v>
      </c>
      <c r="C17" s="209" t="s">
        <v>2588</v>
      </c>
      <c r="D17" s="209" t="s">
        <v>3156</v>
      </c>
      <c r="E17" s="232" t="n">
        <v>39208.375</v>
      </c>
      <c r="F17" s="209" t="s">
        <v>3106</v>
      </c>
      <c r="G17" s="209" t="s">
        <v>1010</v>
      </c>
      <c r="H17" s="209" t="s">
        <v>3100</v>
      </c>
      <c r="I17" s="209" t="s">
        <v>3157</v>
      </c>
      <c r="J17" s="209" t="s">
        <v>3158</v>
      </c>
      <c r="K17" s="209" t="s">
        <v>3103</v>
      </c>
      <c r="L17" s="210" t="str">
        <f aca="false">IFERROR(HYPERLINK("#'DL06. Đăng ký'!A"&amp;MATCH("ENR-2026-014",'DL06. Đăng ký'!A:A,0),"ENR-2026-014"),"ENR-2026-014")</f>
        <v>ENR-2026-014</v>
      </c>
      <c r="M17" s="232" t="n">
        <f aca="false">IF(A17="","",IF(SUMPRODUCT(MIN((('DL06. Đăng ký'!$B$4:$B$500=A17)*N('DL06. Đăng ký'!$G$4:$G$500))+((('DL06. Đăng ký'!$B$4:$B$500&lt;&gt;A17)+('DL06. Đăng ký'!$G$4:$G$500=""))*10^10)))&gt;=10^10,"",SUMPRODUCT(MIN((('DL06. Đăng ký'!$B$4:$B$500=A17)*N('DL06. Đăng ký'!$G$4:$G$500))+((('DL06. Đăng ký'!$B$4:$B$500&lt;&gt;A17)+('DL06. Đăng ký'!$G$4:$G$500=""))*10^10)))))</f>
        <v>46198.375</v>
      </c>
      <c r="N17" s="233" t="n">
        <f aca="false">IFERROR(COUNTIF('DL06. Đăng ký'!B:B,A17),0)</f>
        <v>1</v>
      </c>
      <c r="O17" s="209" t="s">
        <v>1126</v>
      </c>
      <c r="P17" s="211" t="n">
        <v>46200.375</v>
      </c>
      <c r="Q17" s="209"/>
      <c r="R17" s="209" t="s">
        <v>1141</v>
      </c>
      <c r="S17" s="209" t="s">
        <v>1154</v>
      </c>
      <c r="T17" s="209"/>
      <c r="U17" s="209"/>
      <c r="V17" s="211" t="n">
        <f aca="true">IF(A17="","",IF(MAX(SUMPRODUCT(MAX(('DL12. Điểm danh'!$C$4:$C$1000=A17)*('DL12. Điểm danh'!$G$4:$G$1000&lt;=NOW())*N('DL12. Điểm danh'!$G$4:$G$1000))),SUMPRODUCT(MAX(('DL13. Bài tập'!$D$4:$D$1000=A17)*('DL13. Bài tập'!$J$4:$J$1000&lt;=NOW())*N('DL13. Bài tập'!$J$4:$J$1000))),SUMPRODUCT(MAX(('DL14. Buổi WOW 1-1'!$C$4:$C$1000=A17)*('DL14. Buổi WOW 1-1'!$E$4:$E$1000&lt;=NOW())*N('DL14. Buổi WOW 1-1'!$E$4:$E$1000))))=0,"",MAX(SUMPRODUCT(MAX(('DL12. Điểm danh'!$C$4:$C$1000=A17)*('DL12. Điểm danh'!$G$4:$G$1000&lt;=NOW())*N('DL12. Điểm danh'!$G$4:$G$1000))),SUMPRODUCT(MAX(('DL13. Bài tập'!$D$4:$D$1000=A17)*('DL13. Bài tập'!$J$4:$J$1000&lt;=NOW())*N('DL13. Bài tập'!$J$4:$J$1000))),SUMPRODUCT(MAX(('DL14. Buổi WOW 1-1'!$C$4:$C$1000=A17)*('DL14. Buổi WOW 1-1'!$E$4:$E$1000&lt;=NOW())*N('DL14. Buổi WOW 1-1'!$E$4:$E$1000))))))</f>
        <v>46208.375</v>
      </c>
      <c r="W17" s="209"/>
      <c r="X17" s="209"/>
      <c r="Y17" s="234" t="n">
        <f aca="false">IFERROR(VLOOKUP(VLOOKUP(L17,'DL06. Đăng ký'!A:E,5,FALSE()),'DL05. Khóa học'!A:G,7,FALSE()),wowQuota_default_sessions)</f>
        <v>10</v>
      </c>
      <c r="Z17" s="235" t="n">
        <v>0</v>
      </c>
      <c r="AA17" s="235" t="n">
        <v>0</v>
      </c>
      <c r="AB17" s="234" t="n">
        <f aca="false">COUNTIFS('DL14. Buổi WOW 1-1'!C:C,A17,'DL14. Buổi WOW 1-1'!L:L,"completed*")+COUNTIFS('DL14. Buổi WOW 1-1'!C:C,A17,'DL14. Buổi WOW 1-1'!L:L,"no_show*")</f>
        <v>0</v>
      </c>
      <c r="AC17" s="234" t="n">
        <f aca="false">Y17+Z17+AA17-AB17</f>
        <v>10</v>
      </c>
      <c r="AD17" s="212" t="str">
        <f aca="true" t="array" ref="AD17:AD17">IF(SUMPRODUCT(('DL12. Điểm danh'!$C$4:$C$1000=A17)*ISNUMBER(SEARCH("no_show",'DL12. Điểm danh'!$E$4:$E$1000)))&gt;=thresholdAtRisk_absences,INDEX('CH4. Thông điệp nhắc việc'!$G:$G,MATCH("NA064",'CH4. Thông điệp nhắc việc'!$A:$A,0)),IF(SUMPRODUCT(('DL13. Bài tập'!$D$4:$D$1000=A17)*ISNUMBER(SEARCH("missing",'DL13. Bài tập'!$L$4:$L$1000)))&gt;=thresholdAtRisk_hw_missing,INDEX('CH4. Thông điệp nhắc việc'!$G:$G,MATCH("NA065",'CH4. Thông điệp nhắc việc'!$A:$A,0)),IF(AND(ISNUMBER(SEARCH("off_track",R17)),ISNUMBER(SEARCH("off_track",S17))),INDEX('CH4. Thông điệp nhắc việc'!$G:$G,MATCH("NA014",'CH4. Thông điệp nhắc việc'!$A:$A,0)),IF(ISNUMBER(SEARCH("off_track",S17)),INDEX('CH4. Thông điệp nhắc việc'!$G:$G,MATCH("NA015",'CH4. Thông điệp nhắc việc'!$A:$A,0)),IF(ISNUMBER(SEARCH("off_track",R17)),INDEX('CH4. Thông điệp nhắc việc'!$G:$G,MATCH("NA016",'CH4. Thông điệp nhắc việc'!$A:$A,0)),IF(ISNUMBER(SEARCH("at_risk",S17)),INDEX('CH4. Thông điệp nhắc việc'!$G:$G,MATCH("NA066",'CH4. Thông điệp nhắc việc'!$A:$A,0)),IF(ISNUMBER(SEARCH("at_risk",R17)),INDEX('CH4. Thông điệp nhắc việc'!$G:$G,MATCH("NA017",'CH4. Thông điệp nhắc việc'!$A:$A,0)),IF(AND(V17&lt;&gt;"",(NOW()-N(V17))&gt;slaActivity_inactive_days),INDEX('CH4. Thông điệp nhắc việc'!$G:$G,MATCH("NA067",'CH4. Thông điệp nhắc việc'!$A:$A,0)),INDEX('CH4. Thông điệp nhắc việc'!$G:$G,MATCH("NA018",'CH4. Thông điệp nhắc việc'!$A:$A,0))))))))))</f>
        <v>HV đang học đều và ổn định. Không cần làm gì thêm.</v>
      </c>
    </row>
    <row r="18" customFormat="false" ht="15" hidden="false" customHeight="true" outlineLevel="0" collapsed="false">
      <c r="A18" s="135"/>
      <c r="B18" s="135"/>
      <c r="C18" s="135"/>
      <c r="D18" s="135"/>
      <c r="E18" s="182"/>
      <c r="F18" s="135"/>
      <c r="G18" s="135"/>
      <c r="H18" s="135"/>
      <c r="I18" s="135"/>
      <c r="J18" s="135"/>
      <c r="K18" s="135"/>
      <c r="L18" s="135"/>
      <c r="M18" s="182"/>
      <c r="N18" s="135"/>
      <c r="O18" s="135"/>
      <c r="P18" s="189"/>
      <c r="Q18" s="135"/>
      <c r="R18" s="135"/>
      <c r="S18" s="135"/>
      <c r="T18" s="135"/>
      <c r="U18" s="135"/>
      <c r="V18" s="189"/>
      <c r="W18" s="135"/>
      <c r="X18" s="135"/>
      <c r="Y18" s="135"/>
      <c r="Z18" s="135"/>
      <c r="AA18" s="135"/>
      <c r="AB18" s="135"/>
      <c r="AC18" s="135"/>
      <c r="AD18" s="135"/>
    </row>
    <row r="19" customFormat="false" ht="15" hidden="false" customHeight="true" outlineLevel="0" collapsed="false">
      <c r="A19" s="135"/>
      <c r="B19" s="135"/>
      <c r="C19" s="135"/>
      <c r="D19" s="135"/>
      <c r="E19" s="182"/>
      <c r="F19" s="135"/>
      <c r="G19" s="135"/>
      <c r="H19" s="135"/>
      <c r="I19" s="135"/>
      <c r="J19" s="135"/>
      <c r="K19" s="135"/>
      <c r="L19" s="135"/>
      <c r="M19" s="182"/>
      <c r="N19" s="135"/>
      <c r="O19" s="135"/>
      <c r="P19" s="189"/>
      <c r="Q19" s="135"/>
      <c r="R19" s="135"/>
      <c r="S19" s="135"/>
      <c r="T19" s="135"/>
      <c r="U19" s="135"/>
      <c r="V19" s="189"/>
      <c r="W19" s="135"/>
      <c r="X19" s="135"/>
      <c r="Y19" s="135"/>
      <c r="Z19" s="135"/>
      <c r="AA19" s="135"/>
      <c r="AB19" s="135"/>
      <c r="AC19" s="135"/>
      <c r="AD19" s="135"/>
    </row>
    <row r="20" customFormat="false" ht="15" hidden="false" customHeight="true" outlineLevel="0" collapsed="false">
      <c r="A20" s="135"/>
      <c r="B20" s="135"/>
      <c r="C20" s="135"/>
      <c r="D20" s="135"/>
      <c r="E20" s="182"/>
      <c r="F20" s="135"/>
      <c r="G20" s="135"/>
      <c r="H20" s="135"/>
      <c r="I20" s="135"/>
      <c r="J20" s="135"/>
      <c r="K20" s="135"/>
      <c r="L20" s="135"/>
      <c r="M20" s="182"/>
      <c r="N20" s="135"/>
      <c r="O20" s="135"/>
      <c r="P20" s="189"/>
      <c r="Q20" s="135"/>
      <c r="R20" s="135"/>
      <c r="S20" s="135"/>
      <c r="T20" s="135"/>
      <c r="U20" s="135"/>
      <c r="V20" s="189"/>
      <c r="W20" s="135"/>
      <c r="X20" s="135"/>
      <c r="Y20" s="135"/>
      <c r="Z20" s="135"/>
      <c r="AA20" s="135"/>
      <c r="AB20" s="135"/>
      <c r="AC20" s="135"/>
      <c r="AD20" s="135"/>
    </row>
    <row r="21" customFormat="false" ht="15.75" hidden="false" customHeight="true" outlineLevel="0" collapsed="false">
      <c r="A21" s="135"/>
      <c r="B21" s="135"/>
      <c r="C21" s="135"/>
      <c r="D21" s="135"/>
      <c r="E21" s="182"/>
      <c r="F21" s="135"/>
      <c r="G21" s="135"/>
      <c r="H21" s="135"/>
      <c r="I21" s="135"/>
      <c r="J21" s="135"/>
      <c r="K21" s="135"/>
      <c r="L21" s="135"/>
      <c r="M21" s="182"/>
      <c r="N21" s="135"/>
      <c r="O21" s="135"/>
      <c r="P21" s="189"/>
      <c r="Q21" s="135"/>
      <c r="R21" s="135"/>
      <c r="S21" s="135"/>
      <c r="T21" s="135"/>
      <c r="U21" s="135"/>
      <c r="V21" s="189"/>
      <c r="W21" s="135"/>
      <c r="X21" s="135"/>
      <c r="Y21" s="135"/>
      <c r="Z21" s="135"/>
      <c r="AA21" s="135"/>
      <c r="AB21" s="135"/>
      <c r="AC21" s="135"/>
      <c r="AD21" s="135"/>
    </row>
    <row r="22" customFormat="false" ht="15.75" hidden="false" customHeight="true" outlineLevel="0" collapsed="false">
      <c r="A22" s="135"/>
      <c r="B22" s="135"/>
      <c r="C22" s="135"/>
      <c r="D22" s="135"/>
      <c r="E22" s="182"/>
      <c r="F22" s="135"/>
      <c r="G22" s="135"/>
      <c r="H22" s="135"/>
      <c r="I22" s="135"/>
      <c r="J22" s="135"/>
      <c r="K22" s="135"/>
      <c r="L22" s="135"/>
      <c r="M22" s="182"/>
      <c r="N22" s="135"/>
      <c r="O22" s="135"/>
      <c r="P22" s="189"/>
      <c r="Q22" s="135"/>
      <c r="R22" s="135"/>
      <c r="S22" s="135"/>
      <c r="T22" s="135"/>
      <c r="U22" s="135"/>
      <c r="V22" s="189"/>
      <c r="W22" s="135"/>
      <c r="X22" s="135"/>
      <c r="Y22" s="135"/>
      <c r="Z22" s="135"/>
      <c r="AA22" s="135"/>
      <c r="AB22" s="135"/>
      <c r="AC22" s="135"/>
      <c r="AD22" s="135"/>
    </row>
    <row r="23" customFormat="false" ht="15.75" hidden="false" customHeight="true" outlineLevel="0" collapsed="false">
      <c r="A23" s="135"/>
      <c r="B23" s="135"/>
      <c r="C23" s="135"/>
      <c r="D23" s="135"/>
      <c r="E23" s="182"/>
      <c r="F23" s="135"/>
      <c r="G23" s="135"/>
      <c r="H23" s="135"/>
      <c r="I23" s="135"/>
      <c r="J23" s="135"/>
      <c r="K23" s="135"/>
      <c r="L23" s="135"/>
      <c r="M23" s="182"/>
      <c r="N23" s="135"/>
      <c r="O23" s="135"/>
      <c r="P23" s="189"/>
      <c r="Q23" s="135"/>
      <c r="R23" s="135"/>
      <c r="S23" s="135"/>
      <c r="T23" s="135"/>
      <c r="U23" s="135"/>
      <c r="V23" s="189"/>
      <c r="W23" s="135"/>
      <c r="X23" s="135"/>
      <c r="Y23" s="135"/>
      <c r="Z23" s="135"/>
      <c r="AA23" s="135"/>
      <c r="AB23" s="135"/>
      <c r="AC23" s="135"/>
      <c r="AD23" s="135"/>
    </row>
    <row r="24" customFormat="false" ht="15.75" hidden="false" customHeight="true" outlineLevel="0" collapsed="false">
      <c r="A24" s="135"/>
      <c r="B24" s="135"/>
      <c r="C24" s="135"/>
      <c r="D24" s="135"/>
      <c r="E24" s="182"/>
      <c r="F24" s="135"/>
      <c r="G24" s="135"/>
      <c r="H24" s="135"/>
      <c r="I24" s="135"/>
      <c r="J24" s="135"/>
      <c r="K24" s="135"/>
      <c r="L24" s="135"/>
      <c r="M24" s="182"/>
      <c r="N24" s="135"/>
      <c r="O24" s="135"/>
      <c r="P24" s="189"/>
      <c r="Q24" s="135"/>
      <c r="R24" s="135"/>
      <c r="S24" s="135"/>
      <c r="T24" s="135"/>
      <c r="U24" s="135"/>
      <c r="V24" s="189"/>
      <c r="W24" s="135"/>
      <c r="X24" s="135"/>
      <c r="Y24" s="135"/>
      <c r="Z24" s="135"/>
      <c r="AA24" s="135"/>
      <c r="AB24" s="135"/>
      <c r="AC24" s="135"/>
      <c r="AD24" s="135"/>
    </row>
    <row r="25" customFormat="false" ht="15.75" hidden="false" customHeight="true" outlineLevel="0" collapsed="false">
      <c r="A25" s="135"/>
      <c r="B25" s="135"/>
      <c r="C25" s="135"/>
      <c r="D25" s="135"/>
      <c r="E25" s="182"/>
      <c r="F25" s="135"/>
      <c r="G25" s="135"/>
      <c r="H25" s="135"/>
      <c r="I25" s="135"/>
      <c r="J25" s="135"/>
      <c r="K25" s="135"/>
      <c r="L25" s="135"/>
      <c r="M25" s="182"/>
      <c r="N25" s="135"/>
      <c r="O25" s="135"/>
      <c r="P25" s="189"/>
      <c r="Q25" s="135"/>
      <c r="R25" s="135"/>
      <c r="S25" s="135"/>
      <c r="T25" s="135"/>
      <c r="U25" s="135"/>
      <c r="V25" s="189"/>
      <c r="W25" s="135"/>
      <c r="X25" s="135"/>
      <c r="Y25" s="135"/>
      <c r="Z25" s="135"/>
      <c r="AA25" s="135"/>
      <c r="AB25" s="135"/>
      <c r="AC25" s="135"/>
      <c r="AD25" s="135"/>
    </row>
    <row r="26" customFormat="false" ht="15.75" hidden="false" customHeight="true" outlineLevel="0" collapsed="false">
      <c r="A26" s="135"/>
      <c r="B26" s="135"/>
      <c r="C26" s="135"/>
      <c r="D26" s="135"/>
      <c r="E26" s="182"/>
      <c r="F26" s="135"/>
      <c r="G26" s="135"/>
      <c r="H26" s="135"/>
      <c r="I26" s="135"/>
      <c r="J26" s="135"/>
      <c r="K26" s="135"/>
      <c r="L26" s="135"/>
      <c r="M26" s="182"/>
      <c r="N26" s="135"/>
      <c r="O26" s="135"/>
      <c r="P26" s="189"/>
      <c r="Q26" s="135"/>
      <c r="R26" s="135"/>
      <c r="S26" s="135"/>
      <c r="T26" s="135"/>
      <c r="U26" s="135"/>
      <c r="V26" s="189"/>
      <c r="W26" s="135"/>
      <c r="X26" s="135"/>
      <c r="Y26" s="135"/>
      <c r="Z26" s="135"/>
      <c r="AA26" s="135"/>
      <c r="AB26" s="135"/>
      <c r="AC26" s="135"/>
      <c r="AD26" s="135"/>
    </row>
    <row r="27" customFormat="false" ht="15.75" hidden="false" customHeight="true" outlineLevel="0" collapsed="false">
      <c r="A27" s="135"/>
      <c r="B27" s="135"/>
      <c r="C27" s="135"/>
      <c r="D27" s="135"/>
      <c r="E27" s="182"/>
      <c r="F27" s="135"/>
      <c r="G27" s="135"/>
      <c r="H27" s="135"/>
      <c r="I27" s="135"/>
      <c r="J27" s="135"/>
      <c r="K27" s="135"/>
      <c r="L27" s="135"/>
      <c r="M27" s="182"/>
      <c r="N27" s="135"/>
      <c r="O27" s="135"/>
      <c r="P27" s="189"/>
      <c r="Q27" s="135"/>
      <c r="R27" s="135"/>
      <c r="S27" s="135"/>
      <c r="T27" s="135"/>
      <c r="U27" s="135"/>
      <c r="V27" s="189"/>
      <c r="W27" s="135"/>
      <c r="X27" s="135"/>
      <c r="Y27" s="135"/>
      <c r="Z27" s="135"/>
      <c r="AA27" s="135"/>
      <c r="AB27" s="135"/>
      <c r="AC27" s="135"/>
      <c r="AD27" s="135"/>
    </row>
    <row r="28" customFormat="false" ht="15.75" hidden="false" customHeight="true" outlineLevel="0" collapsed="false">
      <c r="A28" s="135"/>
      <c r="B28" s="135"/>
      <c r="C28" s="135"/>
      <c r="D28" s="135"/>
      <c r="E28" s="182"/>
      <c r="F28" s="135"/>
      <c r="G28" s="135"/>
      <c r="H28" s="135"/>
      <c r="I28" s="135"/>
      <c r="J28" s="135"/>
      <c r="K28" s="135"/>
      <c r="L28" s="135"/>
      <c r="M28" s="182"/>
      <c r="N28" s="135"/>
      <c r="O28" s="135"/>
      <c r="P28" s="189"/>
      <c r="Q28" s="135"/>
      <c r="R28" s="135"/>
      <c r="S28" s="135"/>
      <c r="T28" s="135"/>
      <c r="U28" s="135"/>
      <c r="V28" s="189"/>
      <c r="W28" s="135"/>
      <c r="X28" s="135"/>
      <c r="Y28" s="135"/>
      <c r="Z28" s="135"/>
      <c r="AA28" s="135"/>
      <c r="AB28" s="135"/>
      <c r="AC28" s="135"/>
      <c r="AD28" s="135"/>
    </row>
    <row r="29" customFormat="false" ht="15.75" hidden="false" customHeight="true" outlineLevel="0" collapsed="false">
      <c r="A29" s="135"/>
      <c r="B29" s="135"/>
      <c r="C29" s="135"/>
      <c r="D29" s="135"/>
      <c r="E29" s="182"/>
      <c r="F29" s="135"/>
      <c r="G29" s="135"/>
      <c r="H29" s="135"/>
      <c r="I29" s="135"/>
      <c r="J29" s="135"/>
      <c r="K29" s="135"/>
      <c r="L29" s="135"/>
      <c r="M29" s="182"/>
      <c r="N29" s="135"/>
      <c r="O29" s="135"/>
      <c r="P29" s="189"/>
      <c r="Q29" s="135"/>
      <c r="R29" s="135"/>
      <c r="S29" s="135"/>
      <c r="T29" s="135"/>
      <c r="U29" s="135"/>
      <c r="V29" s="189"/>
      <c r="W29" s="135"/>
      <c r="X29" s="135"/>
      <c r="Y29" s="135"/>
      <c r="Z29" s="135"/>
      <c r="AA29" s="135"/>
      <c r="AB29" s="135"/>
      <c r="AC29" s="135"/>
      <c r="AD29" s="135"/>
    </row>
    <row r="30" customFormat="false" ht="15.75" hidden="false" customHeight="true" outlineLevel="0" collapsed="false">
      <c r="A30" s="135"/>
      <c r="B30" s="135"/>
      <c r="C30" s="135"/>
      <c r="D30" s="135"/>
      <c r="E30" s="182"/>
      <c r="F30" s="135"/>
      <c r="G30" s="135"/>
      <c r="H30" s="135"/>
      <c r="I30" s="135"/>
      <c r="J30" s="135"/>
      <c r="K30" s="135"/>
      <c r="L30" s="135"/>
      <c r="M30" s="182"/>
      <c r="N30" s="135"/>
      <c r="O30" s="135"/>
      <c r="P30" s="189"/>
      <c r="Q30" s="135"/>
      <c r="R30" s="135"/>
      <c r="S30" s="135"/>
      <c r="T30" s="135"/>
      <c r="U30" s="135"/>
      <c r="V30" s="189"/>
      <c r="W30" s="135"/>
      <c r="X30" s="135"/>
      <c r="Y30" s="135"/>
      <c r="Z30" s="135"/>
      <c r="AA30" s="135"/>
      <c r="AB30" s="135"/>
      <c r="AC30" s="135"/>
      <c r="AD30" s="135"/>
    </row>
    <row r="31" customFormat="false" ht="15.75" hidden="false" customHeight="true" outlineLevel="0" collapsed="false">
      <c r="A31" s="135"/>
      <c r="B31" s="135"/>
      <c r="C31" s="135"/>
      <c r="D31" s="135"/>
      <c r="E31" s="182"/>
      <c r="F31" s="135"/>
      <c r="G31" s="135"/>
      <c r="H31" s="135"/>
      <c r="I31" s="135"/>
      <c r="J31" s="135"/>
      <c r="K31" s="135"/>
      <c r="L31" s="135"/>
      <c r="M31" s="182"/>
      <c r="N31" s="135"/>
      <c r="O31" s="135"/>
      <c r="P31" s="189"/>
      <c r="Q31" s="135"/>
      <c r="R31" s="135"/>
      <c r="S31" s="135"/>
      <c r="T31" s="135"/>
      <c r="U31" s="135"/>
      <c r="V31" s="189"/>
      <c r="W31" s="135"/>
      <c r="X31" s="135"/>
      <c r="Y31" s="135"/>
      <c r="Z31" s="135"/>
      <c r="AA31" s="135"/>
      <c r="AB31" s="135"/>
      <c r="AC31" s="135"/>
      <c r="AD31" s="135"/>
    </row>
    <row r="32" customFormat="false" ht="15.75" hidden="false" customHeight="true" outlineLevel="0" collapsed="false">
      <c r="A32" s="135"/>
      <c r="B32" s="135"/>
      <c r="C32" s="135"/>
      <c r="D32" s="135"/>
      <c r="E32" s="182"/>
      <c r="F32" s="135"/>
      <c r="G32" s="135"/>
      <c r="H32" s="135"/>
      <c r="I32" s="135"/>
      <c r="J32" s="135"/>
      <c r="K32" s="135"/>
      <c r="L32" s="135"/>
      <c r="M32" s="182"/>
      <c r="N32" s="135"/>
      <c r="O32" s="135"/>
      <c r="P32" s="189"/>
      <c r="Q32" s="135"/>
      <c r="R32" s="135"/>
      <c r="S32" s="135"/>
      <c r="T32" s="135"/>
      <c r="U32" s="135"/>
      <c r="V32" s="189"/>
      <c r="W32" s="135"/>
      <c r="X32" s="135"/>
      <c r="Y32" s="135"/>
      <c r="Z32" s="135"/>
      <c r="AA32" s="135"/>
      <c r="AB32" s="135"/>
      <c r="AC32" s="135"/>
      <c r="AD32" s="135"/>
    </row>
    <row r="33" customFormat="false" ht="15.75" hidden="false" customHeight="true" outlineLevel="0" collapsed="false">
      <c r="A33" s="135"/>
      <c r="B33" s="135"/>
      <c r="C33" s="135"/>
      <c r="D33" s="135"/>
      <c r="E33" s="182"/>
      <c r="F33" s="135"/>
      <c r="G33" s="135"/>
      <c r="H33" s="135"/>
      <c r="I33" s="135"/>
      <c r="J33" s="135"/>
      <c r="K33" s="135"/>
      <c r="L33" s="135"/>
      <c r="M33" s="182"/>
      <c r="N33" s="135"/>
      <c r="O33" s="135"/>
      <c r="P33" s="189"/>
      <c r="Q33" s="135"/>
      <c r="R33" s="135"/>
      <c r="S33" s="135"/>
      <c r="T33" s="135"/>
      <c r="U33" s="135"/>
      <c r="V33" s="189"/>
      <c r="W33" s="135"/>
      <c r="X33" s="135"/>
      <c r="Y33" s="135"/>
      <c r="Z33" s="135"/>
      <c r="AA33" s="135"/>
      <c r="AB33" s="135"/>
      <c r="AC33" s="135"/>
      <c r="AD33" s="135"/>
    </row>
    <row r="34" customFormat="false" ht="15.75" hidden="false" customHeight="true" outlineLevel="0" collapsed="false">
      <c r="A34" s="135"/>
      <c r="B34" s="135"/>
      <c r="C34" s="135"/>
      <c r="D34" s="135"/>
      <c r="E34" s="182"/>
      <c r="F34" s="135"/>
      <c r="G34" s="135"/>
      <c r="H34" s="135"/>
      <c r="I34" s="135"/>
      <c r="J34" s="135"/>
      <c r="K34" s="135"/>
      <c r="L34" s="135"/>
      <c r="M34" s="182"/>
      <c r="N34" s="135"/>
      <c r="O34" s="135"/>
      <c r="P34" s="189"/>
      <c r="Q34" s="135"/>
      <c r="R34" s="135"/>
      <c r="S34" s="135"/>
      <c r="T34" s="135"/>
      <c r="U34" s="135"/>
      <c r="V34" s="189"/>
      <c r="W34" s="135"/>
      <c r="X34" s="135"/>
      <c r="Y34" s="135"/>
      <c r="Z34" s="135"/>
      <c r="AA34" s="135"/>
      <c r="AB34" s="135"/>
      <c r="AC34" s="135"/>
      <c r="AD34" s="135"/>
    </row>
    <row r="35" customFormat="false" ht="15.75" hidden="false" customHeight="true" outlineLevel="0" collapsed="false">
      <c r="A35" s="135"/>
      <c r="B35" s="135"/>
      <c r="C35" s="135"/>
      <c r="D35" s="135"/>
      <c r="E35" s="182"/>
      <c r="F35" s="135"/>
      <c r="G35" s="135"/>
      <c r="H35" s="135"/>
      <c r="I35" s="135"/>
      <c r="J35" s="135"/>
      <c r="K35" s="135"/>
      <c r="L35" s="135"/>
      <c r="M35" s="182"/>
      <c r="N35" s="135"/>
      <c r="O35" s="135"/>
      <c r="P35" s="189"/>
      <c r="Q35" s="135"/>
      <c r="R35" s="135"/>
      <c r="S35" s="135"/>
      <c r="T35" s="135"/>
      <c r="U35" s="135"/>
      <c r="V35" s="189"/>
      <c r="W35" s="135"/>
      <c r="X35" s="135"/>
      <c r="Y35" s="135"/>
      <c r="Z35" s="135"/>
      <c r="AA35" s="135"/>
      <c r="AB35" s="135"/>
      <c r="AC35" s="135"/>
      <c r="AD35" s="135"/>
    </row>
    <row r="36" customFormat="false" ht="15.75" hidden="false" customHeight="true" outlineLevel="0" collapsed="false">
      <c r="A36" s="135"/>
      <c r="B36" s="135"/>
      <c r="C36" s="135"/>
      <c r="D36" s="135"/>
      <c r="E36" s="182"/>
      <c r="F36" s="135"/>
      <c r="G36" s="135"/>
      <c r="H36" s="135"/>
      <c r="I36" s="135"/>
      <c r="J36" s="135"/>
      <c r="K36" s="135"/>
      <c r="L36" s="135"/>
      <c r="M36" s="182"/>
      <c r="N36" s="135"/>
      <c r="O36" s="135"/>
      <c r="P36" s="189"/>
      <c r="Q36" s="135"/>
      <c r="R36" s="135"/>
      <c r="S36" s="135"/>
      <c r="T36" s="135"/>
      <c r="U36" s="135"/>
      <c r="V36" s="189"/>
      <c r="W36" s="135"/>
      <c r="X36" s="135"/>
      <c r="Y36" s="135"/>
      <c r="Z36" s="135"/>
      <c r="AA36" s="135"/>
      <c r="AB36" s="135"/>
      <c r="AC36" s="135"/>
      <c r="AD36" s="135"/>
    </row>
    <row r="37" customFormat="false" ht="15.75" hidden="false" customHeight="true" outlineLevel="0" collapsed="false">
      <c r="A37" s="135"/>
      <c r="B37" s="135"/>
      <c r="C37" s="135"/>
      <c r="D37" s="135"/>
      <c r="E37" s="182"/>
      <c r="F37" s="135"/>
      <c r="G37" s="135"/>
      <c r="H37" s="135"/>
      <c r="I37" s="135"/>
      <c r="J37" s="135"/>
      <c r="K37" s="135"/>
      <c r="L37" s="135"/>
      <c r="M37" s="182"/>
      <c r="N37" s="135"/>
      <c r="O37" s="135"/>
      <c r="P37" s="189"/>
      <c r="Q37" s="135"/>
      <c r="R37" s="135"/>
      <c r="S37" s="135"/>
      <c r="T37" s="135"/>
      <c r="U37" s="135"/>
      <c r="V37" s="189"/>
      <c r="W37" s="135"/>
      <c r="X37" s="135"/>
      <c r="Y37" s="135"/>
      <c r="Z37" s="135"/>
      <c r="AA37" s="135"/>
      <c r="AB37" s="135"/>
      <c r="AC37" s="135"/>
      <c r="AD37" s="135"/>
    </row>
    <row r="38" customFormat="false" ht="15.75" hidden="false" customHeight="true" outlineLevel="0" collapsed="false">
      <c r="A38" s="135"/>
      <c r="B38" s="135"/>
      <c r="C38" s="135"/>
      <c r="D38" s="135"/>
      <c r="E38" s="182"/>
      <c r="F38" s="135"/>
      <c r="G38" s="135"/>
      <c r="H38" s="135"/>
      <c r="I38" s="135"/>
      <c r="J38" s="135"/>
      <c r="K38" s="135"/>
      <c r="L38" s="135"/>
      <c r="M38" s="182"/>
      <c r="N38" s="135"/>
      <c r="O38" s="135"/>
      <c r="P38" s="189"/>
      <c r="Q38" s="135"/>
      <c r="R38" s="135"/>
      <c r="S38" s="135"/>
      <c r="T38" s="135"/>
      <c r="U38" s="135"/>
      <c r="V38" s="189"/>
      <c r="W38" s="135"/>
      <c r="X38" s="135"/>
      <c r="Y38" s="135"/>
      <c r="Z38" s="135"/>
      <c r="AA38" s="135"/>
      <c r="AB38" s="135"/>
      <c r="AC38" s="135"/>
      <c r="AD38" s="135"/>
    </row>
    <row r="39" customFormat="false" ht="15.75" hidden="false" customHeight="true" outlineLevel="0" collapsed="false">
      <c r="A39" s="135"/>
      <c r="B39" s="135"/>
      <c r="C39" s="135"/>
      <c r="D39" s="135"/>
      <c r="E39" s="182"/>
      <c r="F39" s="135"/>
      <c r="G39" s="135"/>
      <c r="H39" s="135"/>
      <c r="I39" s="135"/>
      <c r="J39" s="135"/>
      <c r="K39" s="135"/>
      <c r="L39" s="135"/>
      <c r="M39" s="182"/>
      <c r="N39" s="135"/>
      <c r="O39" s="135"/>
      <c r="P39" s="189"/>
      <c r="Q39" s="135"/>
      <c r="R39" s="135"/>
      <c r="S39" s="135"/>
      <c r="T39" s="135"/>
      <c r="U39" s="135"/>
      <c r="V39" s="189"/>
      <c r="W39" s="135"/>
      <c r="X39" s="135"/>
      <c r="Y39" s="135"/>
      <c r="Z39" s="135"/>
      <c r="AA39" s="135"/>
      <c r="AB39" s="135"/>
      <c r="AC39" s="135"/>
      <c r="AD39" s="135"/>
    </row>
    <row r="40" customFormat="false" ht="15.75" hidden="false" customHeight="true" outlineLevel="0" collapsed="false">
      <c r="A40" s="135"/>
      <c r="B40" s="135"/>
      <c r="C40" s="135"/>
      <c r="D40" s="135"/>
      <c r="E40" s="182"/>
      <c r="F40" s="135"/>
      <c r="G40" s="135"/>
      <c r="H40" s="135"/>
      <c r="I40" s="135"/>
      <c r="J40" s="135"/>
      <c r="K40" s="135"/>
      <c r="L40" s="135"/>
      <c r="M40" s="182"/>
      <c r="N40" s="135"/>
      <c r="O40" s="135"/>
      <c r="P40" s="189"/>
      <c r="Q40" s="135"/>
      <c r="R40" s="135"/>
      <c r="S40" s="135"/>
      <c r="T40" s="135"/>
      <c r="U40" s="135"/>
      <c r="V40" s="189"/>
      <c r="W40" s="135"/>
      <c r="X40" s="135"/>
      <c r="Y40" s="135"/>
      <c r="Z40" s="135"/>
      <c r="AA40" s="135"/>
      <c r="AB40" s="135"/>
      <c r="AC40" s="135"/>
      <c r="AD40" s="135"/>
    </row>
    <row r="41" customFormat="false" ht="15.75" hidden="false" customHeight="true" outlineLevel="0" collapsed="false">
      <c r="A41" s="135"/>
      <c r="B41" s="135"/>
      <c r="C41" s="135"/>
      <c r="D41" s="135"/>
      <c r="E41" s="182"/>
      <c r="F41" s="135"/>
      <c r="G41" s="135"/>
      <c r="H41" s="135"/>
      <c r="I41" s="135"/>
      <c r="J41" s="135"/>
      <c r="K41" s="135"/>
      <c r="L41" s="135"/>
      <c r="M41" s="182"/>
      <c r="N41" s="135"/>
      <c r="O41" s="135"/>
      <c r="P41" s="189"/>
      <c r="Q41" s="135"/>
      <c r="R41" s="135"/>
      <c r="S41" s="135"/>
      <c r="T41" s="135"/>
      <c r="U41" s="135"/>
      <c r="V41" s="189"/>
      <c r="W41" s="135"/>
      <c r="X41" s="135"/>
      <c r="Y41" s="135"/>
      <c r="Z41" s="135"/>
      <c r="AA41" s="135"/>
      <c r="AB41" s="135"/>
      <c r="AC41" s="135"/>
      <c r="AD41" s="135"/>
    </row>
    <row r="42" customFormat="false" ht="15.75" hidden="false" customHeight="true" outlineLevel="0" collapsed="false">
      <c r="A42" s="135"/>
      <c r="B42" s="135"/>
      <c r="C42" s="135"/>
      <c r="D42" s="135"/>
      <c r="E42" s="182"/>
      <c r="F42" s="135"/>
      <c r="G42" s="135"/>
      <c r="H42" s="135"/>
      <c r="I42" s="135"/>
      <c r="J42" s="135"/>
      <c r="K42" s="135"/>
      <c r="L42" s="135"/>
      <c r="M42" s="182"/>
      <c r="N42" s="135"/>
      <c r="O42" s="135"/>
      <c r="P42" s="189"/>
      <c r="Q42" s="135"/>
      <c r="R42" s="135"/>
      <c r="S42" s="135"/>
      <c r="T42" s="135"/>
      <c r="U42" s="135"/>
      <c r="V42" s="189"/>
      <c r="W42" s="135"/>
      <c r="X42" s="135"/>
      <c r="Y42" s="135"/>
      <c r="Z42" s="135"/>
      <c r="AA42" s="135"/>
      <c r="AB42" s="135"/>
      <c r="AC42" s="135"/>
      <c r="AD42" s="135"/>
    </row>
    <row r="43" customFormat="false" ht="15.75" hidden="false" customHeight="true" outlineLevel="0" collapsed="false">
      <c r="A43" s="135"/>
      <c r="B43" s="135"/>
      <c r="C43" s="135"/>
      <c r="D43" s="135"/>
      <c r="E43" s="182"/>
      <c r="F43" s="135"/>
      <c r="G43" s="135"/>
      <c r="H43" s="135"/>
      <c r="I43" s="135"/>
      <c r="J43" s="135"/>
      <c r="K43" s="135"/>
      <c r="L43" s="135"/>
      <c r="M43" s="182"/>
      <c r="N43" s="135"/>
      <c r="O43" s="135"/>
      <c r="P43" s="189"/>
      <c r="Q43" s="135"/>
      <c r="R43" s="135"/>
      <c r="S43" s="135"/>
      <c r="T43" s="135"/>
      <c r="U43" s="135"/>
      <c r="V43" s="189"/>
      <c r="W43" s="135"/>
      <c r="X43" s="135"/>
      <c r="Y43" s="135"/>
      <c r="Z43" s="135"/>
      <c r="AA43" s="135"/>
      <c r="AB43" s="135"/>
      <c r="AC43" s="135"/>
      <c r="AD43" s="135"/>
    </row>
    <row r="44" customFormat="false" ht="15.75" hidden="false" customHeight="true" outlineLevel="0" collapsed="false">
      <c r="A44" s="135"/>
      <c r="B44" s="135"/>
      <c r="C44" s="135"/>
      <c r="D44" s="135"/>
      <c r="E44" s="182"/>
      <c r="F44" s="135"/>
      <c r="G44" s="135"/>
      <c r="H44" s="135"/>
      <c r="I44" s="135"/>
      <c r="J44" s="135"/>
      <c r="K44" s="135"/>
      <c r="L44" s="135"/>
      <c r="M44" s="182"/>
      <c r="N44" s="135"/>
      <c r="O44" s="135"/>
      <c r="P44" s="189"/>
      <c r="Q44" s="135"/>
      <c r="R44" s="135"/>
      <c r="S44" s="135"/>
      <c r="T44" s="135"/>
      <c r="U44" s="135"/>
      <c r="V44" s="189"/>
      <c r="W44" s="135"/>
      <c r="X44" s="135"/>
      <c r="Y44" s="135"/>
      <c r="Z44" s="135"/>
      <c r="AA44" s="135"/>
      <c r="AB44" s="135"/>
      <c r="AC44" s="135"/>
      <c r="AD44" s="135"/>
    </row>
    <row r="45" customFormat="false" ht="15.75" hidden="false" customHeight="true" outlineLevel="0" collapsed="false">
      <c r="A45" s="135"/>
      <c r="B45" s="135"/>
      <c r="C45" s="135"/>
      <c r="D45" s="135"/>
      <c r="E45" s="182"/>
      <c r="F45" s="135"/>
      <c r="G45" s="135"/>
      <c r="H45" s="135"/>
      <c r="I45" s="135"/>
      <c r="J45" s="135"/>
      <c r="K45" s="135"/>
      <c r="L45" s="135"/>
      <c r="M45" s="182"/>
      <c r="N45" s="135"/>
      <c r="O45" s="135"/>
      <c r="P45" s="189"/>
      <c r="Q45" s="135"/>
      <c r="R45" s="135"/>
      <c r="S45" s="135"/>
      <c r="T45" s="135"/>
      <c r="U45" s="135"/>
      <c r="V45" s="189"/>
      <c r="W45" s="135"/>
      <c r="X45" s="135"/>
      <c r="Y45" s="135"/>
      <c r="Z45" s="135"/>
      <c r="AA45" s="135"/>
      <c r="AB45" s="135"/>
      <c r="AC45" s="135"/>
      <c r="AD45" s="135"/>
    </row>
    <row r="46" customFormat="false" ht="15.75" hidden="false" customHeight="true" outlineLevel="0" collapsed="false">
      <c r="A46" s="135"/>
      <c r="B46" s="135"/>
      <c r="C46" s="135"/>
      <c r="D46" s="135"/>
      <c r="E46" s="182"/>
      <c r="F46" s="135"/>
      <c r="G46" s="135"/>
      <c r="H46" s="135"/>
      <c r="I46" s="135"/>
      <c r="J46" s="135"/>
      <c r="K46" s="135"/>
      <c r="L46" s="135"/>
      <c r="M46" s="182"/>
      <c r="N46" s="135"/>
      <c r="O46" s="135"/>
      <c r="P46" s="189"/>
      <c r="Q46" s="135"/>
      <c r="R46" s="135"/>
      <c r="S46" s="135"/>
      <c r="T46" s="135"/>
      <c r="U46" s="135"/>
      <c r="V46" s="189"/>
      <c r="W46" s="135"/>
      <c r="X46" s="135"/>
      <c r="Y46" s="135"/>
      <c r="Z46" s="135"/>
      <c r="AA46" s="135"/>
      <c r="AB46" s="135"/>
      <c r="AC46" s="135"/>
      <c r="AD46" s="135"/>
    </row>
    <row r="47" customFormat="false" ht="15.75" hidden="false" customHeight="true" outlineLevel="0" collapsed="false">
      <c r="A47" s="135"/>
      <c r="B47" s="135"/>
      <c r="C47" s="135"/>
      <c r="D47" s="135"/>
      <c r="E47" s="182"/>
      <c r="F47" s="135"/>
      <c r="G47" s="135"/>
      <c r="H47" s="135"/>
      <c r="I47" s="135"/>
      <c r="J47" s="135"/>
      <c r="K47" s="135"/>
      <c r="L47" s="135"/>
      <c r="M47" s="182"/>
      <c r="N47" s="135"/>
      <c r="O47" s="135"/>
      <c r="P47" s="189"/>
      <c r="Q47" s="135"/>
      <c r="R47" s="135"/>
      <c r="S47" s="135"/>
      <c r="T47" s="135"/>
      <c r="U47" s="135"/>
      <c r="V47" s="189"/>
      <c r="W47" s="135"/>
      <c r="X47" s="135"/>
      <c r="Y47" s="135"/>
      <c r="Z47" s="135"/>
      <c r="AA47" s="135"/>
      <c r="AB47" s="135"/>
      <c r="AC47" s="135"/>
      <c r="AD47" s="135"/>
    </row>
    <row r="48" customFormat="false" ht="15.75" hidden="false" customHeight="true" outlineLevel="0" collapsed="false">
      <c r="A48" s="135"/>
      <c r="B48" s="135"/>
      <c r="C48" s="135"/>
      <c r="D48" s="135"/>
      <c r="E48" s="182"/>
      <c r="F48" s="135"/>
      <c r="G48" s="135"/>
      <c r="H48" s="135"/>
      <c r="I48" s="135"/>
      <c r="J48" s="135"/>
      <c r="K48" s="135"/>
      <c r="L48" s="135"/>
      <c r="M48" s="182"/>
      <c r="N48" s="135"/>
      <c r="O48" s="135"/>
      <c r="P48" s="189"/>
      <c r="Q48" s="135"/>
      <c r="R48" s="135"/>
      <c r="S48" s="135"/>
      <c r="T48" s="135"/>
      <c r="U48" s="135"/>
      <c r="V48" s="189"/>
      <c r="W48" s="135"/>
      <c r="X48" s="135"/>
      <c r="Y48" s="135"/>
      <c r="Z48" s="135"/>
      <c r="AA48" s="135"/>
      <c r="AB48" s="135"/>
      <c r="AC48" s="135"/>
      <c r="AD48" s="135"/>
    </row>
    <row r="49" customFormat="false" ht="15.75" hidden="false" customHeight="true" outlineLevel="0" collapsed="false">
      <c r="A49" s="135"/>
      <c r="B49" s="135"/>
      <c r="C49" s="135"/>
      <c r="D49" s="135"/>
      <c r="E49" s="182"/>
      <c r="F49" s="135"/>
      <c r="G49" s="135"/>
      <c r="H49" s="135"/>
      <c r="I49" s="135"/>
      <c r="J49" s="135"/>
      <c r="K49" s="135"/>
      <c r="L49" s="135"/>
      <c r="M49" s="182"/>
      <c r="N49" s="135"/>
      <c r="O49" s="135"/>
      <c r="P49" s="189"/>
      <c r="Q49" s="135"/>
      <c r="R49" s="135"/>
      <c r="S49" s="135"/>
      <c r="T49" s="135"/>
      <c r="U49" s="135"/>
      <c r="V49" s="189"/>
      <c r="W49" s="135"/>
      <c r="X49" s="135"/>
      <c r="Y49" s="135"/>
      <c r="Z49" s="135"/>
      <c r="AA49" s="135"/>
      <c r="AB49" s="135"/>
      <c r="AC49" s="135"/>
      <c r="AD49" s="135"/>
    </row>
    <row r="50" customFormat="false" ht="15.75" hidden="false" customHeight="true" outlineLevel="0" collapsed="false">
      <c r="A50" s="135"/>
      <c r="B50" s="135"/>
      <c r="C50" s="135"/>
      <c r="D50" s="135"/>
      <c r="E50" s="182"/>
      <c r="F50" s="135"/>
      <c r="G50" s="135"/>
      <c r="H50" s="135"/>
      <c r="I50" s="135"/>
      <c r="J50" s="135"/>
      <c r="K50" s="135"/>
      <c r="L50" s="135"/>
      <c r="M50" s="182"/>
      <c r="N50" s="135"/>
      <c r="O50" s="135"/>
      <c r="P50" s="189"/>
      <c r="Q50" s="135"/>
      <c r="R50" s="135"/>
      <c r="S50" s="135"/>
      <c r="T50" s="135"/>
      <c r="U50" s="135"/>
      <c r="V50" s="189"/>
      <c r="W50" s="135"/>
      <c r="X50" s="135"/>
      <c r="Y50" s="135"/>
      <c r="Z50" s="135"/>
      <c r="AA50" s="135"/>
      <c r="AB50" s="135"/>
      <c r="AC50" s="135"/>
      <c r="AD50" s="135"/>
    </row>
    <row r="51" customFormat="false" ht="15.75" hidden="false" customHeight="true" outlineLevel="0" collapsed="false">
      <c r="A51" s="135"/>
      <c r="B51" s="135"/>
      <c r="C51" s="135"/>
      <c r="D51" s="135"/>
      <c r="E51" s="182"/>
      <c r="F51" s="135"/>
      <c r="G51" s="135"/>
      <c r="H51" s="135"/>
      <c r="I51" s="135"/>
      <c r="J51" s="135"/>
      <c r="K51" s="135"/>
      <c r="L51" s="135"/>
      <c r="M51" s="182"/>
      <c r="N51" s="135"/>
      <c r="O51" s="135"/>
      <c r="P51" s="189"/>
      <c r="Q51" s="135"/>
      <c r="R51" s="135"/>
      <c r="S51" s="135"/>
      <c r="T51" s="135"/>
      <c r="U51" s="135"/>
      <c r="V51" s="189"/>
      <c r="W51" s="135"/>
      <c r="X51" s="135"/>
      <c r="Y51" s="135"/>
      <c r="Z51" s="135"/>
      <c r="AA51" s="135"/>
      <c r="AB51" s="135"/>
      <c r="AC51" s="135"/>
      <c r="AD51" s="135"/>
    </row>
    <row r="52" customFormat="false" ht="15.75" hidden="false" customHeight="true" outlineLevel="0" collapsed="false">
      <c r="A52" s="135"/>
      <c r="B52" s="135"/>
      <c r="C52" s="135"/>
      <c r="D52" s="135"/>
      <c r="E52" s="182"/>
      <c r="F52" s="135"/>
      <c r="G52" s="135"/>
      <c r="H52" s="135"/>
      <c r="I52" s="135"/>
      <c r="J52" s="135"/>
      <c r="K52" s="135"/>
      <c r="L52" s="135"/>
      <c r="M52" s="182"/>
      <c r="N52" s="135"/>
      <c r="O52" s="135"/>
      <c r="P52" s="189"/>
      <c r="Q52" s="135"/>
      <c r="R52" s="135"/>
      <c r="S52" s="135"/>
      <c r="T52" s="135"/>
      <c r="U52" s="135"/>
      <c r="V52" s="189"/>
      <c r="W52" s="135"/>
      <c r="X52" s="135"/>
      <c r="Y52" s="135"/>
      <c r="Z52" s="135"/>
      <c r="AA52" s="135"/>
      <c r="AB52" s="135"/>
      <c r="AC52" s="135"/>
      <c r="AD52" s="135"/>
    </row>
    <row r="53" customFormat="false" ht="15.75" hidden="false" customHeight="true" outlineLevel="0" collapsed="false">
      <c r="A53" s="135"/>
      <c r="B53" s="135"/>
      <c r="C53" s="135"/>
      <c r="D53" s="135"/>
      <c r="E53" s="182"/>
      <c r="F53" s="135"/>
      <c r="G53" s="135"/>
      <c r="H53" s="135"/>
      <c r="I53" s="135"/>
      <c r="J53" s="135"/>
      <c r="K53" s="135"/>
      <c r="L53" s="135"/>
      <c r="M53" s="182"/>
      <c r="N53" s="135"/>
      <c r="O53" s="135"/>
      <c r="P53" s="189"/>
      <c r="Q53" s="135"/>
      <c r="R53" s="135"/>
      <c r="S53" s="135"/>
      <c r="T53" s="135"/>
      <c r="U53" s="135"/>
      <c r="V53" s="189"/>
      <c r="W53" s="135"/>
      <c r="X53" s="135"/>
      <c r="Y53" s="135"/>
      <c r="Z53" s="135"/>
      <c r="AA53" s="135"/>
      <c r="AB53" s="135"/>
      <c r="AC53" s="135"/>
      <c r="AD53" s="135"/>
    </row>
    <row r="54" customFormat="false" ht="15.75" hidden="false" customHeight="true" outlineLevel="0" collapsed="false">
      <c r="A54" s="135"/>
      <c r="B54" s="135"/>
      <c r="C54" s="135"/>
      <c r="D54" s="135"/>
      <c r="E54" s="182"/>
      <c r="F54" s="135"/>
      <c r="G54" s="135"/>
      <c r="H54" s="135"/>
      <c r="I54" s="135"/>
      <c r="J54" s="135"/>
      <c r="K54" s="135"/>
      <c r="L54" s="135"/>
      <c r="M54" s="182"/>
      <c r="N54" s="135"/>
      <c r="O54" s="135"/>
      <c r="P54" s="189"/>
      <c r="Q54" s="135"/>
      <c r="R54" s="135"/>
      <c r="S54" s="135"/>
      <c r="T54" s="135"/>
      <c r="U54" s="135"/>
      <c r="V54" s="189"/>
      <c r="W54" s="135"/>
      <c r="X54" s="135"/>
      <c r="Y54" s="135"/>
      <c r="Z54" s="135"/>
      <c r="AA54" s="135"/>
      <c r="AB54" s="135"/>
      <c r="AC54" s="135"/>
      <c r="AD54" s="135"/>
    </row>
    <row r="55" customFormat="false" ht="15.75" hidden="false" customHeight="true" outlineLevel="0" collapsed="false">
      <c r="A55" s="135"/>
      <c r="B55" s="135"/>
      <c r="C55" s="135"/>
      <c r="D55" s="135"/>
      <c r="E55" s="182"/>
      <c r="F55" s="135"/>
      <c r="G55" s="135"/>
      <c r="H55" s="135"/>
      <c r="I55" s="135"/>
      <c r="J55" s="135"/>
      <c r="K55" s="135"/>
      <c r="L55" s="135"/>
      <c r="M55" s="182"/>
      <c r="N55" s="135"/>
      <c r="O55" s="135"/>
      <c r="P55" s="189"/>
      <c r="Q55" s="135"/>
      <c r="R55" s="135"/>
      <c r="S55" s="135"/>
      <c r="T55" s="135"/>
      <c r="U55" s="135"/>
      <c r="V55" s="189"/>
      <c r="W55" s="135"/>
      <c r="X55" s="135"/>
      <c r="Y55" s="135"/>
      <c r="Z55" s="135"/>
      <c r="AA55" s="135"/>
      <c r="AB55" s="135"/>
      <c r="AC55" s="135"/>
      <c r="AD55" s="135"/>
    </row>
    <row r="56" customFormat="false" ht="15.75" hidden="false" customHeight="true" outlineLevel="0" collapsed="false">
      <c r="A56" s="135"/>
      <c r="B56" s="135"/>
      <c r="C56" s="135"/>
      <c r="D56" s="135"/>
      <c r="E56" s="182"/>
      <c r="F56" s="135"/>
      <c r="G56" s="135"/>
      <c r="H56" s="135"/>
      <c r="I56" s="135"/>
      <c r="J56" s="135"/>
      <c r="K56" s="135"/>
      <c r="L56" s="135"/>
      <c r="M56" s="182"/>
      <c r="N56" s="135"/>
      <c r="O56" s="135"/>
      <c r="P56" s="189"/>
      <c r="Q56" s="135"/>
      <c r="R56" s="135"/>
      <c r="S56" s="135"/>
      <c r="T56" s="135"/>
      <c r="U56" s="135"/>
      <c r="V56" s="189"/>
      <c r="W56" s="135"/>
      <c r="X56" s="135"/>
      <c r="Y56" s="135"/>
      <c r="Z56" s="135"/>
      <c r="AA56" s="135"/>
      <c r="AB56" s="135"/>
      <c r="AC56" s="135"/>
      <c r="AD56" s="135"/>
    </row>
    <row r="57" customFormat="false" ht="15.75" hidden="false" customHeight="true" outlineLevel="0" collapsed="false">
      <c r="A57" s="135"/>
      <c r="B57" s="135"/>
      <c r="C57" s="135"/>
      <c r="D57" s="135"/>
      <c r="E57" s="182"/>
      <c r="F57" s="135"/>
      <c r="G57" s="135"/>
      <c r="H57" s="135"/>
      <c r="I57" s="135"/>
      <c r="J57" s="135"/>
      <c r="K57" s="135"/>
      <c r="L57" s="135"/>
      <c r="M57" s="182"/>
      <c r="N57" s="135"/>
      <c r="O57" s="135"/>
      <c r="P57" s="189"/>
      <c r="Q57" s="135"/>
      <c r="R57" s="135"/>
      <c r="S57" s="135"/>
      <c r="T57" s="135"/>
      <c r="U57" s="135"/>
      <c r="V57" s="189"/>
      <c r="W57" s="135"/>
      <c r="X57" s="135"/>
      <c r="Y57" s="135"/>
      <c r="Z57" s="135"/>
      <c r="AA57" s="135"/>
      <c r="AB57" s="135"/>
      <c r="AC57" s="135"/>
      <c r="AD57" s="135"/>
    </row>
    <row r="58" customFormat="false" ht="15.75" hidden="false" customHeight="true" outlineLevel="0" collapsed="false">
      <c r="A58" s="135"/>
      <c r="B58" s="135"/>
      <c r="C58" s="135"/>
      <c r="D58" s="135"/>
      <c r="E58" s="182"/>
      <c r="F58" s="135"/>
      <c r="G58" s="135"/>
      <c r="H58" s="135"/>
      <c r="I58" s="135"/>
      <c r="J58" s="135"/>
      <c r="K58" s="135"/>
      <c r="L58" s="135"/>
      <c r="M58" s="182"/>
      <c r="N58" s="135"/>
      <c r="O58" s="135"/>
      <c r="P58" s="189"/>
      <c r="Q58" s="135"/>
      <c r="R58" s="135"/>
      <c r="S58" s="135"/>
      <c r="T58" s="135"/>
      <c r="U58" s="135"/>
      <c r="V58" s="189"/>
      <c r="W58" s="135"/>
      <c r="X58" s="135"/>
      <c r="Y58" s="135"/>
      <c r="Z58" s="135"/>
      <c r="AA58" s="135"/>
      <c r="AB58" s="135"/>
      <c r="AC58" s="135"/>
      <c r="AD58" s="135"/>
    </row>
    <row r="59" customFormat="false" ht="15.75" hidden="false" customHeight="true" outlineLevel="0" collapsed="false">
      <c r="A59" s="135"/>
      <c r="B59" s="135"/>
      <c r="C59" s="135"/>
      <c r="D59" s="135"/>
      <c r="E59" s="182"/>
      <c r="F59" s="135"/>
      <c r="G59" s="135"/>
      <c r="H59" s="135"/>
      <c r="I59" s="135"/>
      <c r="J59" s="135"/>
      <c r="K59" s="135"/>
      <c r="L59" s="135"/>
      <c r="M59" s="182"/>
      <c r="N59" s="135"/>
      <c r="O59" s="135"/>
      <c r="P59" s="189"/>
      <c r="Q59" s="135"/>
      <c r="R59" s="135"/>
      <c r="S59" s="135"/>
      <c r="T59" s="135"/>
      <c r="U59" s="135"/>
      <c r="V59" s="189"/>
      <c r="W59" s="135"/>
      <c r="X59" s="135"/>
      <c r="Y59" s="135"/>
      <c r="Z59" s="135"/>
      <c r="AA59" s="135"/>
      <c r="AB59" s="135"/>
      <c r="AC59" s="135"/>
      <c r="AD59" s="135"/>
    </row>
    <row r="60" customFormat="false" ht="15.75" hidden="false" customHeight="true" outlineLevel="0" collapsed="false">
      <c r="A60" s="135"/>
      <c r="B60" s="135"/>
      <c r="C60" s="135"/>
      <c r="D60" s="135"/>
      <c r="E60" s="182"/>
      <c r="F60" s="135"/>
      <c r="G60" s="135"/>
      <c r="H60" s="135"/>
      <c r="I60" s="135"/>
      <c r="J60" s="135"/>
      <c r="K60" s="135"/>
      <c r="L60" s="135"/>
      <c r="M60" s="182"/>
      <c r="N60" s="135"/>
      <c r="O60" s="135"/>
      <c r="P60" s="189"/>
      <c r="Q60" s="135"/>
      <c r="R60" s="135"/>
      <c r="S60" s="135"/>
      <c r="T60" s="135"/>
      <c r="U60" s="135"/>
      <c r="V60" s="189"/>
      <c r="W60" s="135"/>
      <c r="X60" s="135"/>
      <c r="Y60" s="135"/>
      <c r="Z60" s="135"/>
      <c r="AA60" s="135"/>
      <c r="AB60" s="135"/>
      <c r="AC60" s="135"/>
      <c r="AD60" s="135"/>
    </row>
    <row r="61" customFormat="false" ht="15.75" hidden="false" customHeight="true" outlineLevel="0" collapsed="false">
      <c r="A61" s="135"/>
      <c r="B61" s="135"/>
      <c r="C61" s="135"/>
      <c r="D61" s="135"/>
      <c r="E61" s="182"/>
      <c r="F61" s="135"/>
      <c r="G61" s="135"/>
      <c r="H61" s="135"/>
      <c r="I61" s="135"/>
      <c r="J61" s="135"/>
      <c r="K61" s="135"/>
      <c r="L61" s="135"/>
      <c r="M61" s="182"/>
      <c r="N61" s="135"/>
      <c r="O61" s="135"/>
      <c r="P61" s="189"/>
      <c r="Q61" s="135"/>
      <c r="R61" s="135"/>
      <c r="S61" s="135"/>
      <c r="T61" s="135"/>
      <c r="U61" s="135"/>
      <c r="V61" s="189"/>
      <c r="W61" s="135"/>
      <c r="X61" s="135"/>
      <c r="Y61" s="135"/>
      <c r="Z61" s="135"/>
      <c r="AA61" s="135"/>
      <c r="AB61" s="135"/>
      <c r="AC61" s="135"/>
      <c r="AD61" s="135"/>
    </row>
    <row r="62" customFormat="false" ht="15.75" hidden="false" customHeight="true" outlineLevel="0" collapsed="false">
      <c r="A62" s="135"/>
      <c r="B62" s="135"/>
      <c r="C62" s="135"/>
      <c r="D62" s="135"/>
      <c r="E62" s="182"/>
      <c r="F62" s="135"/>
      <c r="G62" s="135"/>
      <c r="H62" s="135"/>
      <c r="I62" s="135"/>
      <c r="J62" s="135"/>
      <c r="K62" s="135"/>
      <c r="L62" s="135"/>
      <c r="M62" s="182"/>
      <c r="N62" s="135"/>
      <c r="O62" s="135"/>
      <c r="P62" s="189"/>
      <c r="Q62" s="135"/>
      <c r="R62" s="135"/>
      <c r="S62" s="135"/>
      <c r="T62" s="135"/>
      <c r="U62" s="135"/>
      <c r="V62" s="189"/>
      <c r="W62" s="135"/>
      <c r="X62" s="135"/>
      <c r="Y62" s="135"/>
      <c r="Z62" s="135"/>
      <c r="AA62" s="135"/>
      <c r="AB62" s="135"/>
      <c r="AC62" s="135"/>
      <c r="AD62" s="135"/>
    </row>
    <row r="63" customFormat="false" ht="15.75" hidden="false" customHeight="true" outlineLevel="0" collapsed="false">
      <c r="A63" s="135"/>
      <c r="B63" s="135"/>
      <c r="C63" s="135"/>
      <c r="D63" s="135"/>
      <c r="E63" s="182"/>
      <c r="F63" s="135"/>
      <c r="G63" s="135"/>
      <c r="H63" s="135"/>
      <c r="I63" s="135"/>
      <c r="J63" s="135"/>
      <c r="K63" s="135"/>
      <c r="L63" s="135"/>
      <c r="M63" s="182"/>
      <c r="N63" s="135"/>
      <c r="O63" s="135"/>
      <c r="P63" s="189"/>
      <c r="Q63" s="135"/>
      <c r="R63" s="135"/>
      <c r="S63" s="135"/>
      <c r="T63" s="135"/>
      <c r="U63" s="135"/>
      <c r="V63" s="189"/>
      <c r="W63" s="135"/>
      <c r="X63" s="135"/>
      <c r="Y63" s="135"/>
      <c r="Z63" s="135"/>
      <c r="AA63" s="135"/>
      <c r="AB63" s="135"/>
      <c r="AC63" s="135"/>
      <c r="AD63" s="135"/>
    </row>
    <row r="64" customFormat="false" ht="15.75" hidden="false" customHeight="true" outlineLevel="0" collapsed="false">
      <c r="A64" s="135"/>
      <c r="B64" s="135"/>
      <c r="C64" s="135"/>
      <c r="D64" s="135"/>
      <c r="E64" s="182"/>
      <c r="F64" s="135"/>
      <c r="G64" s="135"/>
      <c r="H64" s="135"/>
      <c r="I64" s="135"/>
      <c r="J64" s="135"/>
      <c r="K64" s="135"/>
      <c r="L64" s="135"/>
      <c r="M64" s="182"/>
      <c r="N64" s="135"/>
      <c r="O64" s="135"/>
      <c r="P64" s="189"/>
      <c r="Q64" s="135"/>
      <c r="R64" s="135"/>
      <c r="S64" s="135"/>
      <c r="T64" s="135"/>
      <c r="U64" s="135"/>
      <c r="V64" s="189"/>
      <c r="W64" s="135"/>
      <c r="X64" s="135"/>
      <c r="Y64" s="135"/>
      <c r="Z64" s="135"/>
      <c r="AA64" s="135"/>
      <c r="AB64" s="135"/>
      <c r="AC64" s="135"/>
      <c r="AD64" s="135"/>
    </row>
    <row r="65" customFormat="false" ht="15.75" hidden="false" customHeight="true" outlineLevel="0" collapsed="false">
      <c r="A65" s="135"/>
      <c r="B65" s="135"/>
      <c r="C65" s="135"/>
      <c r="D65" s="135"/>
      <c r="E65" s="182"/>
      <c r="F65" s="135"/>
      <c r="G65" s="135"/>
      <c r="H65" s="135"/>
      <c r="I65" s="135"/>
      <c r="J65" s="135"/>
      <c r="K65" s="135"/>
      <c r="L65" s="135"/>
      <c r="M65" s="182"/>
      <c r="N65" s="135"/>
      <c r="O65" s="135"/>
      <c r="P65" s="189"/>
      <c r="Q65" s="135"/>
      <c r="R65" s="135"/>
      <c r="S65" s="135"/>
      <c r="T65" s="135"/>
      <c r="U65" s="135"/>
      <c r="V65" s="189"/>
      <c r="W65" s="135"/>
      <c r="X65" s="135"/>
      <c r="Y65" s="135"/>
      <c r="Z65" s="135"/>
      <c r="AA65" s="135"/>
      <c r="AB65" s="135"/>
      <c r="AC65" s="135"/>
      <c r="AD65" s="135"/>
    </row>
    <row r="66" customFormat="false" ht="15.75" hidden="false" customHeight="true" outlineLevel="0" collapsed="false">
      <c r="A66" s="135"/>
      <c r="B66" s="135"/>
      <c r="C66" s="135"/>
      <c r="D66" s="135"/>
      <c r="E66" s="182"/>
      <c r="F66" s="135"/>
      <c r="G66" s="135"/>
      <c r="H66" s="135"/>
      <c r="I66" s="135"/>
      <c r="J66" s="135"/>
      <c r="K66" s="135"/>
      <c r="L66" s="135"/>
      <c r="M66" s="182"/>
      <c r="N66" s="135"/>
      <c r="O66" s="135"/>
      <c r="P66" s="189"/>
      <c r="Q66" s="135"/>
      <c r="R66" s="135"/>
      <c r="S66" s="135"/>
      <c r="T66" s="135"/>
      <c r="U66" s="135"/>
      <c r="V66" s="189"/>
      <c r="W66" s="135"/>
      <c r="X66" s="135"/>
      <c r="Y66" s="135"/>
      <c r="Z66" s="135"/>
      <c r="AA66" s="135"/>
      <c r="AB66" s="135"/>
      <c r="AC66" s="135"/>
      <c r="AD66" s="135"/>
    </row>
    <row r="67" customFormat="false" ht="15.75" hidden="false" customHeight="true" outlineLevel="0" collapsed="false">
      <c r="A67" s="135"/>
      <c r="B67" s="135"/>
      <c r="C67" s="135"/>
      <c r="D67" s="135"/>
      <c r="E67" s="182"/>
      <c r="F67" s="135"/>
      <c r="G67" s="135"/>
      <c r="H67" s="135"/>
      <c r="I67" s="135"/>
      <c r="J67" s="135"/>
      <c r="K67" s="135"/>
      <c r="L67" s="135"/>
      <c r="M67" s="182"/>
      <c r="N67" s="135"/>
      <c r="O67" s="135"/>
      <c r="P67" s="189"/>
      <c r="Q67" s="135"/>
      <c r="R67" s="135"/>
      <c r="S67" s="135"/>
      <c r="T67" s="135"/>
      <c r="U67" s="135"/>
      <c r="V67" s="189"/>
      <c r="W67" s="135"/>
      <c r="X67" s="135"/>
      <c r="Y67" s="135"/>
      <c r="Z67" s="135"/>
      <c r="AA67" s="135"/>
      <c r="AB67" s="135"/>
      <c r="AC67" s="135"/>
      <c r="AD67" s="135"/>
    </row>
    <row r="68" customFormat="false" ht="15.75" hidden="false" customHeight="true" outlineLevel="0" collapsed="false">
      <c r="A68" s="135"/>
      <c r="B68" s="135"/>
      <c r="C68" s="135"/>
      <c r="D68" s="135"/>
      <c r="E68" s="182"/>
      <c r="F68" s="135"/>
      <c r="G68" s="135"/>
      <c r="H68" s="135"/>
      <c r="I68" s="135"/>
      <c r="J68" s="135"/>
      <c r="K68" s="135"/>
      <c r="L68" s="135"/>
      <c r="M68" s="182"/>
      <c r="N68" s="135"/>
      <c r="O68" s="135"/>
      <c r="P68" s="189"/>
      <c r="Q68" s="135"/>
      <c r="R68" s="135"/>
      <c r="S68" s="135"/>
      <c r="T68" s="135"/>
      <c r="U68" s="135"/>
      <c r="V68" s="189"/>
      <c r="W68" s="135"/>
      <c r="X68" s="135"/>
      <c r="Y68" s="135"/>
      <c r="Z68" s="135"/>
      <c r="AA68" s="135"/>
      <c r="AB68" s="135"/>
      <c r="AC68" s="135"/>
      <c r="AD68" s="135"/>
    </row>
    <row r="69" customFormat="false" ht="15.75" hidden="false" customHeight="true" outlineLevel="0" collapsed="false">
      <c r="A69" s="135"/>
      <c r="B69" s="135"/>
      <c r="C69" s="135"/>
      <c r="D69" s="135"/>
      <c r="E69" s="182"/>
      <c r="F69" s="135"/>
      <c r="G69" s="135"/>
      <c r="H69" s="135"/>
      <c r="I69" s="135"/>
      <c r="J69" s="135"/>
      <c r="K69" s="135"/>
      <c r="L69" s="135"/>
      <c r="M69" s="182"/>
      <c r="N69" s="135"/>
      <c r="O69" s="135"/>
      <c r="P69" s="189"/>
      <c r="Q69" s="135"/>
      <c r="R69" s="135"/>
      <c r="S69" s="135"/>
      <c r="T69" s="135"/>
      <c r="U69" s="135"/>
      <c r="V69" s="189"/>
      <c r="W69" s="135"/>
      <c r="X69" s="135"/>
      <c r="Y69" s="135"/>
      <c r="Z69" s="135"/>
      <c r="AA69" s="135"/>
      <c r="AB69" s="135"/>
      <c r="AC69" s="135"/>
      <c r="AD69" s="135"/>
    </row>
    <row r="70" customFormat="false" ht="15.75" hidden="false" customHeight="true" outlineLevel="0" collapsed="false">
      <c r="A70" s="135"/>
      <c r="B70" s="135"/>
      <c r="C70" s="135"/>
      <c r="D70" s="135"/>
      <c r="E70" s="182"/>
      <c r="F70" s="135"/>
      <c r="G70" s="135"/>
      <c r="H70" s="135"/>
      <c r="I70" s="135"/>
      <c r="J70" s="135"/>
      <c r="K70" s="135"/>
      <c r="L70" s="135"/>
      <c r="M70" s="182"/>
      <c r="N70" s="135"/>
      <c r="O70" s="135"/>
      <c r="P70" s="189"/>
      <c r="Q70" s="135"/>
      <c r="R70" s="135"/>
      <c r="S70" s="135"/>
      <c r="T70" s="135"/>
      <c r="U70" s="135"/>
      <c r="V70" s="189"/>
      <c r="W70" s="135"/>
      <c r="X70" s="135"/>
      <c r="Y70" s="135"/>
      <c r="Z70" s="135"/>
      <c r="AA70" s="135"/>
      <c r="AB70" s="135"/>
      <c r="AC70" s="135"/>
      <c r="AD70" s="135"/>
    </row>
    <row r="71" customFormat="false" ht="15.75" hidden="false" customHeight="true" outlineLevel="0" collapsed="false">
      <c r="A71" s="135"/>
      <c r="B71" s="135"/>
      <c r="C71" s="135"/>
      <c r="D71" s="135"/>
      <c r="E71" s="182"/>
      <c r="F71" s="135"/>
      <c r="G71" s="135"/>
      <c r="H71" s="135"/>
      <c r="I71" s="135"/>
      <c r="J71" s="135"/>
      <c r="K71" s="135"/>
      <c r="L71" s="135"/>
      <c r="M71" s="182"/>
      <c r="N71" s="135"/>
      <c r="O71" s="135"/>
      <c r="P71" s="189"/>
      <c r="Q71" s="135"/>
      <c r="R71" s="135"/>
      <c r="S71" s="135"/>
      <c r="T71" s="135"/>
      <c r="U71" s="135"/>
      <c r="V71" s="189"/>
      <c r="W71" s="135"/>
      <c r="X71" s="135"/>
      <c r="Y71" s="135"/>
      <c r="Z71" s="135"/>
      <c r="AA71" s="135"/>
      <c r="AB71" s="135"/>
      <c r="AC71" s="135"/>
      <c r="AD71" s="135"/>
    </row>
    <row r="72" customFormat="false" ht="15.75" hidden="false" customHeight="true" outlineLevel="0" collapsed="false">
      <c r="A72" s="135"/>
      <c r="B72" s="135"/>
      <c r="C72" s="135"/>
      <c r="D72" s="135"/>
      <c r="E72" s="182"/>
      <c r="F72" s="135"/>
      <c r="G72" s="135"/>
      <c r="H72" s="135"/>
      <c r="I72" s="135"/>
      <c r="J72" s="135"/>
      <c r="K72" s="135"/>
      <c r="L72" s="135"/>
      <c r="M72" s="182"/>
      <c r="N72" s="135"/>
      <c r="O72" s="135"/>
      <c r="P72" s="189"/>
      <c r="Q72" s="135"/>
      <c r="R72" s="135"/>
      <c r="S72" s="135"/>
      <c r="T72" s="135"/>
      <c r="U72" s="135"/>
      <c r="V72" s="189"/>
      <c r="W72" s="135"/>
      <c r="X72" s="135"/>
      <c r="Y72" s="135"/>
      <c r="Z72" s="135"/>
      <c r="AA72" s="135"/>
      <c r="AB72" s="135"/>
      <c r="AC72" s="135"/>
      <c r="AD72" s="135"/>
    </row>
    <row r="73" customFormat="false" ht="15.75" hidden="false" customHeight="true" outlineLevel="0" collapsed="false">
      <c r="A73" s="135"/>
      <c r="B73" s="135"/>
      <c r="C73" s="135"/>
      <c r="D73" s="135"/>
      <c r="E73" s="182"/>
      <c r="F73" s="135"/>
      <c r="G73" s="135"/>
      <c r="H73" s="135"/>
      <c r="I73" s="135"/>
      <c r="J73" s="135"/>
      <c r="K73" s="135"/>
      <c r="L73" s="135"/>
      <c r="M73" s="182"/>
      <c r="N73" s="135"/>
      <c r="O73" s="135"/>
      <c r="P73" s="189"/>
      <c r="Q73" s="135"/>
      <c r="R73" s="135"/>
      <c r="S73" s="135"/>
      <c r="T73" s="135"/>
      <c r="U73" s="135"/>
      <c r="V73" s="189"/>
      <c r="W73" s="135"/>
      <c r="X73" s="135"/>
      <c r="Y73" s="135"/>
      <c r="Z73" s="135"/>
      <c r="AA73" s="135"/>
      <c r="AB73" s="135"/>
      <c r="AC73" s="135"/>
      <c r="AD73" s="135"/>
    </row>
    <row r="74" customFormat="false" ht="15.75" hidden="false" customHeight="true" outlineLevel="0" collapsed="false">
      <c r="A74" s="135"/>
      <c r="B74" s="135"/>
      <c r="C74" s="135"/>
      <c r="D74" s="135"/>
      <c r="E74" s="182"/>
      <c r="F74" s="135"/>
      <c r="G74" s="135"/>
      <c r="H74" s="135"/>
      <c r="I74" s="135"/>
      <c r="J74" s="135"/>
      <c r="K74" s="135"/>
      <c r="L74" s="135"/>
      <c r="M74" s="182"/>
      <c r="N74" s="135"/>
      <c r="O74" s="135"/>
      <c r="P74" s="189"/>
      <c r="Q74" s="135"/>
      <c r="R74" s="135"/>
      <c r="S74" s="135"/>
      <c r="T74" s="135"/>
      <c r="U74" s="135"/>
      <c r="V74" s="189"/>
      <c r="W74" s="135"/>
      <c r="X74" s="135"/>
      <c r="Y74" s="135"/>
      <c r="Z74" s="135"/>
      <c r="AA74" s="135"/>
      <c r="AB74" s="135"/>
      <c r="AC74" s="135"/>
      <c r="AD74" s="135"/>
    </row>
    <row r="75" customFormat="false" ht="15.75" hidden="false" customHeight="true" outlineLevel="0" collapsed="false">
      <c r="A75" s="135"/>
      <c r="B75" s="135"/>
      <c r="C75" s="135"/>
      <c r="D75" s="135"/>
      <c r="E75" s="182"/>
      <c r="F75" s="135"/>
      <c r="G75" s="135"/>
      <c r="H75" s="135"/>
      <c r="I75" s="135"/>
      <c r="J75" s="135"/>
      <c r="K75" s="135"/>
      <c r="L75" s="135"/>
      <c r="M75" s="182"/>
      <c r="N75" s="135"/>
      <c r="O75" s="135"/>
      <c r="P75" s="189"/>
      <c r="Q75" s="135"/>
      <c r="R75" s="135"/>
      <c r="S75" s="135"/>
      <c r="T75" s="135"/>
      <c r="U75" s="135"/>
      <c r="V75" s="189"/>
      <c r="W75" s="135"/>
      <c r="X75" s="135"/>
      <c r="Y75" s="135"/>
      <c r="Z75" s="135"/>
      <c r="AA75" s="135"/>
      <c r="AB75" s="135"/>
      <c r="AC75" s="135"/>
      <c r="AD75" s="135"/>
    </row>
    <row r="76" customFormat="false" ht="15.75" hidden="false" customHeight="true" outlineLevel="0" collapsed="false">
      <c r="A76" s="135"/>
      <c r="B76" s="135"/>
      <c r="C76" s="135"/>
      <c r="D76" s="135"/>
      <c r="E76" s="182"/>
      <c r="F76" s="135"/>
      <c r="G76" s="135"/>
      <c r="H76" s="135"/>
      <c r="I76" s="135"/>
      <c r="J76" s="135"/>
      <c r="K76" s="135"/>
      <c r="L76" s="135"/>
      <c r="M76" s="182"/>
      <c r="N76" s="135"/>
      <c r="O76" s="135"/>
      <c r="P76" s="189"/>
      <c r="Q76" s="135"/>
      <c r="R76" s="135"/>
      <c r="S76" s="135"/>
      <c r="T76" s="135"/>
      <c r="U76" s="135"/>
      <c r="V76" s="189"/>
      <c r="W76" s="135"/>
      <c r="X76" s="135"/>
      <c r="Y76" s="135"/>
      <c r="Z76" s="135"/>
      <c r="AA76" s="135"/>
      <c r="AB76" s="135"/>
      <c r="AC76" s="135"/>
      <c r="AD76" s="135"/>
    </row>
    <row r="77" customFormat="false" ht="15.75" hidden="false" customHeight="true" outlineLevel="0" collapsed="false">
      <c r="A77" s="135"/>
      <c r="B77" s="135"/>
      <c r="C77" s="135"/>
      <c r="D77" s="135"/>
      <c r="E77" s="182"/>
      <c r="F77" s="135"/>
      <c r="G77" s="135"/>
      <c r="H77" s="135"/>
      <c r="I77" s="135"/>
      <c r="J77" s="135"/>
      <c r="K77" s="135"/>
      <c r="L77" s="135"/>
      <c r="M77" s="182"/>
      <c r="N77" s="135"/>
      <c r="O77" s="135"/>
      <c r="P77" s="189"/>
      <c r="Q77" s="135"/>
      <c r="R77" s="135"/>
      <c r="S77" s="135"/>
      <c r="T77" s="135"/>
      <c r="U77" s="135"/>
      <c r="V77" s="189"/>
      <c r="W77" s="135"/>
      <c r="X77" s="135"/>
      <c r="Y77" s="135"/>
      <c r="Z77" s="135"/>
      <c r="AA77" s="135"/>
      <c r="AB77" s="135"/>
      <c r="AC77" s="135"/>
      <c r="AD77" s="135"/>
    </row>
    <row r="78" customFormat="false" ht="15.75" hidden="false" customHeight="true" outlineLevel="0" collapsed="false">
      <c r="A78" s="135"/>
      <c r="B78" s="135"/>
      <c r="C78" s="135"/>
      <c r="D78" s="135"/>
      <c r="E78" s="182"/>
      <c r="F78" s="135"/>
      <c r="G78" s="135"/>
      <c r="H78" s="135"/>
      <c r="I78" s="135"/>
      <c r="J78" s="135"/>
      <c r="K78" s="135"/>
      <c r="L78" s="135"/>
      <c r="M78" s="182"/>
      <c r="N78" s="135"/>
      <c r="O78" s="135"/>
      <c r="P78" s="189"/>
      <c r="Q78" s="135"/>
      <c r="R78" s="135"/>
      <c r="S78" s="135"/>
      <c r="T78" s="135"/>
      <c r="U78" s="135"/>
      <c r="V78" s="189"/>
      <c r="W78" s="135"/>
      <c r="X78" s="135"/>
      <c r="Y78" s="135"/>
      <c r="Z78" s="135"/>
      <c r="AA78" s="135"/>
      <c r="AB78" s="135"/>
      <c r="AC78" s="135"/>
      <c r="AD78" s="135"/>
    </row>
    <row r="79" customFormat="false" ht="15.75" hidden="false" customHeight="true" outlineLevel="0" collapsed="false">
      <c r="A79" s="135"/>
      <c r="B79" s="135"/>
      <c r="C79" s="135"/>
      <c r="D79" s="135"/>
      <c r="E79" s="182"/>
      <c r="F79" s="135"/>
      <c r="G79" s="135"/>
      <c r="H79" s="135"/>
      <c r="I79" s="135"/>
      <c r="J79" s="135"/>
      <c r="K79" s="135"/>
      <c r="L79" s="135"/>
      <c r="M79" s="182"/>
      <c r="N79" s="135"/>
      <c r="O79" s="135"/>
      <c r="P79" s="189"/>
      <c r="Q79" s="135"/>
      <c r="R79" s="135"/>
      <c r="S79" s="135"/>
      <c r="T79" s="135"/>
      <c r="U79" s="135"/>
      <c r="V79" s="189"/>
      <c r="W79" s="135"/>
      <c r="X79" s="135"/>
      <c r="Y79" s="135"/>
      <c r="Z79" s="135"/>
      <c r="AA79" s="135"/>
      <c r="AB79" s="135"/>
      <c r="AC79" s="135"/>
      <c r="AD79" s="135"/>
    </row>
    <row r="80" customFormat="false" ht="15.75" hidden="false" customHeight="true" outlineLevel="0" collapsed="false">
      <c r="A80" s="135"/>
      <c r="B80" s="135"/>
      <c r="C80" s="135"/>
      <c r="D80" s="135"/>
      <c r="E80" s="182"/>
      <c r="F80" s="135"/>
      <c r="G80" s="135"/>
      <c r="H80" s="135"/>
      <c r="I80" s="135"/>
      <c r="J80" s="135"/>
      <c r="K80" s="135"/>
      <c r="L80" s="135"/>
      <c r="M80" s="182"/>
      <c r="N80" s="135"/>
      <c r="O80" s="135"/>
      <c r="P80" s="189"/>
      <c r="Q80" s="135"/>
      <c r="R80" s="135"/>
      <c r="S80" s="135"/>
      <c r="T80" s="135"/>
      <c r="U80" s="135"/>
      <c r="V80" s="189"/>
      <c r="W80" s="135"/>
      <c r="X80" s="135"/>
      <c r="Y80" s="135"/>
      <c r="Z80" s="135"/>
      <c r="AA80" s="135"/>
      <c r="AB80" s="135"/>
      <c r="AC80" s="135"/>
      <c r="AD80" s="135"/>
    </row>
    <row r="81" customFormat="false" ht="15.75" hidden="false" customHeight="true" outlineLevel="0" collapsed="false">
      <c r="A81" s="135"/>
      <c r="B81" s="135"/>
      <c r="C81" s="135"/>
      <c r="D81" s="135"/>
      <c r="E81" s="182"/>
      <c r="F81" s="135"/>
      <c r="G81" s="135"/>
      <c r="H81" s="135"/>
      <c r="I81" s="135"/>
      <c r="J81" s="135"/>
      <c r="K81" s="135"/>
      <c r="L81" s="135"/>
      <c r="M81" s="182"/>
      <c r="N81" s="135"/>
      <c r="O81" s="135"/>
      <c r="P81" s="189"/>
      <c r="Q81" s="135"/>
      <c r="R81" s="135"/>
      <c r="S81" s="135"/>
      <c r="T81" s="135"/>
      <c r="U81" s="135"/>
      <c r="V81" s="189"/>
      <c r="W81" s="135"/>
      <c r="X81" s="135"/>
      <c r="Y81" s="135"/>
      <c r="Z81" s="135"/>
      <c r="AA81" s="135"/>
      <c r="AB81" s="135"/>
      <c r="AC81" s="135"/>
      <c r="AD81" s="135"/>
    </row>
    <row r="82" customFormat="false" ht="15.75" hidden="false" customHeight="true" outlineLevel="0" collapsed="false">
      <c r="A82" s="135"/>
      <c r="B82" s="135"/>
      <c r="C82" s="135"/>
      <c r="D82" s="135"/>
      <c r="E82" s="182"/>
      <c r="F82" s="135"/>
      <c r="G82" s="135"/>
      <c r="H82" s="135"/>
      <c r="I82" s="135"/>
      <c r="J82" s="135"/>
      <c r="K82" s="135"/>
      <c r="L82" s="135"/>
      <c r="M82" s="182"/>
      <c r="N82" s="135"/>
      <c r="O82" s="135"/>
      <c r="P82" s="189"/>
      <c r="Q82" s="135"/>
      <c r="R82" s="135"/>
      <c r="S82" s="135"/>
      <c r="T82" s="135"/>
      <c r="U82" s="135"/>
      <c r="V82" s="189"/>
      <c r="W82" s="135"/>
      <c r="X82" s="135"/>
      <c r="Y82" s="135"/>
      <c r="Z82" s="135"/>
      <c r="AA82" s="135"/>
      <c r="AB82" s="135"/>
      <c r="AC82" s="135"/>
      <c r="AD82" s="135"/>
    </row>
    <row r="83" customFormat="false" ht="15.75" hidden="false" customHeight="true" outlineLevel="0" collapsed="false">
      <c r="A83" s="135"/>
      <c r="B83" s="135"/>
      <c r="C83" s="135"/>
      <c r="D83" s="135"/>
      <c r="E83" s="182"/>
      <c r="F83" s="135"/>
      <c r="G83" s="135"/>
      <c r="H83" s="135"/>
      <c r="I83" s="135"/>
      <c r="J83" s="135"/>
      <c r="K83" s="135"/>
      <c r="L83" s="135"/>
      <c r="M83" s="182"/>
      <c r="N83" s="135"/>
      <c r="O83" s="135"/>
      <c r="P83" s="189"/>
      <c r="Q83" s="135"/>
      <c r="R83" s="135"/>
      <c r="S83" s="135"/>
      <c r="T83" s="135"/>
      <c r="U83" s="135"/>
      <c r="V83" s="189"/>
      <c r="W83" s="135"/>
      <c r="X83" s="135"/>
      <c r="Y83" s="135"/>
      <c r="Z83" s="135"/>
      <c r="AA83" s="135"/>
      <c r="AB83" s="135"/>
      <c r="AC83" s="135"/>
      <c r="AD83" s="135"/>
    </row>
    <row r="84" customFormat="false" ht="15.75" hidden="false" customHeight="true" outlineLevel="0" collapsed="false">
      <c r="A84" s="135"/>
      <c r="B84" s="135"/>
      <c r="C84" s="135"/>
      <c r="D84" s="135"/>
      <c r="E84" s="182"/>
      <c r="F84" s="135"/>
      <c r="G84" s="135"/>
      <c r="H84" s="135"/>
      <c r="I84" s="135"/>
      <c r="J84" s="135"/>
      <c r="K84" s="135"/>
      <c r="L84" s="135"/>
      <c r="M84" s="182"/>
      <c r="N84" s="135"/>
      <c r="O84" s="135"/>
      <c r="P84" s="189"/>
      <c r="Q84" s="135"/>
      <c r="R84" s="135"/>
      <c r="S84" s="135"/>
      <c r="T84" s="135"/>
      <c r="U84" s="135"/>
      <c r="V84" s="189"/>
      <c r="W84" s="135"/>
      <c r="X84" s="135"/>
      <c r="Y84" s="135"/>
      <c r="Z84" s="135"/>
      <c r="AA84" s="135"/>
      <c r="AB84" s="135"/>
      <c r="AC84" s="135"/>
      <c r="AD84" s="135"/>
    </row>
    <row r="85" customFormat="false" ht="15.75" hidden="false" customHeight="true" outlineLevel="0" collapsed="false">
      <c r="A85" s="135"/>
      <c r="B85" s="135"/>
      <c r="C85" s="135"/>
      <c r="D85" s="135"/>
      <c r="E85" s="182"/>
      <c r="F85" s="135"/>
      <c r="G85" s="135"/>
      <c r="H85" s="135"/>
      <c r="I85" s="135"/>
      <c r="J85" s="135"/>
      <c r="K85" s="135"/>
      <c r="L85" s="135"/>
      <c r="M85" s="182"/>
      <c r="N85" s="135"/>
      <c r="O85" s="135"/>
      <c r="P85" s="189"/>
      <c r="Q85" s="135"/>
      <c r="R85" s="135"/>
      <c r="S85" s="135"/>
      <c r="T85" s="135"/>
      <c r="U85" s="135"/>
      <c r="V85" s="189"/>
      <c r="W85" s="135"/>
      <c r="X85" s="135"/>
      <c r="Y85" s="135"/>
      <c r="Z85" s="135"/>
      <c r="AA85" s="135"/>
      <c r="AB85" s="135"/>
      <c r="AC85" s="135"/>
      <c r="AD85" s="135"/>
    </row>
    <row r="86" customFormat="false" ht="15.75" hidden="false" customHeight="true" outlineLevel="0" collapsed="false">
      <c r="A86" s="135"/>
      <c r="B86" s="135"/>
      <c r="C86" s="135"/>
      <c r="D86" s="135"/>
      <c r="E86" s="182"/>
      <c r="F86" s="135"/>
      <c r="G86" s="135"/>
      <c r="H86" s="135"/>
      <c r="I86" s="135"/>
      <c r="J86" s="135"/>
      <c r="K86" s="135"/>
      <c r="L86" s="135"/>
      <c r="M86" s="182"/>
      <c r="N86" s="135"/>
      <c r="O86" s="135"/>
      <c r="P86" s="189"/>
      <c r="Q86" s="135"/>
      <c r="R86" s="135"/>
      <c r="S86" s="135"/>
      <c r="T86" s="135"/>
      <c r="U86" s="135"/>
      <c r="V86" s="189"/>
      <c r="W86" s="135"/>
      <c r="X86" s="135"/>
      <c r="Y86" s="135"/>
      <c r="Z86" s="135"/>
      <c r="AA86" s="135"/>
      <c r="AB86" s="135"/>
      <c r="AC86" s="135"/>
      <c r="AD86" s="135"/>
    </row>
    <row r="87" customFormat="false" ht="15.75" hidden="false" customHeight="true" outlineLevel="0" collapsed="false">
      <c r="A87" s="135"/>
      <c r="B87" s="135"/>
      <c r="C87" s="135"/>
      <c r="D87" s="135"/>
      <c r="E87" s="182"/>
      <c r="F87" s="135"/>
      <c r="G87" s="135"/>
      <c r="H87" s="135"/>
      <c r="I87" s="135"/>
      <c r="J87" s="135"/>
      <c r="K87" s="135"/>
      <c r="L87" s="135"/>
      <c r="M87" s="182"/>
      <c r="N87" s="135"/>
      <c r="O87" s="135"/>
      <c r="P87" s="189"/>
      <c r="Q87" s="135"/>
      <c r="R87" s="135"/>
      <c r="S87" s="135"/>
      <c r="T87" s="135"/>
      <c r="U87" s="135"/>
      <c r="V87" s="189"/>
      <c r="W87" s="135"/>
      <c r="X87" s="135"/>
      <c r="Y87" s="135"/>
      <c r="Z87" s="135"/>
      <c r="AA87" s="135"/>
      <c r="AB87" s="135"/>
      <c r="AC87" s="135"/>
      <c r="AD87" s="135"/>
    </row>
    <row r="88" customFormat="false" ht="15.75" hidden="false" customHeight="true" outlineLevel="0" collapsed="false">
      <c r="A88" s="135"/>
      <c r="B88" s="135"/>
      <c r="C88" s="135"/>
      <c r="D88" s="135"/>
      <c r="E88" s="182"/>
      <c r="F88" s="135"/>
      <c r="G88" s="135"/>
      <c r="H88" s="135"/>
      <c r="I88" s="135"/>
      <c r="J88" s="135"/>
      <c r="K88" s="135"/>
      <c r="L88" s="135"/>
      <c r="M88" s="182"/>
      <c r="N88" s="135"/>
      <c r="O88" s="135"/>
      <c r="P88" s="189"/>
      <c r="Q88" s="135"/>
      <c r="R88" s="135"/>
      <c r="S88" s="135"/>
      <c r="T88" s="135"/>
      <c r="U88" s="135"/>
      <c r="V88" s="189"/>
      <c r="W88" s="135"/>
      <c r="X88" s="135"/>
      <c r="Y88" s="135"/>
      <c r="Z88" s="135"/>
      <c r="AA88" s="135"/>
      <c r="AB88" s="135"/>
      <c r="AC88" s="135"/>
      <c r="AD88" s="135"/>
    </row>
    <row r="89" customFormat="false" ht="15.75" hidden="false" customHeight="true" outlineLevel="0" collapsed="false">
      <c r="A89" s="135"/>
      <c r="B89" s="135"/>
      <c r="C89" s="135"/>
      <c r="D89" s="135"/>
      <c r="E89" s="182"/>
      <c r="F89" s="135"/>
      <c r="G89" s="135"/>
      <c r="H89" s="135"/>
      <c r="I89" s="135"/>
      <c r="J89" s="135"/>
      <c r="K89" s="135"/>
      <c r="L89" s="135"/>
      <c r="M89" s="182"/>
      <c r="N89" s="135"/>
      <c r="O89" s="135"/>
      <c r="P89" s="189"/>
      <c r="Q89" s="135"/>
      <c r="R89" s="135"/>
      <c r="S89" s="135"/>
      <c r="T89" s="135"/>
      <c r="U89" s="135"/>
      <c r="V89" s="189"/>
      <c r="W89" s="135"/>
      <c r="X89" s="135"/>
      <c r="Y89" s="135"/>
      <c r="Z89" s="135"/>
      <c r="AA89" s="135"/>
      <c r="AB89" s="135"/>
      <c r="AC89" s="135"/>
      <c r="AD89" s="135"/>
    </row>
    <row r="90" customFormat="false" ht="15.75" hidden="false" customHeight="true" outlineLevel="0" collapsed="false">
      <c r="A90" s="135"/>
      <c r="B90" s="135"/>
      <c r="C90" s="135"/>
      <c r="D90" s="135"/>
      <c r="E90" s="182"/>
      <c r="F90" s="135"/>
      <c r="G90" s="135"/>
      <c r="H90" s="135"/>
      <c r="I90" s="135"/>
      <c r="J90" s="135"/>
      <c r="K90" s="135"/>
      <c r="L90" s="135"/>
      <c r="M90" s="182"/>
      <c r="N90" s="135"/>
      <c r="O90" s="135"/>
      <c r="P90" s="189"/>
      <c r="Q90" s="135"/>
      <c r="R90" s="135"/>
      <c r="S90" s="135"/>
      <c r="T90" s="135"/>
      <c r="U90" s="135"/>
      <c r="V90" s="189"/>
      <c r="W90" s="135"/>
      <c r="X90" s="135"/>
      <c r="Y90" s="135"/>
      <c r="Z90" s="135"/>
      <c r="AA90" s="135"/>
      <c r="AB90" s="135"/>
      <c r="AC90" s="135"/>
      <c r="AD90" s="135"/>
    </row>
    <row r="91" customFormat="false" ht="15.75" hidden="false" customHeight="true" outlineLevel="0" collapsed="false">
      <c r="A91" s="135"/>
      <c r="B91" s="135"/>
      <c r="C91" s="135"/>
      <c r="D91" s="135"/>
      <c r="E91" s="182"/>
      <c r="F91" s="135"/>
      <c r="G91" s="135"/>
      <c r="H91" s="135"/>
      <c r="I91" s="135"/>
      <c r="J91" s="135"/>
      <c r="K91" s="135"/>
      <c r="L91" s="135"/>
      <c r="M91" s="182"/>
      <c r="N91" s="135"/>
      <c r="O91" s="135"/>
      <c r="P91" s="189"/>
      <c r="Q91" s="135"/>
      <c r="R91" s="135"/>
      <c r="S91" s="135"/>
      <c r="T91" s="135"/>
      <c r="U91" s="135"/>
      <c r="V91" s="189"/>
      <c r="W91" s="135"/>
      <c r="X91" s="135"/>
      <c r="Y91" s="135"/>
      <c r="Z91" s="135"/>
      <c r="AA91" s="135"/>
      <c r="AB91" s="135"/>
      <c r="AC91" s="135"/>
      <c r="AD91" s="135"/>
    </row>
    <row r="92" customFormat="false" ht="15.75" hidden="false" customHeight="true" outlineLevel="0" collapsed="false">
      <c r="A92" s="135"/>
      <c r="B92" s="135"/>
      <c r="C92" s="135"/>
      <c r="D92" s="135"/>
      <c r="E92" s="182"/>
      <c r="F92" s="135"/>
      <c r="G92" s="135"/>
      <c r="H92" s="135"/>
      <c r="I92" s="135"/>
      <c r="J92" s="135"/>
      <c r="K92" s="135"/>
      <c r="L92" s="135"/>
      <c r="M92" s="182"/>
      <c r="N92" s="135"/>
      <c r="O92" s="135"/>
      <c r="P92" s="189"/>
      <c r="Q92" s="135"/>
      <c r="R92" s="135"/>
      <c r="S92" s="135"/>
      <c r="T92" s="135"/>
      <c r="U92" s="135"/>
      <c r="V92" s="189"/>
      <c r="W92" s="135"/>
      <c r="X92" s="135"/>
      <c r="Y92" s="135"/>
      <c r="Z92" s="135"/>
      <c r="AA92" s="135"/>
      <c r="AB92" s="135"/>
      <c r="AC92" s="135"/>
      <c r="AD92" s="135"/>
    </row>
    <row r="93" customFormat="false" ht="15.75" hidden="false" customHeight="true" outlineLevel="0" collapsed="false">
      <c r="A93" s="135"/>
      <c r="B93" s="135"/>
      <c r="C93" s="135"/>
      <c r="D93" s="135"/>
      <c r="E93" s="182"/>
      <c r="F93" s="135"/>
      <c r="G93" s="135"/>
      <c r="H93" s="135"/>
      <c r="I93" s="135"/>
      <c r="J93" s="135"/>
      <c r="K93" s="135"/>
      <c r="L93" s="135"/>
      <c r="M93" s="182"/>
      <c r="N93" s="135"/>
      <c r="O93" s="135"/>
      <c r="P93" s="189"/>
      <c r="Q93" s="135"/>
      <c r="R93" s="135"/>
      <c r="S93" s="135"/>
      <c r="T93" s="135"/>
      <c r="U93" s="135"/>
      <c r="V93" s="189"/>
      <c r="W93" s="135"/>
      <c r="X93" s="135"/>
      <c r="Y93" s="135"/>
      <c r="Z93" s="135"/>
      <c r="AA93" s="135"/>
      <c r="AB93" s="135"/>
      <c r="AC93" s="135"/>
      <c r="AD93" s="135"/>
    </row>
    <row r="94" customFormat="false" ht="15.75" hidden="false" customHeight="true" outlineLevel="0" collapsed="false">
      <c r="A94" s="135"/>
      <c r="B94" s="135"/>
      <c r="C94" s="135"/>
      <c r="D94" s="135"/>
      <c r="E94" s="182"/>
      <c r="F94" s="135"/>
      <c r="G94" s="135"/>
      <c r="H94" s="135"/>
      <c r="I94" s="135"/>
      <c r="J94" s="135"/>
      <c r="K94" s="135"/>
      <c r="L94" s="135"/>
      <c r="M94" s="182"/>
      <c r="N94" s="135"/>
      <c r="O94" s="135"/>
      <c r="P94" s="189"/>
      <c r="Q94" s="135"/>
      <c r="R94" s="135"/>
      <c r="S94" s="135"/>
      <c r="T94" s="135"/>
      <c r="U94" s="135"/>
      <c r="V94" s="189"/>
      <c r="W94" s="135"/>
      <c r="X94" s="135"/>
      <c r="Y94" s="135"/>
      <c r="Z94" s="135"/>
      <c r="AA94" s="135"/>
      <c r="AB94" s="135"/>
      <c r="AC94" s="135"/>
      <c r="AD94" s="135"/>
    </row>
    <row r="95" customFormat="false" ht="15.75" hidden="false" customHeight="true" outlineLevel="0" collapsed="false">
      <c r="A95" s="135"/>
      <c r="B95" s="135"/>
      <c r="C95" s="135"/>
      <c r="D95" s="135"/>
      <c r="E95" s="182"/>
      <c r="F95" s="135"/>
      <c r="G95" s="135"/>
      <c r="H95" s="135"/>
      <c r="I95" s="135"/>
      <c r="J95" s="135"/>
      <c r="K95" s="135"/>
      <c r="L95" s="135"/>
      <c r="M95" s="182"/>
      <c r="N95" s="135"/>
      <c r="O95" s="135"/>
      <c r="P95" s="189"/>
      <c r="Q95" s="135"/>
      <c r="R95" s="135"/>
      <c r="S95" s="135"/>
      <c r="T95" s="135"/>
      <c r="U95" s="135"/>
      <c r="V95" s="189"/>
      <c r="W95" s="135"/>
      <c r="X95" s="135"/>
      <c r="Y95" s="135"/>
      <c r="Z95" s="135"/>
      <c r="AA95" s="135"/>
      <c r="AB95" s="135"/>
      <c r="AC95" s="135"/>
      <c r="AD95" s="135"/>
    </row>
    <row r="96" customFormat="false" ht="15.75" hidden="false" customHeight="true" outlineLevel="0" collapsed="false">
      <c r="A96" s="135"/>
      <c r="B96" s="135"/>
      <c r="C96" s="135"/>
      <c r="D96" s="135"/>
      <c r="E96" s="182"/>
      <c r="F96" s="135"/>
      <c r="G96" s="135"/>
      <c r="H96" s="135"/>
      <c r="I96" s="135"/>
      <c r="J96" s="135"/>
      <c r="K96" s="135"/>
      <c r="L96" s="135"/>
      <c r="M96" s="182"/>
      <c r="N96" s="135"/>
      <c r="O96" s="135"/>
      <c r="P96" s="189"/>
      <c r="Q96" s="135"/>
      <c r="R96" s="135"/>
      <c r="S96" s="135"/>
      <c r="T96" s="135"/>
      <c r="U96" s="135"/>
      <c r="V96" s="189"/>
      <c r="W96" s="135"/>
      <c r="X96" s="135"/>
      <c r="Y96" s="135"/>
      <c r="Z96" s="135"/>
      <c r="AA96" s="135"/>
      <c r="AB96" s="135"/>
      <c r="AC96" s="135"/>
      <c r="AD96" s="135"/>
    </row>
    <row r="97" customFormat="false" ht="15.75" hidden="false" customHeight="true" outlineLevel="0" collapsed="false">
      <c r="A97" s="135"/>
      <c r="B97" s="135"/>
      <c r="C97" s="135"/>
      <c r="D97" s="135"/>
      <c r="E97" s="182"/>
      <c r="F97" s="135"/>
      <c r="G97" s="135"/>
      <c r="H97" s="135"/>
      <c r="I97" s="135"/>
      <c r="J97" s="135"/>
      <c r="K97" s="135"/>
      <c r="L97" s="135"/>
      <c r="M97" s="182"/>
      <c r="N97" s="135"/>
      <c r="O97" s="135"/>
      <c r="P97" s="189"/>
      <c r="Q97" s="135"/>
      <c r="R97" s="135"/>
      <c r="S97" s="135"/>
      <c r="T97" s="135"/>
      <c r="U97" s="135"/>
      <c r="V97" s="189"/>
      <c r="W97" s="135"/>
      <c r="X97" s="135"/>
      <c r="Y97" s="135"/>
      <c r="Z97" s="135"/>
      <c r="AA97" s="135"/>
      <c r="AB97" s="135"/>
      <c r="AC97" s="135"/>
      <c r="AD97" s="135"/>
    </row>
    <row r="98" customFormat="false" ht="15.75" hidden="false" customHeight="true" outlineLevel="0" collapsed="false">
      <c r="A98" s="135"/>
      <c r="B98" s="135"/>
      <c r="C98" s="135"/>
      <c r="D98" s="135"/>
      <c r="E98" s="182"/>
      <c r="F98" s="135"/>
      <c r="G98" s="135"/>
      <c r="H98" s="135"/>
      <c r="I98" s="135"/>
      <c r="J98" s="135"/>
      <c r="K98" s="135"/>
      <c r="L98" s="135"/>
      <c r="M98" s="182"/>
      <c r="N98" s="135"/>
      <c r="O98" s="135"/>
      <c r="P98" s="189"/>
      <c r="Q98" s="135"/>
      <c r="R98" s="135"/>
      <c r="S98" s="135"/>
      <c r="T98" s="135"/>
      <c r="U98" s="135"/>
      <c r="V98" s="189"/>
      <c r="W98" s="135"/>
      <c r="X98" s="135"/>
      <c r="Y98" s="135"/>
      <c r="Z98" s="135"/>
      <c r="AA98" s="135"/>
      <c r="AB98" s="135"/>
      <c r="AC98" s="135"/>
      <c r="AD98" s="135"/>
    </row>
    <row r="99" customFormat="false" ht="15.75" hidden="false" customHeight="true" outlineLevel="0" collapsed="false">
      <c r="A99" s="135"/>
      <c r="B99" s="135"/>
      <c r="C99" s="135"/>
      <c r="D99" s="135"/>
      <c r="E99" s="182"/>
      <c r="F99" s="135"/>
      <c r="G99" s="135"/>
      <c r="H99" s="135"/>
      <c r="I99" s="135"/>
      <c r="J99" s="135"/>
      <c r="K99" s="135"/>
      <c r="L99" s="135"/>
      <c r="M99" s="182"/>
      <c r="N99" s="135"/>
      <c r="O99" s="135"/>
      <c r="P99" s="189"/>
      <c r="Q99" s="135"/>
      <c r="R99" s="135"/>
      <c r="S99" s="135"/>
      <c r="T99" s="135"/>
      <c r="U99" s="135"/>
      <c r="V99" s="189"/>
      <c r="W99" s="135"/>
      <c r="X99" s="135"/>
      <c r="Y99" s="135"/>
      <c r="Z99" s="135"/>
      <c r="AA99" s="135"/>
      <c r="AB99" s="135"/>
      <c r="AC99" s="135"/>
      <c r="AD99" s="135"/>
    </row>
    <row r="100" customFormat="false" ht="15.75" hidden="false" customHeight="true" outlineLevel="0" collapsed="false">
      <c r="A100" s="135"/>
      <c r="B100" s="135"/>
      <c r="C100" s="135"/>
      <c r="D100" s="135"/>
      <c r="E100" s="182"/>
      <c r="F100" s="135"/>
      <c r="G100" s="135"/>
      <c r="H100" s="135"/>
      <c r="I100" s="135"/>
      <c r="J100" s="135"/>
      <c r="K100" s="135"/>
      <c r="L100" s="135"/>
      <c r="M100" s="182"/>
      <c r="N100" s="135"/>
      <c r="O100" s="135"/>
      <c r="P100" s="189"/>
      <c r="Q100" s="135"/>
      <c r="R100" s="135"/>
      <c r="S100" s="135"/>
      <c r="T100" s="135"/>
      <c r="U100" s="135"/>
      <c r="V100" s="189"/>
      <c r="W100" s="135"/>
      <c r="X100" s="135"/>
      <c r="Y100" s="135"/>
      <c r="Z100" s="135"/>
      <c r="AA100" s="135"/>
      <c r="AB100" s="135"/>
      <c r="AC100" s="135"/>
      <c r="AD100" s="135"/>
    </row>
    <row r="101" customFormat="false" ht="15.75" hidden="false" customHeight="true" outlineLevel="0" collapsed="false">
      <c r="A101" s="135"/>
      <c r="B101" s="135"/>
      <c r="C101" s="135"/>
      <c r="D101" s="135"/>
      <c r="E101" s="182"/>
      <c r="F101" s="135"/>
      <c r="G101" s="135"/>
      <c r="H101" s="135"/>
      <c r="I101" s="135"/>
      <c r="J101" s="135"/>
      <c r="K101" s="135"/>
      <c r="L101" s="135"/>
      <c r="M101" s="182"/>
      <c r="N101" s="135"/>
      <c r="O101" s="135"/>
      <c r="P101" s="189"/>
      <c r="Q101" s="135"/>
      <c r="R101" s="135"/>
      <c r="S101" s="135"/>
      <c r="T101" s="135"/>
      <c r="U101" s="135"/>
      <c r="V101" s="189"/>
      <c r="W101" s="135"/>
      <c r="X101" s="135"/>
      <c r="Y101" s="135"/>
      <c r="Z101" s="135"/>
      <c r="AA101" s="135"/>
      <c r="AB101" s="135"/>
      <c r="AC101" s="135"/>
      <c r="AD101" s="135"/>
    </row>
    <row r="102" customFormat="false" ht="15.75" hidden="false" customHeight="true" outlineLevel="0" collapsed="false">
      <c r="A102" s="135"/>
      <c r="B102" s="135"/>
      <c r="C102" s="135"/>
      <c r="D102" s="135"/>
      <c r="E102" s="182"/>
      <c r="F102" s="135"/>
      <c r="G102" s="135"/>
      <c r="H102" s="135"/>
      <c r="I102" s="135"/>
      <c r="J102" s="135"/>
      <c r="K102" s="135"/>
      <c r="L102" s="135"/>
      <c r="M102" s="182"/>
      <c r="N102" s="135"/>
      <c r="O102" s="135"/>
      <c r="P102" s="189"/>
      <c r="Q102" s="135"/>
      <c r="R102" s="135"/>
      <c r="S102" s="135"/>
      <c r="T102" s="135"/>
      <c r="U102" s="135"/>
      <c r="V102" s="189"/>
      <c r="W102" s="135"/>
      <c r="X102" s="135"/>
      <c r="Y102" s="135"/>
      <c r="Z102" s="135"/>
      <c r="AA102" s="135"/>
      <c r="AB102" s="135"/>
      <c r="AC102" s="135"/>
      <c r="AD102" s="135"/>
    </row>
    <row r="103" customFormat="false" ht="15.75" hidden="false" customHeight="true" outlineLevel="0" collapsed="false">
      <c r="A103" s="135"/>
      <c r="B103" s="135"/>
      <c r="C103" s="135"/>
      <c r="D103" s="135"/>
      <c r="E103" s="182"/>
      <c r="F103" s="135"/>
      <c r="G103" s="135"/>
      <c r="H103" s="135"/>
      <c r="I103" s="135"/>
      <c r="J103" s="135"/>
      <c r="K103" s="135"/>
      <c r="L103" s="135"/>
      <c r="M103" s="182"/>
      <c r="N103" s="135"/>
      <c r="O103" s="135"/>
      <c r="P103" s="189"/>
      <c r="Q103" s="135"/>
      <c r="R103" s="135"/>
      <c r="S103" s="135"/>
      <c r="T103" s="135"/>
      <c r="U103" s="135"/>
      <c r="V103" s="189"/>
      <c r="W103" s="135"/>
      <c r="X103" s="135"/>
      <c r="Y103" s="135"/>
      <c r="Z103" s="135"/>
      <c r="AA103" s="135"/>
      <c r="AB103" s="135"/>
      <c r="AC103" s="135"/>
      <c r="AD103" s="135"/>
    </row>
    <row r="104" customFormat="false" ht="15.75" hidden="false" customHeight="true" outlineLevel="0" collapsed="false">
      <c r="A104" s="135"/>
      <c r="B104" s="135"/>
      <c r="C104" s="135"/>
      <c r="D104" s="135"/>
      <c r="E104" s="182"/>
      <c r="F104" s="135"/>
      <c r="G104" s="135"/>
      <c r="H104" s="135"/>
      <c r="I104" s="135"/>
      <c r="J104" s="135"/>
      <c r="K104" s="135"/>
      <c r="L104" s="135"/>
      <c r="M104" s="182"/>
      <c r="N104" s="135"/>
      <c r="O104" s="135"/>
      <c r="P104" s="189"/>
      <c r="Q104" s="135"/>
      <c r="R104" s="135"/>
      <c r="S104" s="135"/>
      <c r="T104" s="135"/>
      <c r="U104" s="135"/>
      <c r="V104" s="189"/>
      <c r="W104" s="135"/>
      <c r="X104" s="135"/>
      <c r="Y104" s="135"/>
      <c r="Z104" s="135"/>
      <c r="AA104" s="135"/>
      <c r="AB104" s="135"/>
      <c r="AC104" s="135"/>
      <c r="AD104" s="135"/>
    </row>
    <row r="105" customFormat="false" ht="15.75" hidden="false" customHeight="true" outlineLevel="0" collapsed="false">
      <c r="A105" s="135"/>
      <c r="B105" s="135"/>
      <c r="C105" s="135"/>
      <c r="D105" s="135"/>
      <c r="E105" s="182"/>
      <c r="F105" s="135"/>
      <c r="G105" s="135"/>
      <c r="H105" s="135"/>
      <c r="I105" s="135"/>
      <c r="J105" s="135"/>
      <c r="K105" s="135"/>
      <c r="L105" s="135"/>
      <c r="M105" s="182"/>
      <c r="N105" s="135"/>
      <c r="O105" s="135"/>
      <c r="P105" s="189"/>
      <c r="Q105" s="135"/>
      <c r="R105" s="135"/>
      <c r="S105" s="135"/>
      <c r="T105" s="135"/>
      <c r="U105" s="135"/>
      <c r="V105" s="189"/>
      <c r="W105" s="135"/>
      <c r="X105" s="135"/>
      <c r="Y105" s="135"/>
      <c r="Z105" s="135"/>
      <c r="AA105" s="135"/>
      <c r="AB105" s="135"/>
      <c r="AC105" s="135"/>
      <c r="AD105" s="135"/>
    </row>
    <row r="106" customFormat="false" ht="15.75" hidden="false" customHeight="true" outlineLevel="0" collapsed="false">
      <c r="A106" s="135"/>
      <c r="B106" s="135"/>
      <c r="C106" s="135"/>
      <c r="D106" s="135"/>
      <c r="E106" s="182"/>
      <c r="F106" s="135"/>
      <c r="G106" s="135"/>
      <c r="H106" s="135"/>
      <c r="I106" s="135"/>
      <c r="J106" s="135"/>
      <c r="K106" s="135"/>
      <c r="L106" s="135"/>
      <c r="M106" s="182"/>
      <c r="N106" s="135"/>
      <c r="O106" s="135"/>
      <c r="P106" s="189"/>
      <c r="Q106" s="135"/>
      <c r="R106" s="135"/>
      <c r="S106" s="135"/>
      <c r="T106" s="135"/>
      <c r="U106" s="135"/>
      <c r="V106" s="189"/>
      <c r="W106" s="135"/>
      <c r="X106" s="135"/>
      <c r="Y106" s="135"/>
      <c r="Z106" s="135"/>
      <c r="AA106" s="135"/>
      <c r="AB106" s="135"/>
      <c r="AC106" s="135"/>
      <c r="AD106" s="135"/>
    </row>
    <row r="107" customFormat="false" ht="15.75" hidden="false" customHeight="true" outlineLevel="0" collapsed="false">
      <c r="A107" s="135"/>
      <c r="B107" s="135"/>
      <c r="C107" s="135"/>
      <c r="D107" s="135"/>
      <c r="E107" s="182"/>
      <c r="F107" s="135"/>
      <c r="G107" s="135"/>
      <c r="H107" s="135"/>
      <c r="I107" s="135"/>
      <c r="J107" s="135"/>
      <c r="K107" s="135"/>
      <c r="L107" s="135"/>
      <c r="M107" s="182"/>
      <c r="N107" s="135"/>
      <c r="O107" s="135"/>
      <c r="P107" s="189"/>
      <c r="Q107" s="135"/>
      <c r="R107" s="135"/>
      <c r="S107" s="135"/>
      <c r="T107" s="135"/>
      <c r="U107" s="135"/>
      <c r="V107" s="189"/>
      <c r="W107" s="135"/>
      <c r="X107" s="135"/>
      <c r="Y107" s="135"/>
      <c r="Z107" s="135"/>
      <c r="AA107" s="135"/>
      <c r="AB107" s="135"/>
      <c r="AC107" s="135"/>
      <c r="AD107" s="135"/>
    </row>
    <row r="108" customFormat="false" ht="15.75" hidden="false" customHeight="true" outlineLevel="0" collapsed="false">
      <c r="A108" s="135"/>
      <c r="B108" s="135"/>
      <c r="C108" s="135"/>
      <c r="D108" s="135"/>
      <c r="E108" s="182"/>
      <c r="F108" s="135"/>
      <c r="G108" s="135"/>
      <c r="H108" s="135"/>
      <c r="I108" s="135"/>
      <c r="J108" s="135"/>
      <c r="K108" s="135"/>
      <c r="L108" s="135"/>
      <c r="M108" s="182"/>
      <c r="N108" s="135"/>
      <c r="O108" s="135"/>
      <c r="P108" s="189"/>
      <c r="Q108" s="135"/>
      <c r="R108" s="135"/>
      <c r="S108" s="135"/>
      <c r="T108" s="135"/>
      <c r="U108" s="135"/>
      <c r="V108" s="189"/>
      <c r="W108" s="135"/>
      <c r="X108" s="135"/>
      <c r="Y108" s="135"/>
      <c r="Z108" s="135"/>
      <c r="AA108" s="135"/>
      <c r="AB108" s="135"/>
      <c r="AC108" s="135"/>
      <c r="AD108" s="135"/>
    </row>
    <row r="109" customFormat="false" ht="15.75" hidden="false" customHeight="true" outlineLevel="0" collapsed="false">
      <c r="A109" s="135"/>
      <c r="B109" s="135"/>
      <c r="C109" s="135"/>
      <c r="D109" s="135"/>
      <c r="E109" s="182"/>
      <c r="F109" s="135"/>
      <c r="G109" s="135"/>
      <c r="H109" s="135"/>
      <c r="I109" s="135"/>
      <c r="J109" s="135"/>
      <c r="K109" s="135"/>
      <c r="L109" s="135"/>
      <c r="M109" s="182"/>
      <c r="N109" s="135"/>
      <c r="O109" s="135"/>
      <c r="P109" s="189"/>
      <c r="Q109" s="135"/>
      <c r="R109" s="135"/>
      <c r="S109" s="135"/>
      <c r="T109" s="135"/>
      <c r="U109" s="135"/>
      <c r="V109" s="189"/>
      <c r="W109" s="135"/>
      <c r="X109" s="135"/>
      <c r="Y109" s="135"/>
      <c r="Z109" s="135"/>
      <c r="AA109" s="135"/>
      <c r="AB109" s="135"/>
      <c r="AC109" s="135"/>
      <c r="AD109" s="135"/>
    </row>
    <row r="110" customFormat="false" ht="15.75" hidden="false" customHeight="true" outlineLevel="0" collapsed="false">
      <c r="A110" s="135"/>
      <c r="B110" s="135"/>
      <c r="C110" s="135"/>
      <c r="D110" s="135"/>
      <c r="E110" s="182"/>
      <c r="F110" s="135"/>
      <c r="G110" s="135"/>
      <c r="H110" s="135"/>
      <c r="I110" s="135"/>
      <c r="J110" s="135"/>
      <c r="K110" s="135"/>
      <c r="L110" s="135"/>
      <c r="M110" s="182"/>
      <c r="N110" s="135"/>
      <c r="O110" s="135"/>
      <c r="P110" s="189"/>
      <c r="Q110" s="135"/>
      <c r="R110" s="135"/>
      <c r="S110" s="135"/>
      <c r="T110" s="135"/>
      <c r="U110" s="135"/>
      <c r="V110" s="189"/>
      <c r="W110" s="135"/>
      <c r="X110" s="135"/>
      <c r="Y110" s="135"/>
      <c r="Z110" s="135"/>
      <c r="AA110" s="135"/>
      <c r="AB110" s="135"/>
      <c r="AC110" s="135"/>
      <c r="AD110" s="135"/>
    </row>
    <row r="111" customFormat="false" ht="15.75" hidden="false" customHeight="true" outlineLevel="0" collapsed="false">
      <c r="A111" s="135"/>
      <c r="B111" s="135"/>
      <c r="C111" s="135"/>
      <c r="D111" s="135"/>
      <c r="E111" s="182"/>
      <c r="F111" s="135"/>
      <c r="G111" s="135"/>
      <c r="H111" s="135"/>
      <c r="I111" s="135"/>
      <c r="J111" s="135"/>
      <c r="K111" s="135"/>
      <c r="L111" s="135"/>
      <c r="M111" s="182"/>
      <c r="N111" s="135"/>
      <c r="O111" s="135"/>
      <c r="P111" s="189"/>
      <c r="Q111" s="135"/>
      <c r="R111" s="135"/>
      <c r="S111" s="135"/>
      <c r="T111" s="135"/>
      <c r="U111" s="135"/>
      <c r="V111" s="189"/>
      <c r="W111" s="135"/>
      <c r="X111" s="135"/>
      <c r="Y111" s="135"/>
      <c r="Z111" s="135"/>
      <c r="AA111" s="135"/>
      <c r="AB111" s="135"/>
      <c r="AC111" s="135"/>
      <c r="AD111" s="135"/>
    </row>
    <row r="112" customFormat="false" ht="15.75" hidden="false" customHeight="true" outlineLevel="0" collapsed="false">
      <c r="A112" s="135"/>
      <c r="B112" s="135"/>
      <c r="C112" s="135"/>
      <c r="D112" s="135"/>
      <c r="E112" s="182"/>
      <c r="F112" s="135"/>
      <c r="G112" s="135"/>
      <c r="H112" s="135"/>
      <c r="I112" s="135"/>
      <c r="J112" s="135"/>
      <c r="K112" s="135"/>
      <c r="L112" s="135"/>
      <c r="M112" s="182"/>
      <c r="N112" s="135"/>
      <c r="O112" s="135"/>
      <c r="P112" s="189"/>
      <c r="Q112" s="135"/>
      <c r="R112" s="135"/>
      <c r="S112" s="135"/>
      <c r="T112" s="135"/>
      <c r="U112" s="135"/>
      <c r="V112" s="189"/>
      <c r="W112" s="135"/>
      <c r="X112" s="135"/>
      <c r="Y112" s="135"/>
      <c r="Z112" s="135"/>
      <c r="AA112" s="135"/>
      <c r="AB112" s="135"/>
      <c r="AC112" s="135"/>
      <c r="AD112" s="135"/>
    </row>
    <row r="113" customFormat="false" ht="15.75" hidden="false" customHeight="true" outlineLevel="0" collapsed="false">
      <c r="A113" s="135"/>
      <c r="B113" s="135"/>
      <c r="C113" s="135"/>
      <c r="D113" s="135"/>
      <c r="E113" s="182"/>
      <c r="F113" s="135"/>
      <c r="G113" s="135"/>
      <c r="H113" s="135"/>
      <c r="I113" s="135"/>
      <c r="J113" s="135"/>
      <c r="K113" s="135"/>
      <c r="L113" s="135"/>
      <c r="M113" s="182"/>
      <c r="N113" s="135"/>
      <c r="O113" s="135"/>
      <c r="P113" s="189"/>
      <c r="Q113" s="135"/>
      <c r="R113" s="135"/>
      <c r="S113" s="135"/>
      <c r="T113" s="135"/>
      <c r="U113" s="135"/>
      <c r="V113" s="189"/>
      <c r="W113" s="135"/>
      <c r="X113" s="135"/>
      <c r="Y113" s="135"/>
      <c r="Z113" s="135"/>
      <c r="AA113" s="135"/>
      <c r="AB113" s="135"/>
      <c r="AC113" s="135"/>
      <c r="AD113" s="135"/>
    </row>
    <row r="114" customFormat="false" ht="15.75" hidden="false" customHeight="true" outlineLevel="0" collapsed="false">
      <c r="A114" s="135"/>
      <c r="B114" s="135"/>
      <c r="C114" s="135"/>
      <c r="D114" s="135"/>
      <c r="E114" s="182"/>
      <c r="F114" s="135"/>
      <c r="G114" s="135"/>
      <c r="H114" s="135"/>
      <c r="I114" s="135"/>
      <c r="J114" s="135"/>
      <c r="K114" s="135"/>
      <c r="L114" s="135"/>
      <c r="M114" s="182"/>
      <c r="N114" s="135"/>
      <c r="O114" s="135"/>
      <c r="P114" s="189"/>
      <c r="Q114" s="135"/>
      <c r="R114" s="135"/>
      <c r="S114" s="135"/>
      <c r="T114" s="135"/>
      <c r="U114" s="135"/>
      <c r="V114" s="189"/>
      <c r="W114" s="135"/>
      <c r="X114" s="135"/>
      <c r="Y114" s="135"/>
      <c r="Z114" s="135"/>
      <c r="AA114" s="135"/>
      <c r="AB114" s="135"/>
      <c r="AC114" s="135"/>
      <c r="AD114" s="135"/>
    </row>
    <row r="115" customFormat="false" ht="15.75" hidden="false" customHeight="true" outlineLevel="0" collapsed="false">
      <c r="A115" s="135"/>
      <c r="B115" s="135"/>
      <c r="C115" s="135"/>
      <c r="D115" s="135"/>
      <c r="E115" s="182"/>
      <c r="F115" s="135"/>
      <c r="G115" s="135"/>
      <c r="H115" s="135"/>
      <c r="I115" s="135"/>
      <c r="J115" s="135"/>
      <c r="K115" s="135"/>
      <c r="L115" s="135"/>
      <c r="M115" s="182"/>
      <c r="N115" s="135"/>
      <c r="O115" s="135"/>
      <c r="P115" s="189"/>
      <c r="Q115" s="135"/>
      <c r="R115" s="135"/>
      <c r="S115" s="135"/>
      <c r="T115" s="135"/>
      <c r="U115" s="135"/>
      <c r="V115" s="189"/>
      <c r="W115" s="135"/>
      <c r="X115" s="135"/>
      <c r="Y115" s="135"/>
      <c r="Z115" s="135"/>
      <c r="AA115" s="135"/>
      <c r="AB115" s="135"/>
      <c r="AC115" s="135"/>
      <c r="AD115" s="135"/>
    </row>
    <row r="116" customFormat="false" ht="15.75" hidden="false" customHeight="true" outlineLevel="0" collapsed="false">
      <c r="A116" s="135"/>
      <c r="B116" s="135"/>
      <c r="C116" s="135"/>
      <c r="D116" s="135"/>
      <c r="E116" s="182"/>
      <c r="F116" s="135"/>
      <c r="G116" s="135"/>
      <c r="H116" s="135"/>
      <c r="I116" s="135"/>
      <c r="J116" s="135"/>
      <c r="K116" s="135"/>
      <c r="L116" s="135"/>
      <c r="M116" s="182"/>
      <c r="N116" s="135"/>
      <c r="O116" s="135"/>
      <c r="P116" s="189"/>
      <c r="Q116" s="135"/>
      <c r="R116" s="135"/>
      <c r="S116" s="135"/>
      <c r="T116" s="135"/>
      <c r="U116" s="135"/>
      <c r="V116" s="189"/>
      <c r="W116" s="135"/>
      <c r="X116" s="135"/>
      <c r="Y116" s="135"/>
      <c r="Z116" s="135"/>
      <c r="AA116" s="135"/>
      <c r="AB116" s="135"/>
      <c r="AC116" s="135"/>
      <c r="AD116" s="135"/>
    </row>
    <row r="117" customFormat="false" ht="15.75" hidden="false" customHeight="true" outlineLevel="0" collapsed="false">
      <c r="A117" s="135"/>
      <c r="B117" s="135"/>
      <c r="C117" s="135"/>
      <c r="D117" s="135"/>
      <c r="E117" s="182"/>
      <c r="F117" s="135"/>
      <c r="G117" s="135"/>
      <c r="H117" s="135"/>
      <c r="I117" s="135"/>
      <c r="J117" s="135"/>
      <c r="K117" s="135"/>
      <c r="L117" s="135"/>
      <c r="M117" s="182"/>
      <c r="N117" s="135"/>
      <c r="O117" s="135"/>
      <c r="P117" s="189"/>
      <c r="Q117" s="135"/>
      <c r="R117" s="135"/>
      <c r="S117" s="135"/>
      <c r="T117" s="135"/>
      <c r="U117" s="135"/>
      <c r="V117" s="189"/>
      <c r="W117" s="135"/>
      <c r="X117" s="135"/>
      <c r="Y117" s="135"/>
      <c r="Z117" s="135"/>
      <c r="AA117" s="135"/>
      <c r="AB117" s="135"/>
      <c r="AC117" s="135"/>
      <c r="AD117" s="135"/>
    </row>
    <row r="118" customFormat="false" ht="15.75" hidden="false" customHeight="true" outlineLevel="0" collapsed="false">
      <c r="A118" s="135"/>
      <c r="B118" s="135"/>
      <c r="C118" s="135"/>
      <c r="D118" s="135"/>
      <c r="E118" s="182"/>
      <c r="F118" s="135"/>
      <c r="G118" s="135"/>
      <c r="H118" s="135"/>
      <c r="I118" s="135"/>
      <c r="J118" s="135"/>
      <c r="K118" s="135"/>
      <c r="L118" s="135"/>
      <c r="M118" s="182"/>
      <c r="N118" s="135"/>
      <c r="O118" s="135"/>
      <c r="P118" s="189"/>
      <c r="Q118" s="135"/>
      <c r="R118" s="135"/>
      <c r="S118" s="135"/>
      <c r="T118" s="135"/>
      <c r="U118" s="135"/>
      <c r="V118" s="189"/>
      <c r="W118" s="135"/>
      <c r="X118" s="135"/>
      <c r="Y118" s="135"/>
      <c r="Z118" s="135"/>
      <c r="AA118" s="135"/>
      <c r="AB118" s="135"/>
      <c r="AC118" s="135"/>
      <c r="AD118" s="135"/>
    </row>
    <row r="119" customFormat="false" ht="15.75" hidden="false" customHeight="true" outlineLevel="0" collapsed="false">
      <c r="A119" s="135"/>
      <c r="B119" s="135"/>
      <c r="C119" s="135"/>
      <c r="D119" s="135"/>
      <c r="E119" s="182"/>
      <c r="F119" s="135"/>
      <c r="G119" s="135"/>
      <c r="H119" s="135"/>
      <c r="I119" s="135"/>
      <c r="J119" s="135"/>
      <c r="K119" s="135"/>
      <c r="L119" s="135"/>
      <c r="M119" s="182"/>
      <c r="N119" s="135"/>
      <c r="O119" s="135"/>
      <c r="P119" s="189"/>
      <c r="Q119" s="135"/>
      <c r="R119" s="135"/>
      <c r="S119" s="135"/>
      <c r="T119" s="135"/>
      <c r="U119" s="135"/>
      <c r="V119" s="189"/>
      <c r="W119" s="135"/>
      <c r="X119" s="135"/>
      <c r="Y119" s="135"/>
      <c r="Z119" s="135"/>
      <c r="AA119" s="135"/>
      <c r="AB119" s="135"/>
      <c r="AC119" s="135"/>
      <c r="AD119" s="135"/>
    </row>
    <row r="120" customFormat="false" ht="15.75" hidden="false" customHeight="true" outlineLevel="0" collapsed="false">
      <c r="A120" s="135"/>
      <c r="B120" s="135"/>
      <c r="C120" s="135"/>
      <c r="D120" s="135"/>
      <c r="E120" s="182"/>
      <c r="F120" s="135"/>
      <c r="G120" s="135"/>
      <c r="H120" s="135"/>
      <c r="I120" s="135"/>
      <c r="J120" s="135"/>
      <c r="K120" s="135"/>
      <c r="L120" s="135"/>
      <c r="M120" s="182"/>
      <c r="N120" s="135"/>
      <c r="O120" s="135"/>
      <c r="P120" s="189"/>
      <c r="Q120" s="135"/>
      <c r="R120" s="135"/>
      <c r="S120" s="135"/>
      <c r="T120" s="135"/>
      <c r="U120" s="135"/>
      <c r="V120" s="189"/>
      <c r="W120" s="135"/>
      <c r="X120" s="135"/>
      <c r="Y120" s="135"/>
      <c r="Z120" s="135"/>
      <c r="AA120" s="135"/>
      <c r="AB120" s="135"/>
      <c r="AC120" s="135"/>
      <c r="AD120" s="135"/>
    </row>
    <row r="121" customFormat="false" ht="15.75" hidden="false" customHeight="true" outlineLevel="0" collapsed="false">
      <c r="A121" s="135"/>
      <c r="B121" s="135"/>
      <c r="C121" s="135"/>
      <c r="D121" s="135"/>
      <c r="E121" s="182"/>
      <c r="F121" s="135"/>
      <c r="G121" s="135"/>
      <c r="H121" s="135"/>
      <c r="I121" s="135"/>
      <c r="J121" s="135"/>
      <c r="K121" s="135"/>
      <c r="L121" s="135"/>
      <c r="M121" s="182"/>
      <c r="N121" s="135"/>
      <c r="O121" s="135"/>
      <c r="P121" s="189"/>
      <c r="Q121" s="135"/>
      <c r="R121" s="135"/>
      <c r="S121" s="135"/>
      <c r="T121" s="135"/>
      <c r="U121" s="135"/>
      <c r="V121" s="189"/>
      <c r="W121" s="135"/>
      <c r="X121" s="135"/>
      <c r="Y121" s="135"/>
      <c r="Z121" s="135"/>
      <c r="AA121" s="135"/>
      <c r="AB121" s="135"/>
      <c r="AC121" s="135"/>
      <c r="AD121" s="135"/>
    </row>
    <row r="122" customFormat="false" ht="15.75" hidden="false" customHeight="true" outlineLevel="0" collapsed="false">
      <c r="A122" s="135"/>
      <c r="B122" s="135"/>
      <c r="C122" s="135"/>
      <c r="D122" s="135"/>
      <c r="E122" s="182"/>
      <c r="F122" s="135"/>
      <c r="G122" s="135"/>
      <c r="H122" s="135"/>
      <c r="I122" s="135"/>
      <c r="J122" s="135"/>
      <c r="K122" s="135"/>
      <c r="L122" s="135"/>
      <c r="M122" s="182"/>
      <c r="N122" s="135"/>
      <c r="O122" s="135"/>
      <c r="P122" s="189"/>
      <c r="Q122" s="135"/>
      <c r="R122" s="135"/>
      <c r="S122" s="135"/>
      <c r="T122" s="135"/>
      <c r="U122" s="135"/>
      <c r="V122" s="189"/>
      <c r="W122" s="135"/>
      <c r="X122" s="135"/>
      <c r="Y122" s="135"/>
      <c r="Z122" s="135"/>
      <c r="AA122" s="135"/>
      <c r="AB122" s="135"/>
      <c r="AC122" s="135"/>
      <c r="AD122" s="135"/>
    </row>
    <row r="123" customFormat="false" ht="15.75" hidden="false" customHeight="true" outlineLevel="0" collapsed="false">
      <c r="A123" s="135"/>
      <c r="B123" s="135"/>
      <c r="C123" s="135"/>
      <c r="D123" s="135"/>
      <c r="E123" s="182"/>
      <c r="F123" s="135"/>
      <c r="G123" s="135"/>
      <c r="H123" s="135"/>
      <c r="I123" s="135"/>
      <c r="J123" s="135"/>
      <c r="K123" s="135"/>
      <c r="L123" s="135"/>
      <c r="M123" s="182"/>
      <c r="N123" s="135"/>
      <c r="O123" s="135"/>
      <c r="P123" s="189"/>
      <c r="Q123" s="135"/>
      <c r="R123" s="135"/>
      <c r="S123" s="135"/>
      <c r="T123" s="135"/>
      <c r="U123" s="135"/>
      <c r="V123" s="189"/>
      <c r="W123" s="135"/>
      <c r="X123" s="135"/>
      <c r="Y123" s="135"/>
      <c r="Z123" s="135"/>
      <c r="AA123" s="135"/>
      <c r="AB123" s="135"/>
      <c r="AC123" s="135"/>
      <c r="AD123" s="135"/>
    </row>
    <row r="124" customFormat="false" ht="15.75" hidden="false" customHeight="true" outlineLevel="0" collapsed="false">
      <c r="A124" s="135"/>
      <c r="B124" s="135"/>
      <c r="C124" s="135"/>
      <c r="D124" s="135"/>
      <c r="E124" s="182"/>
      <c r="F124" s="135"/>
      <c r="G124" s="135"/>
      <c r="H124" s="135"/>
      <c r="I124" s="135"/>
      <c r="J124" s="135"/>
      <c r="K124" s="135"/>
      <c r="L124" s="135"/>
      <c r="M124" s="182"/>
      <c r="N124" s="135"/>
      <c r="O124" s="135"/>
      <c r="P124" s="189"/>
      <c r="Q124" s="135"/>
      <c r="R124" s="135"/>
      <c r="S124" s="135"/>
      <c r="T124" s="135"/>
      <c r="U124" s="135"/>
      <c r="V124" s="189"/>
      <c r="W124" s="135"/>
      <c r="X124" s="135"/>
      <c r="Y124" s="135"/>
      <c r="Z124" s="135"/>
      <c r="AA124" s="135"/>
      <c r="AB124" s="135"/>
      <c r="AC124" s="135"/>
      <c r="AD124" s="135"/>
    </row>
    <row r="125" customFormat="false" ht="15.75" hidden="false" customHeight="true" outlineLevel="0" collapsed="false">
      <c r="A125" s="135"/>
      <c r="B125" s="135"/>
      <c r="C125" s="135"/>
      <c r="D125" s="135"/>
      <c r="E125" s="182"/>
      <c r="F125" s="135"/>
      <c r="G125" s="135"/>
      <c r="H125" s="135"/>
      <c r="I125" s="135"/>
      <c r="J125" s="135"/>
      <c r="K125" s="135"/>
      <c r="L125" s="135"/>
      <c r="M125" s="182"/>
      <c r="N125" s="135"/>
      <c r="O125" s="135"/>
      <c r="P125" s="189"/>
      <c r="Q125" s="135"/>
      <c r="R125" s="135"/>
      <c r="S125" s="135"/>
      <c r="T125" s="135"/>
      <c r="U125" s="135"/>
      <c r="V125" s="189"/>
      <c r="W125" s="135"/>
      <c r="X125" s="135"/>
      <c r="Y125" s="135"/>
      <c r="Z125" s="135"/>
      <c r="AA125" s="135"/>
      <c r="AB125" s="135"/>
      <c r="AC125" s="135"/>
      <c r="AD125" s="135"/>
    </row>
    <row r="126" customFormat="false" ht="15.75" hidden="false" customHeight="true" outlineLevel="0" collapsed="false">
      <c r="A126" s="135"/>
      <c r="B126" s="135"/>
      <c r="C126" s="135"/>
      <c r="D126" s="135"/>
      <c r="E126" s="182"/>
      <c r="F126" s="135"/>
      <c r="G126" s="135"/>
      <c r="H126" s="135"/>
      <c r="I126" s="135"/>
      <c r="J126" s="135"/>
      <c r="K126" s="135"/>
      <c r="L126" s="135"/>
      <c r="M126" s="182"/>
      <c r="N126" s="135"/>
      <c r="O126" s="135"/>
      <c r="P126" s="189"/>
      <c r="Q126" s="135"/>
      <c r="R126" s="135"/>
      <c r="S126" s="135"/>
      <c r="T126" s="135"/>
      <c r="U126" s="135"/>
      <c r="V126" s="189"/>
      <c r="W126" s="135"/>
      <c r="X126" s="135"/>
      <c r="Y126" s="135"/>
      <c r="Z126" s="135"/>
      <c r="AA126" s="135"/>
      <c r="AB126" s="135"/>
      <c r="AC126" s="135"/>
      <c r="AD126" s="135"/>
    </row>
    <row r="127" customFormat="false" ht="15.75" hidden="false" customHeight="true" outlineLevel="0" collapsed="false">
      <c r="A127" s="135"/>
      <c r="B127" s="135"/>
      <c r="C127" s="135"/>
      <c r="D127" s="135"/>
      <c r="E127" s="182"/>
      <c r="F127" s="135"/>
      <c r="G127" s="135"/>
      <c r="H127" s="135"/>
      <c r="I127" s="135"/>
      <c r="J127" s="135"/>
      <c r="K127" s="135"/>
      <c r="L127" s="135"/>
      <c r="M127" s="182"/>
      <c r="N127" s="135"/>
      <c r="O127" s="135"/>
      <c r="P127" s="189"/>
      <c r="Q127" s="135"/>
      <c r="R127" s="135"/>
      <c r="S127" s="135"/>
      <c r="T127" s="135"/>
      <c r="U127" s="135"/>
      <c r="V127" s="189"/>
      <c r="W127" s="135"/>
      <c r="X127" s="135"/>
      <c r="Y127" s="135"/>
      <c r="Z127" s="135"/>
      <c r="AA127" s="135"/>
      <c r="AB127" s="135"/>
      <c r="AC127" s="135"/>
      <c r="AD127" s="135"/>
    </row>
    <row r="128" customFormat="false" ht="15.75" hidden="false" customHeight="true" outlineLevel="0" collapsed="false">
      <c r="A128" s="135"/>
      <c r="B128" s="135"/>
      <c r="C128" s="135"/>
      <c r="D128" s="135"/>
      <c r="E128" s="182"/>
      <c r="F128" s="135"/>
      <c r="G128" s="135"/>
      <c r="H128" s="135"/>
      <c r="I128" s="135"/>
      <c r="J128" s="135"/>
      <c r="K128" s="135"/>
      <c r="L128" s="135"/>
      <c r="M128" s="182"/>
      <c r="N128" s="135"/>
      <c r="O128" s="135"/>
      <c r="P128" s="189"/>
      <c r="Q128" s="135"/>
      <c r="R128" s="135"/>
      <c r="S128" s="135"/>
      <c r="T128" s="135"/>
      <c r="U128" s="135"/>
      <c r="V128" s="189"/>
      <c r="W128" s="135"/>
      <c r="X128" s="135"/>
      <c r="Y128" s="135"/>
      <c r="Z128" s="135"/>
      <c r="AA128" s="135"/>
      <c r="AB128" s="135"/>
      <c r="AC128" s="135"/>
      <c r="AD128" s="135"/>
    </row>
    <row r="129" customFormat="false" ht="15.75" hidden="false" customHeight="true" outlineLevel="0" collapsed="false">
      <c r="A129" s="135"/>
      <c r="B129" s="135"/>
      <c r="C129" s="135"/>
      <c r="D129" s="135"/>
      <c r="E129" s="182"/>
      <c r="F129" s="135"/>
      <c r="G129" s="135"/>
      <c r="H129" s="135"/>
      <c r="I129" s="135"/>
      <c r="J129" s="135"/>
      <c r="K129" s="135"/>
      <c r="L129" s="135"/>
      <c r="M129" s="182"/>
      <c r="N129" s="135"/>
      <c r="O129" s="135"/>
      <c r="P129" s="189"/>
      <c r="Q129" s="135"/>
      <c r="R129" s="135"/>
      <c r="S129" s="135"/>
      <c r="T129" s="135"/>
      <c r="U129" s="135"/>
      <c r="V129" s="189"/>
      <c r="W129" s="135"/>
      <c r="X129" s="135"/>
      <c r="Y129" s="135"/>
      <c r="Z129" s="135"/>
      <c r="AA129" s="135"/>
      <c r="AB129" s="135"/>
      <c r="AC129" s="135"/>
      <c r="AD129" s="135"/>
    </row>
    <row r="130" customFormat="false" ht="15.75" hidden="false" customHeight="true" outlineLevel="0" collapsed="false">
      <c r="A130" s="135"/>
      <c r="B130" s="135"/>
      <c r="C130" s="135"/>
      <c r="D130" s="135"/>
      <c r="E130" s="182"/>
      <c r="F130" s="135"/>
      <c r="G130" s="135"/>
      <c r="H130" s="135"/>
      <c r="I130" s="135"/>
      <c r="J130" s="135"/>
      <c r="K130" s="135"/>
      <c r="L130" s="135"/>
      <c r="M130" s="182"/>
      <c r="N130" s="135"/>
      <c r="O130" s="135"/>
      <c r="P130" s="189"/>
      <c r="Q130" s="135"/>
      <c r="R130" s="135"/>
      <c r="S130" s="135"/>
      <c r="T130" s="135"/>
      <c r="U130" s="135"/>
      <c r="V130" s="189"/>
      <c r="W130" s="135"/>
      <c r="X130" s="135"/>
      <c r="Y130" s="135"/>
      <c r="Z130" s="135"/>
      <c r="AA130" s="135"/>
      <c r="AB130" s="135"/>
      <c r="AC130" s="135"/>
      <c r="AD130" s="135"/>
    </row>
    <row r="131" customFormat="false" ht="15.75" hidden="false" customHeight="true" outlineLevel="0" collapsed="false">
      <c r="A131" s="135"/>
      <c r="B131" s="135"/>
      <c r="C131" s="135"/>
      <c r="D131" s="135"/>
      <c r="E131" s="182"/>
      <c r="F131" s="135"/>
      <c r="G131" s="135"/>
      <c r="H131" s="135"/>
      <c r="I131" s="135"/>
      <c r="J131" s="135"/>
      <c r="K131" s="135"/>
      <c r="L131" s="135"/>
      <c r="M131" s="182"/>
      <c r="N131" s="135"/>
      <c r="O131" s="135"/>
      <c r="P131" s="189"/>
      <c r="Q131" s="135"/>
      <c r="R131" s="135"/>
      <c r="S131" s="135"/>
      <c r="T131" s="135"/>
      <c r="U131" s="135"/>
      <c r="V131" s="189"/>
      <c r="W131" s="135"/>
      <c r="X131" s="135"/>
      <c r="Y131" s="135"/>
      <c r="Z131" s="135"/>
      <c r="AA131" s="135"/>
      <c r="AB131" s="135"/>
      <c r="AC131" s="135"/>
      <c r="AD131" s="135"/>
    </row>
    <row r="132" customFormat="false" ht="15.75" hidden="false" customHeight="true" outlineLevel="0" collapsed="false">
      <c r="A132" s="135"/>
      <c r="B132" s="135"/>
      <c r="C132" s="135"/>
      <c r="D132" s="135"/>
      <c r="E132" s="182"/>
      <c r="F132" s="135"/>
      <c r="G132" s="135"/>
      <c r="H132" s="135"/>
      <c r="I132" s="135"/>
      <c r="J132" s="135"/>
      <c r="K132" s="135"/>
      <c r="L132" s="135"/>
      <c r="M132" s="182"/>
      <c r="N132" s="135"/>
      <c r="O132" s="135"/>
      <c r="P132" s="189"/>
      <c r="Q132" s="135"/>
      <c r="R132" s="135"/>
      <c r="S132" s="135"/>
      <c r="T132" s="135"/>
      <c r="U132" s="135"/>
      <c r="V132" s="189"/>
      <c r="W132" s="135"/>
      <c r="X132" s="135"/>
      <c r="Y132" s="135"/>
      <c r="Z132" s="135"/>
      <c r="AA132" s="135"/>
      <c r="AB132" s="135"/>
      <c r="AC132" s="135"/>
      <c r="AD132" s="135"/>
    </row>
    <row r="133" customFormat="false" ht="15.75" hidden="false" customHeight="true" outlineLevel="0" collapsed="false">
      <c r="A133" s="135"/>
      <c r="B133" s="135"/>
      <c r="C133" s="135"/>
      <c r="D133" s="135"/>
      <c r="E133" s="182"/>
      <c r="F133" s="135"/>
      <c r="G133" s="135"/>
      <c r="H133" s="135"/>
      <c r="I133" s="135"/>
      <c r="J133" s="135"/>
      <c r="K133" s="135"/>
      <c r="L133" s="135"/>
      <c r="M133" s="182"/>
      <c r="N133" s="135"/>
      <c r="O133" s="135"/>
      <c r="P133" s="189"/>
      <c r="Q133" s="135"/>
      <c r="R133" s="135"/>
      <c r="S133" s="135"/>
      <c r="T133" s="135"/>
      <c r="U133" s="135"/>
      <c r="V133" s="189"/>
      <c r="W133" s="135"/>
      <c r="X133" s="135"/>
      <c r="Y133" s="135"/>
      <c r="Z133" s="135"/>
      <c r="AA133" s="135"/>
      <c r="AB133" s="135"/>
      <c r="AC133" s="135"/>
      <c r="AD133" s="135"/>
    </row>
    <row r="134" customFormat="false" ht="15.75" hidden="false" customHeight="true" outlineLevel="0" collapsed="false">
      <c r="A134" s="135"/>
      <c r="B134" s="135"/>
      <c r="C134" s="135"/>
      <c r="D134" s="135"/>
      <c r="E134" s="182"/>
      <c r="F134" s="135"/>
      <c r="G134" s="135"/>
      <c r="H134" s="135"/>
      <c r="I134" s="135"/>
      <c r="J134" s="135"/>
      <c r="K134" s="135"/>
      <c r="L134" s="135"/>
      <c r="M134" s="182"/>
      <c r="N134" s="135"/>
      <c r="O134" s="135"/>
      <c r="P134" s="189"/>
      <c r="Q134" s="135"/>
      <c r="R134" s="135"/>
      <c r="S134" s="135"/>
      <c r="T134" s="135"/>
      <c r="U134" s="135"/>
      <c r="V134" s="189"/>
      <c r="W134" s="135"/>
      <c r="X134" s="135"/>
      <c r="Y134" s="135"/>
      <c r="Z134" s="135"/>
      <c r="AA134" s="135"/>
      <c r="AB134" s="135"/>
      <c r="AC134" s="135"/>
      <c r="AD134" s="135"/>
    </row>
    <row r="135" customFormat="false" ht="15.75" hidden="false" customHeight="true" outlineLevel="0" collapsed="false">
      <c r="A135" s="135"/>
      <c r="B135" s="135"/>
      <c r="C135" s="135"/>
      <c r="D135" s="135"/>
      <c r="E135" s="182"/>
      <c r="F135" s="135"/>
      <c r="G135" s="135"/>
      <c r="H135" s="135"/>
      <c r="I135" s="135"/>
      <c r="J135" s="135"/>
      <c r="K135" s="135"/>
      <c r="L135" s="135"/>
      <c r="M135" s="182"/>
      <c r="N135" s="135"/>
      <c r="O135" s="135"/>
      <c r="P135" s="189"/>
      <c r="Q135" s="135"/>
      <c r="R135" s="135"/>
      <c r="S135" s="135"/>
      <c r="T135" s="135"/>
      <c r="U135" s="135"/>
      <c r="V135" s="189"/>
      <c r="W135" s="135"/>
      <c r="X135" s="135"/>
      <c r="Y135" s="135"/>
      <c r="Z135" s="135"/>
      <c r="AA135" s="135"/>
      <c r="AB135" s="135"/>
      <c r="AC135" s="135"/>
      <c r="AD135" s="135"/>
    </row>
    <row r="136" customFormat="false" ht="15.75" hidden="false" customHeight="true" outlineLevel="0" collapsed="false">
      <c r="A136" s="135"/>
      <c r="B136" s="135"/>
      <c r="C136" s="135"/>
      <c r="D136" s="135"/>
      <c r="E136" s="182"/>
      <c r="F136" s="135"/>
      <c r="G136" s="135"/>
      <c r="H136" s="135"/>
      <c r="I136" s="135"/>
      <c r="J136" s="135"/>
      <c r="K136" s="135"/>
      <c r="L136" s="135"/>
      <c r="M136" s="182"/>
      <c r="N136" s="135"/>
      <c r="O136" s="135"/>
      <c r="P136" s="189"/>
      <c r="Q136" s="135"/>
      <c r="R136" s="135"/>
      <c r="S136" s="135"/>
      <c r="T136" s="135"/>
      <c r="U136" s="135"/>
      <c r="V136" s="189"/>
      <c r="W136" s="135"/>
      <c r="X136" s="135"/>
      <c r="Y136" s="135"/>
      <c r="Z136" s="135"/>
      <c r="AA136" s="135"/>
      <c r="AB136" s="135"/>
      <c r="AC136" s="135"/>
      <c r="AD136" s="135"/>
    </row>
    <row r="137" customFormat="false" ht="15.75" hidden="false" customHeight="true" outlineLevel="0" collapsed="false">
      <c r="A137" s="135"/>
      <c r="B137" s="135"/>
      <c r="C137" s="135"/>
      <c r="D137" s="135"/>
      <c r="E137" s="182"/>
      <c r="F137" s="135"/>
      <c r="G137" s="135"/>
      <c r="H137" s="135"/>
      <c r="I137" s="135"/>
      <c r="J137" s="135"/>
      <c r="K137" s="135"/>
      <c r="L137" s="135"/>
      <c r="M137" s="182"/>
      <c r="N137" s="135"/>
      <c r="O137" s="135"/>
      <c r="P137" s="189"/>
      <c r="Q137" s="135"/>
      <c r="R137" s="135"/>
      <c r="S137" s="135"/>
      <c r="T137" s="135"/>
      <c r="U137" s="135"/>
      <c r="V137" s="189"/>
      <c r="W137" s="135"/>
      <c r="X137" s="135"/>
      <c r="Y137" s="135"/>
      <c r="Z137" s="135"/>
      <c r="AA137" s="135"/>
      <c r="AB137" s="135"/>
      <c r="AC137" s="135"/>
      <c r="AD137" s="135"/>
    </row>
    <row r="138" customFormat="false" ht="15.75" hidden="false" customHeight="true" outlineLevel="0" collapsed="false">
      <c r="A138" s="135"/>
      <c r="B138" s="135"/>
      <c r="C138" s="135"/>
      <c r="D138" s="135"/>
      <c r="E138" s="182"/>
      <c r="F138" s="135"/>
      <c r="G138" s="135"/>
      <c r="H138" s="135"/>
      <c r="I138" s="135"/>
      <c r="J138" s="135"/>
      <c r="K138" s="135"/>
      <c r="L138" s="135"/>
      <c r="M138" s="182"/>
      <c r="N138" s="135"/>
      <c r="O138" s="135"/>
      <c r="P138" s="189"/>
      <c r="Q138" s="135"/>
      <c r="R138" s="135"/>
      <c r="S138" s="135"/>
      <c r="T138" s="135"/>
      <c r="U138" s="135"/>
      <c r="V138" s="189"/>
      <c r="W138" s="135"/>
      <c r="X138" s="135"/>
      <c r="Y138" s="135"/>
      <c r="Z138" s="135"/>
      <c r="AA138" s="135"/>
      <c r="AB138" s="135"/>
      <c r="AC138" s="135"/>
      <c r="AD138" s="135"/>
    </row>
    <row r="139" customFormat="false" ht="15.75" hidden="false" customHeight="true" outlineLevel="0" collapsed="false">
      <c r="A139" s="135"/>
      <c r="B139" s="135"/>
      <c r="C139" s="135"/>
      <c r="D139" s="135"/>
      <c r="E139" s="182"/>
      <c r="F139" s="135"/>
      <c r="G139" s="135"/>
      <c r="H139" s="135"/>
      <c r="I139" s="135"/>
      <c r="J139" s="135"/>
      <c r="K139" s="135"/>
      <c r="L139" s="135"/>
      <c r="M139" s="182"/>
      <c r="N139" s="135"/>
      <c r="O139" s="135"/>
      <c r="P139" s="189"/>
      <c r="Q139" s="135"/>
      <c r="R139" s="135"/>
      <c r="S139" s="135"/>
      <c r="T139" s="135"/>
      <c r="U139" s="135"/>
      <c r="V139" s="189"/>
      <c r="W139" s="135"/>
      <c r="X139" s="135"/>
      <c r="Y139" s="135"/>
      <c r="Z139" s="135"/>
      <c r="AA139" s="135"/>
      <c r="AB139" s="135"/>
      <c r="AC139" s="135"/>
      <c r="AD139" s="135"/>
    </row>
    <row r="140" customFormat="false" ht="15.75" hidden="false" customHeight="true" outlineLevel="0" collapsed="false">
      <c r="A140" s="135"/>
      <c r="B140" s="135"/>
      <c r="C140" s="135"/>
      <c r="D140" s="135"/>
      <c r="E140" s="182"/>
      <c r="F140" s="135"/>
      <c r="G140" s="135"/>
      <c r="H140" s="135"/>
      <c r="I140" s="135"/>
      <c r="J140" s="135"/>
      <c r="K140" s="135"/>
      <c r="L140" s="135"/>
      <c r="M140" s="182"/>
      <c r="N140" s="135"/>
      <c r="O140" s="135"/>
      <c r="P140" s="189"/>
      <c r="Q140" s="135"/>
      <c r="R140" s="135"/>
      <c r="S140" s="135"/>
      <c r="T140" s="135"/>
      <c r="U140" s="135"/>
      <c r="V140" s="189"/>
      <c r="W140" s="135"/>
      <c r="X140" s="135"/>
      <c r="Y140" s="135"/>
      <c r="Z140" s="135"/>
      <c r="AA140" s="135"/>
      <c r="AB140" s="135"/>
      <c r="AC140" s="135"/>
      <c r="AD140" s="135"/>
    </row>
    <row r="141" customFormat="false" ht="15.75" hidden="false" customHeight="true" outlineLevel="0" collapsed="false">
      <c r="A141" s="135"/>
      <c r="B141" s="135"/>
      <c r="C141" s="135"/>
      <c r="D141" s="135"/>
      <c r="E141" s="182"/>
      <c r="F141" s="135"/>
      <c r="G141" s="135"/>
      <c r="H141" s="135"/>
      <c r="I141" s="135"/>
      <c r="J141" s="135"/>
      <c r="K141" s="135"/>
      <c r="L141" s="135"/>
      <c r="M141" s="182"/>
      <c r="N141" s="135"/>
      <c r="O141" s="135"/>
      <c r="P141" s="189"/>
      <c r="Q141" s="135"/>
      <c r="R141" s="135"/>
      <c r="S141" s="135"/>
      <c r="T141" s="135"/>
      <c r="U141" s="135"/>
      <c r="V141" s="189"/>
      <c r="W141" s="135"/>
      <c r="X141" s="135"/>
      <c r="Y141" s="135"/>
      <c r="Z141" s="135"/>
      <c r="AA141" s="135"/>
      <c r="AB141" s="135"/>
      <c r="AC141" s="135"/>
      <c r="AD141" s="135"/>
    </row>
    <row r="142" customFormat="false" ht="15.75" hidden="false" customHeight="true" outlineLevel="0" collapsed="false">
      <c r="A142" s="135"/>
      <c r="B142" s="135"/>
      <c r="C142" s="135"/>
      <c r="D142" s="135"/>
      <c r="E142" s="182"/>
      <c r="F142" s="135"/>
      <c r="G142" s="135"/>
      <c r="H142" s="135"/>
      <c r="I142" s="135"/>
      <c r="J142" s="135"/>
      <c r="K142" s="135"/>
      <c r="L142" s="135"/>
      <c r="M142" s="182"/>
      <c r="N142" s="135"/>
      <c r="O142" s="135"/>
      <c r="P142" s="189"/>
      <c r="Q142" s="135"/>
      <c r="R142" s="135"/>
      <c r="S142" s="135"/>
      <c r="T142" s="135"/>
      <c r="U142" s="135"/>
      <c r="V142" s="189"/>
      <c r="W142" s="135"/>
      <c r="X142" s="135"/>
      <c r="Y142" s="135"/>
      <c r="Z142" s="135"/>
      <c r="AA142" s="135"/>
      <c r="AB142" s="135"/>
      <c r="AC142" s="135"/>
      <c r="AD142" s="135"/>
    </row>
    <row r="143" customFormat="false" ht="15.75" hidden="false" customHeight="true" outlineLevel="0" collapsed="false">
      <c r="A143" s="135"/>
      <c r="B143" s="135"/>
      <c r="C143" s="135"/>
      <c r="D143" s="135"/>
      <c r="E143" s="182"/>
      <c r="F143" s="135"/>
      <c r="G143" s="135"/>
      <c r="H143" s="135"/>
      <c r="I143" s="135"/>
      <c r="J143" s="135"/>
      <c r="K143" s="135"/>
      <c r="L143" s="135"/>
      <c r="M143" s="182"/>
      <c r="N143" s="135"/>
      <c r="O143" s="135"/>
      <c r="P143" s="189"/>
      <c r="Q143" s="135"/>
      <c r="R143" s="135"/>
      <c r="S143" s="135"/>
      <c r="T143" s="135"/>
      <c r="U143" s="135"/>
      <c r="V143" s="189"/>
      <c r="W143" s="135"/>
      <c r="X143" s="135"/>
      <c r="Y143" s="135"/>
      <c r="Z143" s="135"/>
      <c r="AA143" s="135"/>
      <c r="AB143" s="135"/>
      <c r="AC143" s="135"/>
      <c r="AD143" s="135"/>
    </row>
    <row r="144" customFormat="false" ht="15.75" hidden="false" customHeight="true" outlineLevel="0" collapsed="false">
      <c r="A144" s="135"/>
      <c r="B144" s="135"/>
      <c r="C144" s="135"/>
      <c r="D144" s="135"/>
      <c r="E144" s="182"/>
      <c r="F144" s="135"/>
      <c r="G144" s="135"/>
      <c r="H144" s="135"/>
      <c r="I144" s="135"/>
      <c r="J144" s="135"/>
      <c r="K144" s="135"/>
      <c r="L144" s="135"/>
      <c r="M144" s="182"/>
      <c r="N144" s="135"/>
      <c r="O144" s="135"/>
      <c r="P144" s="189"/>
      <c r="Q144" s="135"/>
      <c r="R144" s="135"/>
      <c r="S144" s="135"/>
      <c r="T144" s="135"/>
      <c r="U144" s="135"/>
      <c r="V144" s="189"/>
      <c r="W144" s="135"/>
      <c r="X144" s="135"/>
      <c r="Y144" s="135"/>
      <c r="Z144" s="135"/>
      <c r="AA144" s="135"/>
      <c r="AB144" s="135"/>
      <c r="AC144" s="135"/>
      <c r="AD144" s="135"/>
    </row>
    <row r="145" customFormat="false" ht="15.75" hidden="false" customHeight="true" outlineLevel="0" collapsed="false">
      <c r="A145" s="135"/>
      <c r="B145" s="135"/>
      <c r="C145" s="135"/>
      <c r="D145" s="135"/>
      <c r="E145" s="182"/>
      <c r="F145" s="135"/>
      <c r="G145" s="135"/>
      <c r="H145" s="135"/>
      <c r="I145" s="135"/>
      <c r="J145" s="135"/>
      <c r="K145" s="135"/>
      <c r="L145" s="135"/>
      <c r="M145" s="182"/>
      <c r="N145" s="135"/>
      <c r="O145" s="135"/>
      <c r="P145" s="189"/>
      <c r="Q145" s="135"/>
      <c r="R145" s="135"/>
      <c r="S145" s="135"/>
      <c r="T145" s="135"/>
      <c r="U145" s="135"/>
      <c r="V145" s="189"/>
      <c r="W145" s="135"/>
      <c r="X145" s="135"/>
      <c r="Y145" s="135"/>
      <c r="Z145" s="135"/>
      <c r="AA145" s="135"/>
      <c r="AB145" s="135"/>
      <c r="AC145" s="135"/>
      <c r="AD145" s="135"/>
    </row>
    <row r="146" customFormat="false" ht="15.75" hidden="false" customHeight="true" outlineLevel="0" collapsed="false">
      <c r="A146" s="135"/>
      <c r="B146" s="135"/>
      <c r="C146" s="135"/>
      <c r="D146" s="135"/>
      <c r="E146" s="182"/>
      <c r="F146" s="135"/>
      <c r="G146" s="135"/>
      <c r="H146" s="135"/>
      <c r="I146" s="135"/>
      <c r="J146" s="135"/>
      <c r="K146" s="135"/>
      <c r="L146" s="135"/>
      <c r="M146" s="182"/>
      <c r="N146" s="135"/>
      <c r="O146" s="135"/>
      <c r="P146" s="189"/>
      <c r="Q146" s="135"/>
      <c r="R146" s="135"/>
      <c r="S146" s="135"/>
      <c r="T146" s="135"/>
      <c r="U146" s="135"/>
      <c r="V146" s="189"/>
      <c r="W146" s="135"/>
      <c r="X146" s="135"/>
      <c r="Y146" s="135"/>
      <c r="Z146" s="135"/>
      <c r="AA146" s="135"/>
      <c r="AB146" s="135"/>
      <c r="AC146" s="135"/>
      <c r="AD146" s="135"/>
    </row>
    <row r="147" customFormat="false" ht="15.75" hidden="false" customHeight="true" outlineLevel="0" collapsed="false">
      <c r="A147" s="135"/>
      <c r="B147" s="135"/>
      <c r="C147" s="135"/>
      <c r="D147" s="135"/>
      <c r="E147" s="182"/>
      <c r="F147" s="135"/>
      <c r="G147" s="135"/>
      <c r="H147" s="135"/>
      <c r="I147" s="135"/>
      <c r="J147" s="135"/>
      <c r="K147" s="135"/>
      <c r="L147" s="135"/>
      <c r="M147" s="182"/>
      <c r="N147" s="135"/>
      <c r="O147" s="135"/>
      <c r="P147" s="189"/>
      <c r="Q147" s="135"/>
      <c r="R147" s="135"/>
      <c r="S147" s="135"/>
      <c r="T147" s="135"/>
      <c r="U147" s="135"/>
      <c r="V147" s="189"/>
      <c r="W147" s="135"/>
      <c r="X147" s="135"/>
      <c r="Y147" s="135"/>
      <c r="Z147" s="135"/>
      <c r="AA147" s="135"/>
      <c r="AB147" s="135"/>
      <c r="AC147" s="135"/>
      <c r="AD147" s="135"/>
    </row>
    <row r="148" customFormat="false" ht="15.75" hidden="false" customHeight="true" outlineLevel="0" collapsed="false">
      <c r="A148" s="135"/>
      <c r="B148" s="135"/>
      <c r="C148" s="135"/>
      <c r="D148" s="135"/>
      <c r="E148" s="182"/>
      <c r="F148" s="135"/>
      <c r="G148" s="135"/>
      <c r="H148" s="135"/>
      <c r="I148" s="135"/>
      <c r="J148" s="135"/>
      <c r="K148" s="135"/>
      <c r="L148" s="135"/>
      <c r="M148" s="182"/>
      <c r="N148" s="135"/>
      <c r="O148" s="135"/>
      <c r="P148" s="189"/>
      <c r="Q148" s="135"/>
      <c r="R148" s="135"/>
      <c r="S148" s="135"/>
      <c r="T148" s="135"/>
      <c r="U148" s="135"/>
      <c r="V148" s="189"/>
      <c r="W148" s="135"/>
      <c r="X148" s="135"/>
      <c r="Y148" s="135"/>
      <c r="Z148" s="135"/>
      <c r="AA148" s="135"/>
      <c r="AB148" s="135"/>
      <c r="AC148" s="135"/>
      <c r="AD148" s="135"/>
    </row>
    <row r="149" customFormat="false" ht="15.75" hidden="false" customHeight="true" outlineLevel="0" collapsed="false">
      <c r="A149" s="135"/>
      <c r="B149" s="135"/>
      <c r="C149" s="135"/>
      <c r="D149" s="135"/>
      <c r="E149" s="182"/>
      <c r="F149" s="135"/>
      <c r="G149" s="135"/>
      <c r="H149" s="135"/>
      <c r="I149" s="135"/>
      <c r="J149" s="135"/>
      <c r="K149" s="135"/>
      <c r="L149" s="135"/>
      <c r="M149" s="182"/>
      <c r="N149" s="135"/>
      <c r="O149" s="135"/>
      <c r="P149" s="189"/>
      <c r="Q149" s="135"/>
      <c r="R149" s="135"/>
      <c r="S149" s="135"/>
      <c r="T149" s="135"/>
      <c r="U149" s="135"/>
      <c r="V149" s="189"/>
      <c r="W149" s="135"/>
      <c r="X149" s="135"/>
      <c r="Y149" s="135"/>
      <c r="Z149" s="135"/>
      <c r="AA149" s="135"/>
      <c r="AB149" s="135"/>
      <c r="AC149" s="135"/>
      <c r="AD149" s="135"/>
    </row>
    <row r="150" customFormat="false" ht="15.75" hidden="false" customHeight="true" outlineLevel="0" collapsed="false">
      <c r="A150" s="135"/>
      <c r="B150" s="135"/>
      <c r="C150" s="135"/>
      <c r="D150" s="135"/>
      <c r="E150" s="182"/>
      <c r="F150" s="135"/>
      <c r="G150" s="135"/>
      <c r="H150" s="135"/>
      <c r="I150" s="135"/>
      <c r="J150" s="135"/>
      <c r="K150" s="135"/>
      <c r="L150" s="135"/>
      <c r="M150" s="182"/>
      <c r="N150" s="135"/>
      <c r="O150" s="135"/>
      <c r="P150" s="189"/>
      <c r="Q150" s="135"/>
      <c r="R150" s="135"/>
      <c r="S150" s="135"/>
      <c r="T150" s="135"/>
      <c r="U150" s="135"/>
      <c r="V150" s="189"/>
      <c r="W150" s="135"/>
      <c r="X150" s="135"/>
      <c r="Y150" s="135"/>
      <c r="Z150" s="135"/>
      <c r="AA150" s="135"/>
      <c r="AB150" s="135"/>
      <c r="AC150" s="135"/>
      <c r="AD150" s="135"/>
    </row>
    <row r="151" customFormat="false" ht="15.75" hidden="false" customHeight="true" outlineLevel="0" collapsed="false">
      <c r="A151" s="135"/>
      <c r="B151" s="135"/>
      <c r="C151" s="135"/>
      <c r="D151" s="135"/>
      <c r="E151" s="182"/>
      <c r="F151" s="135"/>
      <c r="G151" s="135"/>
      <c r="H151" s="135"/>
      <c r="I151" s="135"/>
      <c r="J151" s="135"/>
      <c r="K151" s="135"/>
      <c r="L151" s="135"/>
      <c r="M151" s="182"/>
      <c r="N151" s="135"/>
      <c r="O151" s="135"/>
      <c r="P151" s="189"/>
      <c r="Q151" s="135"/>
      <c r="R151" s="135"/>
      <c r="S151" s="135"/>
      <c r="T151" s="135"/>
      <c r="U151" s="135"/>
      <c r="V151" s="189"/>
      <c r="W151" s="135"/>
      <c r="X151" s="135"/>
      <c r="Y151" s="135"/>
      <c r="Z151" s="135"/>
      <c r="AA151" s="135"/>
      <c r="AB151" s="135"/>
      <c r="AC151" s="135"/>
      <c r="AD151" s="135"/>
    </row>
    <row r="152" customFormat="false" ht="15.75" hidden="false" customHeight="true" outlineLevel="0" collapsed="false">
      <c r="A152" s="135"/>
      <c r="B152" s="135"/>
      <c r="C152" s="135"/>
      <c r="D152" s="135"/>
      <c r="E152" s="182"/>
      <c r="F152" s="135"/>
      <c r="G152" s="135"/>
      <c r="H152" s="135"/>
      <c r="I152" s="135"/>
      <c r="J152" s="135"/>
      <c r="K152" s="135"/>
      <c r="L152" s="135"/>
      <c r="M152" s="182"/>
      <c r="N152" s="135"/>
      <c r="O152" s="135"/>
      <c r="P152" s="189"/>
      <c r="Q152" s="135"/>
      <c r="R152" s="135"/>
      <c r="S152" s="135"/>
      <c r="T152" s="135"/>
      <c r="U152" s="135"/>
      <c r="V152" s="189"/>
      <c r="W152" s="135"/>
      <c r="X152" s="135"/>
      <c r="Y152" s="135"/>
      <c r="Z152" s="135"/>
      <c r="AA152" s="135"/>
      <c r="AB152" s="135"/>
      <c r="AC152" s="135"/>
      <c r="AD152" s="135"/>
    </row>
    <row r="153" customFormat="false" ht="15.75" hidden="false" customHeight="true" outlineLevel="0" collapsed="false">
      <c r="A153" s="135"/>
      <c r="B153" s="135"/>
      <c r="C153" s="135"/>
      <c r="D153" s="135"/>
      <c r="E153" s="182"/>
      <c r="F153" s="135"/>
      <c r="G153" s="135"/>
      <c r="H153" s="135"/>
      <c r="I153" s="135"/>
      <c r="J153" s="135"/>
      <c r="K153" s="135"/>
      <c r="L153" s="135"/>
      <c r="M153" s="182"/>
      <c r="N153" s="135"/>
      <c r="O153" s="135"/>
      <c r="P153" s="189"/>
      <c r="Q153" s="135"/>
      <c r="R153" s="135"/>
      <c r="S153" s="135"/>
      <c r="T153" s="135"/>
      <c r="U153" s="135"/>
      <c r="V153" s="189"/>
      <c r="W153" s="135"/>
      <c r="X153" s="135"/>
      <c r="Y153" s="135"/>
      <c r="Z153" s="135"/>
      <c r="AA153" s="135"/>
      <c r="AB153" s="135"/>
      <c r="AC153" s="135"/>
      <c r="AD153" s="135"/>
    </row>
    <row r="154" customFormat="false" ht="15.75" hidden="false" customHeight="true" outlineLevel="0" collapsed="false">
      <c r="A154" s="135"/>
      <c r="B154" s="135"/>
      <c r="C154" s="135"/>
      <c r="D154" s="135"/>
      <c r="E154" s="182"/>
      <c r="F154" s="135"/>
      <c r="G154" s="135"/>
      <c r="H154" s="135"/>
      <c r="I154" s="135"/>
      <c r="J154" s="135"/>
      <c r="K154" s="135"/>
      <c r="L154" s="135"/>
      <c r="M154" s="182"/>
      <c r="N154" s="135"/>
      <c r="O154" s="135"/>
      <c r="P154" s="189"/>
      <c r="Q154" s="135"/>
      <c r="R154" s="135"/>
      <c r="S154" s="135"/>
      <c r="T154" s="135"/>
      <c r="U154" s="135"/>
      <c r="V154" s="189"/>
      <c r="W154" s="135"/>
      <c r="X154" s="135"/>
      <c r="Y154" s="135"/>
      <c r="Z154" s="135"/>
      <c r="AA154" s="135"/>
      <c r="AB154" s="135"/>
      <c r="AC154" s="135"/>
      <c r="AD154" s="135"/>
    </row>
    <row r="155" customFormat="false" ht="15.75" hidden="false" customHeight="true" outlineLevel="0" collapsed="false">
      <c r="A155" s="135"/>
      <c r="B155" s="135"/>
      <c r="C155" s="135"/>
      <c r="D155" s="135"/>
      <c r="E155" s="182"/>
      <c r="F155" s="135"/>
      <c r="G155" s="135"/>
      <c r="H155" s="135"/>
      <c r="I155" s="135"/>
      <c r="J155" s="135"/>
      <c r="K155" s="135"/>
      <c r="L155" s="135"/>
      <c r="M155" s="182"/>
      <c r="N155" s="135"/>
      <c r="O155" s="135"/>
      <c r="P155" s="189"/>
      <c r="Q155" s="135"/>
      <c r="R155" s="135"/>
      <c r="S155" s="135"/>
      <c r="T155" s="135"/>
      <c r="U155" s="135"/>
      <c r="V155" s="189"/>
      <c r="W155" s="135"/>
      <c r="X155" s="135"/>
      <c r="Y155" s="135"/>
      <c r="Z155" s="135"/>
      <c r="AA155" s="135"/>
      <c r="AB155" s="135"/>
      <c r="AC155" s="135"/>
      <c r="AD155" s="135"/>
    </row>
    <row r="156" customFormat="false" ht="15.75" hidden="false" customHeight="true" outlineLevel="0" collapsed="false">
      <c r="A156" s="135"/>
      <c r="B156" s="135"/>
      <c r="C156" s="135"/>
      <c r="D156" s="135"/>
      <c r="E156" s="182"/>
      <c r="F156" s="135"/>
      <c r="G156" s="135"/>
      <c r="H156" s="135"/>
      <c r="I156" s="135"/>
      <c r="J156" s="135"/>
      <c r="K156" s="135"/>
      <c r="L156" s="135"/>
      <c r="M156" s="182"/>
      <c r="N156" s="135"/>
      <c r="O156" s="135"/>
      <c r="P156" s="189"/>
      <c r="Q156" s="135"/>
      <c r="R156" s="135"/>
      <c r="S156" s="135"/>
      <c r="T156" s="135"/>
      <c r="U156" s="135"/>
      <c r="V156" s="189"/>
      <c r="W156" s="135"/>
      <c r="X156" s="135"/>
      <c r="Y156" s="135"/>
      <c r="Z156" s="135"/>
      <c r="AA156" s="135"/>
      <c r="AB156" s="135"/>
      <c r="AC156" s="135"/>
      <c r="AD156" s="135"/>
    </row>
    <row r="157" customFormat="false" ht="15.75" hidden="false" customHeight="true" outlineLevel="0" collapsed="false">
      <c r="A157" s="135"/>
      <c r="B157" s="135"/>
      <c r="C157" s="135"/>
      <c r="D157" s="135"/>
      <c r="E157" s="182"/>
      <c r="F157" s="135"/>
      <c r="G157" s="135"/>
      <c r="H157" s="135"/>
      <c r="I157" s="135"/>
      <c r="J157" s="135"/>
      <c r="K157" s="135"/>
      <c r="L157" s="135"/>
      <c r="M157" s="182"/>
      <c r="N157" s="135"/>
      <c r="O157" s="135"/>
      <c r="P157" s="189"/>
      <c r="Q157" s="135"/>
      <c r="R157" s="135"/>
      <c r="S157" s="135"/>
      <c r="T157" s="135"/>
      <c r="U157" s="135"/>
      <c r="V157" s="189"/>
      <c r="W157" s="135"/>
      <c r="X157" s="135"/>
      <c r="Y157" s="135"/>
      <c r="Z157" s="135"/>
      <c r="AA157" s="135"/>
      <c r="AB157" s="135"/>
      <c r="AC157" s="135"/>
      <c r="AD157" s="135"/>
    </row>
    <row r="158" customFormat="false" ht="15.75" hidden="false" customHeight="true" outlineLevel="0" collapsed="false">
      <c r="A158" s="135"/>
      <c r="B158" s="135"/>
      <c r="C158" s="135"/>
      <c r="D158" s="135"/>
      <c r="E158" s="182"/>
      <c r="F158" s="135"/>
      <c r="G158" s="135"/>
      <c r="H158" s="135"/>
      <c r="I158" s="135"/>
      <c r="J158" s="135"/>
      <c r="K158" s="135"/>
      <c r="L158" s="135"/>
      <c r="M158" s="182"/>
      <c r="N158" s="135"/>
      <c r="O158" s="135"/>
      <c r="P158" s="189"/>
      <c r="Q158" s="135"/>
      <c r="R158" s="135"/>
      <c r="S158" s="135"/>
      <c r="T158" s="135"/>
      <c r="U158" s="135"/>
      <c r="V158" s="189"/>
      <c r="W158" s="135"/>
      <c r="X158" s="135"/>
      <c r="Y158" s="135"/>
      <c r="Z158" s="135"/>
      <c r="AA158" s="135"/>
      <c r="AB158" s="135"/>
      <c r="AC158" s="135"/>
      <c r="AD158" s="135"/>
    </row>
    <row r="159" customFormat="false" ht="15.75" hidden="false" customHeight="true" outlineLevel="0" collapsed="false">
      <c r="A159" s="135"/>
      <c r="B159" s="135"/>
      <c r="C159" s="135"/>
      <c r="D159" s="135"/>
      <c r="E159" s="182"/>
      <c r="F159" s="135"/>
      <c r="G159" s="135"/>
      <c r="H159" s="135"/>
      <c r="I159" s="135"/>
      <c r="J159" s="135"/>
      <c r="K159" s="135"/>
      <c r="L159" s="135"/>
      <c r="M159" s="182"/>
      <c r="N159" s="135"/>
      <c r="O159" s="135"/>
      <c r="P159" s="189"/>
      <c r="Q159" s="135"/>
      <c r="R159" s="135"/>
      <c r="S159" s="135"/>
      <c r="T159" s="135"/>
      <c r="U159" s="135"/>
      <c r="V159" s="189"/>
      <c r="W159" s="135"/>
      <c r="X159" s="135"/>
      <c r="Y159" s="135"/>
      <c r="Z159" s="135"/>
      <c r="AA159" s="135"/>
      <c r="AB159" s="135"/>
      <c r="AC159" s="135"/>
      <c r="AD159" s="135"/>
    </row>
    <row r="160" customFormat="false" ht="15.75" hidden="false" customHeight="true" outlineLevel="0" collapsed="false">
      <c r="A160" s="135"/>
      <c r="B160" s="135"/>
      <c r="C160" s="135"/>
      <c r="D160" s="135"/>
      <c r="E160" s="182"/>
      <c r="F160" s="135"/>
      <c r="G160" s="135"/>
      <c r="H160" s="135"/>
      <c r="I160" s="135"/>
      <c r="J160" s="135"/>
      <c r="K160" s="135"/>
      <c r="L160" s="135"/>
      <c r="M160" s="182"/>
      <c r="N160" s="135"/>
      <c r="O160" s="135"/>
      <c r="P160" s="189"/>
      <c r="Q160" s="135"/>
      <c r="R160" s="135"/>
      <c r="S160" s="135"/>
      <c r="T160" s="135"/>
      <c r="U160" s="135"/>
      <c r="V160" s="189"/>
      <c r="W160" s="135"/>
      <c r="X160" s="135"/>
      <c r="Y160" s="135"/>
      <c r="Z160" s="135"/>
      <c r="AA160" s="135"/>
      <c r="AB160" s="135"/>
      <c r="AC160" s="135"/>
      <c r="AD160" s="135"/>
    </row>
    <row r="161" customFormat="false" ht="15.75" hidden="false" customHeight="true" outlineLevel="0" collapsed="false">
      <c r="A161" s="135"/>
      <c r="B161" s="135"/>
      <c r="C161" s="135"/>
      <c r="D161" s="135"/>
      <c r="E161" s="182"/>
      <c r="F161" s="135"/>
      <c r="G161" s="135"/>
      <c r="H161" s="135"/>
      <c r="I161" s="135"/>
      <c r="J161" s="135"/>
      <c r="K161" s="135"/>
      <c r="L161" s="135"/>
      <c r="M161" s="182"/>
      <c r="N161" s="135"/>
      <c r="O161" s="135"/>
      <c r="P161" s="189"/>
      <c r="Q161" s="135"/>
      <c r="R161" s="135"/>
      <c r="S161" s="135"/>
      <c r="T161" s="135"/>
      <c r="U161" s="135"/>
      <c r="V161" s="189"/>
      <c r="W161" s="135"/>
      <c r="X161" s="135"/>
      <c r="Y161" s="135"/>
      <c r="Z161" s="135"/>
      <c r="AA161" s="135"/>
      <c r="AB161" s="135"/>
      <c r="AC161" s="135"/>
      <c r="AD161" s="135"/>
    </row>
    <row r="162" customFormat="false" ht="15.75" hidden="false" customHeight="true" outlineLevel="0" collapsed="false">
      <c r="A162" s="135"/>
      <c r="B162" s="135"/>
      <c r="C162" s="135"/>
      <c r="D162" s="135"/>
      <c r="E162" s="182"/>
      <c r="F162" s="135"/>
      <c r="G162" s="135"/>
      <c r="H162" s="135"/>
      <c r="I162" s="135"/>
      <c r="J162" s="135"/>
      <c r="K162" s="135"/>
      <c r="L162" s="135"/>
      <c r="M162" s="182"/>
      <c r="N162" s="135"/>
      <c r="O162" s="135"/>
      <c r="P162" s="189"/>
      <c r="Q162" s="135"/>
      <c r="R162" s="135"/>
      <c r="S162" s="135"/>
      <c r="T162" s="135"/>
      <c r="U162" s="135"/>
      <c r="V162" s="189"/>
      <c r="W162" s="135"/>
      <c r="X162" s="135"/>
      <c r="Y162" s="135"/>
      <c r="Z162" s="135"/>
      <c r="AA162" s="135"/>
      <c r="AB162" s="135"/>
      <c r="AC162" s="135"/>
      <c r="AD162" s="135"/>
    </row>
    <row r="163" customFormat="false" ht="15.75" hidden="false" customHeight="true" outlineLevel="0" collapsed="false">
      <c r="A163" s="135"/>
      <c r="B163" s="135"/>
      <c r="C163" s="135"/>
      <c r="D163" s="135"/>
      <c r="E163" s="182"/>
      <c r="F163" s="135"/>
      <c r="G163" s="135"/>
      <c r="H163" s="135"/>
      <c r="I163" s="135"/>
      <c r="J163" s="135"/>
      <c r="K163" s="135"/>
      <c r="L163" s="135"/>
      <c r="M163" s="182"/>
      <c r="N163" s="135"/>
      <c r="O163" s="135"/>
      <c r="P163" s="189"/>
      <c r="Q163" s="135"/>
      <c r="R163" s="135"/>
      <c r="S163" s="135"/>
      <c r="T163" s="135"/>
      <c r="U163" s="135"/>
      <c r="V163" s="189"/>
      <c r="W163" s="135"/>
      <c r="X163" s="135"/>
      <c r="Y163" s="135"/>
      <c r="Z163" s="135"/>
      <c r="AA163" s="135"/>
      <c r="AB163" s="135"/>
      <c r="AC163" s="135"/>
      <c r="AD163" s="135"/>
    </row>
    <row r="164" customFormat="false" ht="15.75" hidden="false" customHeight="true" outlineLevel="0" collapsed="false">
      <c r="A164" s="135"/>
      <c r="B164" s="135"/>
      <c r="C164" s="135"/>
      <c r="D164" s="135"/>
      <c r="E164" s="182"/>
      <c r="F164" s="135"/>
      <c r="G164" s="135"/>
      <c r="H164" s="135"/>
      <c r="I164" s="135"/>
      <c r="J164" s="135"/>
      <c r="K164" s="135"/>
      <c r="L164" s="135"/>
      <c r="M164" s="182"/>
      <c r="N164" s="135"/>
      <c r="O164" s="135"/>
      <c r="P164" s="189"/>
      <c r="Q164" s="135"/>
      <c r="R164" s="135"/>
      <c r="S164" s="135"/>
      <c r="T164" s="135"/>
      <c r="U164" s="135"/>
      <c r="V164" s="189"/>
      <c r="W164" s="135"/>
      <c r="X164" s="135"/>
      <c r="Y164" s="135"/>
      <c r="Z164" s="135"/>
      <c r="AA164" s="135"/>
      <c r="AB164" s="135"/>
      <c r="AC164" s="135"/>
      <c r="AD164" s="135"/>
    </row>
    <row r="165" customFormat="false" ht="15.75" hidden="false" customHeight="true" outlineLevel="0" collapsed="false">
      <c r="A165" s="135"/>
      <c r="B165" s="135"/>
      <c r="C165" s="135"/>
      <c r="D165" s="135"/>
      <c r="E165" s="182"/>
      <c r="F165" s="135"/>
      <c r="G165" s="135"/>
      <c r="H165" s="135"/>
      <c r="I165" s="135"/>
      <c r="J165" s="135"/>
      <c r="K165" s="135"/>
      <c r="L165" s="135"/>
      <c r="M165" s="182"/>
      <c r="N165" s="135"/>
      <c r="O165" s="135"/>
      <c r="P165" s="189"/>
      <c r="Q165" s="135"/>
      <c r="R165" s="135"/>
      <c r="S165" s="135"/>
      <c r="T165" s="135"/>
      <c r="U165" s="135"/>
      <c r="V165" s="189"/>
      <c r="W165" s="135"/>
      <c r="X165" s="135"/>
      <c r="Y165" s="135"/>
      <c r="Z165" s="135"/>
      <c r="AA165" s="135"/>
      <c r="AB165" s="135"/>
      <c r="AC165" s="135"/>
      <c r="AD165" s="135"/>
    </row>
    <row r="166" customFormat="false" ht="15.75" hidden="false" customHeight="true" outlineLevel="0" collapsed="false">
      <c r="A166" s="135"/>
      <c r="B166" s="135"/>
      <c r="C166" s="135"/>
      <c r="D166" s="135"/>
      <c r="E166" s="182"/>
      <c r="F166" s="135"/>
      <c r="G166" s="135"/>
      <c r="H166" s="135"/>
      <c r="I166" s="135"/>
      <c r="J166" s="135"/>
      <c r="K166" s="135"/>
      <c r="L166" s="135"/>
      <c r="M166" s="182"/>
      <c r="N166" s="135"/>
      <c r="O166" s="135"/>
      <c r="P166" s="189"/>
      <c r="Q166" s="135"/>
      <c r="R166" s="135"/>
      <c r="S166" s="135"/>
      <c r="T166" s="135"/>
      <c r="U166" s="135"/>
      <c r="V166" s="189"/>
      <c r="W166" s="135"/>
      <c r="X166" s="135"/>
      <c r="Y166" s="135"/>
      <c r="Z166" s="135"/>
      <c r="AA166" s="135"/>
      <c r="AB166" s="135"/>
      <c r="AC166" s="135"/>
      <c r="AD166" s="135"/>
    </row>
    <row r="167" customFormat="false" ht="15.75" hidden="false" customHeight="true" outlineLevel="0" collapsed="false">
      <c r="A167" s="135"/>
      <c r="B167" s="135"/>
      <c r="C167" s="135"/>
      <c r="D167" s="135"/>
      <c r="E167" s="182"/>
      <c r="F167" s="135"/>
      <c r="G167" s="135"/>
      <c r="H167" s="135"/>
      <c r="I167" s="135"/>
      <c r="J167" s="135"/>
      <c r="K167" s="135"/>
      <c r="L167" s="135"/>
      <c r="M167" s="182"/>
      <c r="N167" s="135"/>
      <c r="O167" s="135"/>
      <c r="P167" s="189"/>
      <c r="Q167" s="135"/>
      <c r="R167" s="135"/>
      <c r="S167" s="135"/>
      <c r="T167" s="135"/>
      <c r="U167" s="135"/>
      <c r="V167" s="189"/>
      <c r="W167" s="135"/>
      <c r="X167" s="135"/>
      <c r="Y167" s="135"/>
      <c r="Z167" s="135"/>
      <c r="AA167" s="135"/>
      <c r="AB167" s="135"/>
      <c r="AC167" s="135"/>
      <c r="AD167" s="135"/>
    </row>
    <row r="168" customFormat="false" ht="15.75" hidden="false" customHeight="true" outlineLevel="0" collapsed="false">
      <c r="A168" s="135"/>
      <c r="B168" s="135"/>
      <c r="C168" s="135"/>
      <c r="D168" s="135"/>
      <c r="E168" s="182"/>
      <c r="F168" s="135"/>
      <c r="G168" s="135"/>
      <c r="H168" s="135"/>
      <c r="I168" s="135"/>
      <c r="J168" s="135"/>
      <c r="K168" s="135"/>
      <c r="L168" s="135"/>
      <c r="M168" s="182"/>
      <c r="N168" s="135"/>
      <c r="O168" s="135"/>
      <c r="P168" s="189"/>
      <c r="Q168" s="135"/>
      <c r="R168" s="135"/>
      <c r="S168" s="135"/>
      <c r="T168" s="135"/>
      <c r="U168" s="135"/>
      <c r="V168" s="189"/>
      <c r="W168" s="135"/>
      <c r="X168" s="135"/>
      <c r="Y168" s="135"/>
      <c r="Z168" s="135"/>
      <c r="AA168" s="135"/>
      <c r="AB168" s="135"/>
      <c r="AC168" s="135"/>
      <c r="AD168" s="135"/>
    </row>
    <row r="169" customFormat="false" ht="15.75" hidden="false" customHeight="true" outlineLevel="0" collapsed="false">
      <c r="A169" s="135"/>
      <c r="B169" s="135"/>
      <c r="C169" s="135"/>
      <c r="D169" s="135"/>
      <c r="E169" s="182"/>
      <c r="F169" s="135"/>
      <c r="G169" s="135"/>
      <c r="H169" s="135"/>
      <c r="I169" s="135"/>
      <c r="J169" s="135"/>
      <c r="K169" s="135"/>
      <c r="L169" s="135"/>
      <c r="M169" s="182"/>
      <c r="N169" s="135"/>
      <c r="O169" s="135"/>
      <c r="P169" s="189"/>
      <c r="Q169" s="135"/>
      <c r="R169" s="135"/>
      <c r="S169" s="135"/>
      <c r="T169" s="135"/>
      <c r="U169" s="135"/>
      <c r="V169" s="189"/>
      <c r="W169" s="135"/>
      <c r="X169" s="135"/>
      <c r="Y169" s="135"/>
      <c r="Z169" s="135"/>
      <c r="AA169" s="135"/>
      <c r="AB169" s="135"/>
      <c r="AC169" s="135"/>
      <c r="AD169" s="135"/>
    </row>
    <row r="170" customFormat="false" ht="15.75" hidden="false" customHeight="true" outlineLevel="0" collapsed="false">
      <c r="A170" s="135"/>
      <c r="B170" s="135"/>
      <c r="C170" s="135"/>
      <c r="D170" s="135"/>
      <c r="E170" s="182"/>
      <c r="F170" s="135"/>
      <c r="G170" s="135"/>
      <c r="H170" s="135"/>
      <c r="I170" s="135"/>
      <c r="J170" s="135"/>
      <c r="K170" s="135"/>
      <c r="L170" s="135"/>
      <c r="M170" s="182"/>
      <c r="N170" s="135"/>
      <c r="O170" s="135"/>
      <c r="P170" s="189"/>
      <c r="Q170" s="135"/>
      <c r="R170" s="135"/>
      <c r="S170" s="135"/>
      <c r="T170" s="135"/>
      <c r="U170" s="135"/>
      <c r="V170" s="189"/>
      <c r="W170" s="135"/>
      <c r="X170" s="135"/>
      <c r="Y170" s="135"/>
      <c r="Z170" s="135"/>
      <c r="AA170" s="135"/>
      <c r="AB170" s="135"/>
      <c r="AC170" s="135"/>
      <c r="AD170" s="135"/>
    </row>
    <row r="171" customFormat="false" ht="15.75" hidden="false" customHeight="true" outlineLevel="0" collapsed="false">
      <c r="A171" s="135"/>
      <c r="B171" s="135"/>
      <c r="C171" s="135"/>
      <c r="D171" s="135"/>
      <c r="E171" s="182"/>
      <c r="F171" s="135"/>
      <c r="G171" s="135"/>
      <c r="H171" s="135"/>
      <c r="I171" s="135"/>
      <c r="J171" s="135"/>
      <c r="K171" s="135"/>
      <c r="L171" s="135"/>
      <c r="M171" s="182"/>
      <c r="N171" s="135"/>
      <c r="O171" s="135"/>
      <c r="P171" s="189"/>
      <c r="Q171" s="135"/>
      <c r="R171" s="135"/>
      <c r="S171" s="135"/>
      <c r="T171" s="135"/>
      <c r="U171" s="135"/>
      <c r="V171" s="189"/>
      <c r="W171" s="135"/>
      <c r="X171" s="135"/>
      <c r="Y171" s="135"/>
      <c r="Z171" s="135"/>
      <c r="AA171" s="135"/>
      <c r="AB171" s="135"/>
      <c r="AC171" s="135"/>
      <c r="AD171" s="135"/>
    </row>
    <row r="172" customFormat="false" ht="15.75" hidden="false" customHeight="true" outlineLevel="0" collapsed="false">
      <c r="A172" s="135"/>
      <c r="B172" s="135"/>
      <c r="C172" s="135"/>
      <c r="D172" s="135"/>
      <c r="E172" s="182"/>
      <c r="F172" s="135"/>
      <c r="G172" s="135"/>
      <c r="H172" s="135"/>
      <c r="I172" s="135"/>
      <c r="J172" s="135"/>
      <c r="K172" s="135"/>
      <c r="L172" s="135"/>
      <c r="M172" s="182"/>
      <c r="N172" s="135"/>
      <c r="O172" s="135"/>
      <c r="P172" s="189"/>
      <c r="Q172" s="135"/>
      <c r="R172" s="135"/>
      <c r="S172" s="135"/>
      <c r="T172" s="135"/>
      <c r="U172" s="135"/>
      <c r="V172" s="189"/>
      <c r="W172" s="135"/>
      <c r="X172" s="135"/>
      <c r="Y172" s="135"/>
      <c r="Z172" s="135"/>
      <c r="AA172" s="135"/>
      <c r="AB172" s="135"/>
      <c r="AC172" s="135"/>
      <c r="AD172" s="135"/>
    </row>
    <row r="173" customFormat="false" ht="15.75" hidden="false" customHeight="true" outlineLevel="0" collapsed="false">
      <c r="A173" s="135"/>
      <c r="B173" s="135"/>
      <c r="C173" s="135"/>
      <c r="D173" s="135"/>
      <c r="E173" s="182"/>
      <c r="F173" s="135"/>
      <c r="G173" s="135"/>
      <c r="H173" s="135"/>
      <c r="I173" s="135"/>
      <c r="J173" s="135"/>
      <c r="K173" s="135"/>
      <c r="L173" s="135"/>
      <c r="M173" s="182"/>
      <c r="N173" s="135"/>
      <c r="O173" s="135"/>
      <c r="P173" s="189"/>
      <c r="Q173" s="135"/>
      <c r="R173" s="135"/>
      <c r="S173" s="135"/>
      <c r="T173" s="135"/>
      <c r="U173" s="135"/>
      <c r="V173" s="189"/>
      <c r="W173" s="135"/>
      <c r="X173" s="135"/>
      <c r="Y173" s="135"/>
      <c r="Z173" s="135"/>
      <c r="AA173" s="135"/>
      <c r="AB173" s="135"/>
      <c r="AC173" s="135"/>
      <c r="AD173" s="135"/>
    </row>
    <row r="174" customFormat="false" ht="15.75" hidden="false" customHeight="true" outlineLevel="0" collapsed="false">
      <c r="A174" s="135"/>
      <c r="B174" s="135"/>
      <c r="C174" s="135"/>
      <c r="D174" s="135"/>
      <c r="E174" s="182"/>
      <c r="F174" s="135"/>
      <c r="G174" s="135"/>
      <c r="H174" s="135"/>
      <c r="I174" s="135"/>
      <c r="J174" s="135"/>
      <c r="K174" s="135"/>
      <c r="L174" s="135"/>
      <c r="M174" s="182"/>
      <c r="N174" s="135"/>
      <c r="O174" s="135"/>
      <c r="P174" s="189"/>
      <c r="Q174" s="135"/>
      <c r="R174" s="135"/>
      <c r="S174" s="135"/>
      <c r="T174" s="135"/>
      <c r="U174" s="135"/>
      <c r="V174" s="189"/>
      <c r="W174" s="135"/>
      <c r="X174" s="135"/>
      <c r="Y174" s="135"/>
      <c r="Z174" s="135"/>
      <c r="AA174" s="135"/>
      <c r="AB174" s="135"/>
      <c r="AC174" s="135"/>
      <c r="AD174" s="135"/>
    </row>
    <row r="175" customFormat="false" ht="15.75" hidden="false" customHeight="true" outlineLevel="0" collapsed="false">
      <c r="A175" s="135"/>
      <c r="B175" s="135"/>
      <c r="C175" s="135"/>
      <c r="D175" s="135"/>
      <c r="E175" s="182"/>
      <c r="F175" s="135"/>
      <c r="G175" s="135"/>
      <c r="H175" s="135"/>
      <c r="I175" s="135"/>
      <c r="J175" s="135"/>
      <c r="K175" s="135"/>
      <c r="L175" s="135"/>
      <c r="M175" s="182"/>
      <c r="N175" s="135"/>
      <c r="O175" s="135"/>
      <c r="P175" s="189"/>
      <c r="Q175" s="135"/>
      <c r="R175" s="135"/>
      <c r="S175" s="135"/>
      <c r="T175" s="135"/>
      <c r="U175" s="135"/>
      <c r="V175" s="189"/>
      <c r="W175" s="135"/>
      <c r="X175" s="135"/>
      <c r="Y175" s="135"/>
      <c r="Z175" s="135"/>
      <c r="AA175" s="135"/>
      <c r="AB175" s="135"/>
      <c r="AC175" s="135"/>
      <c r="AD175" s="135"/>
    </row>
    <row r="176" customFormat="false" ht="15.75" hidden="false" customHeight="true" outlineLevel="0" collapsed="false">
      <c r="A176" s="135"/>
      <c r="B176" s="135"/>
      <c r="C176" s="135"/>
      <c r="D176" s="135"/>
      <c r="E176" s="182"/>
      <c r="F176" s="135"/>
      <c r="G176" s="135"/>
      <c r="H176" s="135"/>
      <c r="I176" s="135"/>
      <c r="J176" s="135"/>
      <c r="K176" s="135"/>
      <c r="L176" s="135"/>
      <c r="M176" s="182"/>
      <c r="N176" s="135"/>
      <c r="O176" s="135"/>
      <c r="P176" s="189"/>
      <c r="Q176" s="135"/>
      <c r="R176" s="135"/>
      <c r="S176" s="135"/>
      <c r="T176" s="135"/>
      <c r="U176" s="135"/>
      <c r="V176" s="189"/>
      <c r="W176" s="135"/>
      <c r="X176" s="135"/>
      <c r="Y176" s="135"/>
      <c r="Z176" s="135"/>
      <c r="AA176" s="135"/>
      <c r="AB176" s="135"/>
      <c r="AC176" s="135"/>
      <c r="AD176" s="135"/>
    </row>
    <row r="177" customFormat="false" ht="15.75" hidden="false" customHeight="true" outlineLevel="0" collapsed="false">
      <c r="A177" s="135"/>
      <c r="B177" s="135"/>
      <c r="C177" s="135"/>
      <c r="D177" s="135"/>
      <c r="E177" s="182"/>
      <c r="F177" s="135"/>
      <c r="G177" s="135"/>
      <c r="H177" s="135"/>
      <c r="I177" s="135"/>
      <c r="J177" s="135"/>
      <c r="K177" s="135"/>
      <c r="L177" s="135"/>
      <c r="M177" s="182"/>
      <c r="N177" s="135"/>
      <c r="O177" s="135"/>
      <c r="P177" s="189"/>
      <c r="Q177" s="135"/>
      <c r="R177" s="135"/>
      <c r="S177" s="135"/>
      <c r="T177" s="135"/>
      <c r="U177" s="135"/>
      <c r="V177" s="189"/>
      <c r="W177" s="135"/>
      <c r="X177" s="135"/>
      <c r="Y177" s="135"/>
      <c r="Z177" s="135"/>
      <c r="AA177" s="135"/>
      <c r="AB177" s="135"/>
      <c r="AC177" s="135"/>
      <c r="AD177" s="135"/>
    </row>
    <row r="178" customFormat="false" ht="15.75" hidden="false" customHeight="true" outlineLevel="0" collapsed="false">
      <c r="A178" s="135"/>
      <c r="B178" s="135"/>
      <c r="C178" s="135"/>
      <c r="D178" s="135"/>
      <c r="E178" s="182"/>
      <c r="F178" s="135"/>
      <c r="G178" s="135"/>
      <c r="H178" s="135"/>
      <c r="I178" s="135"/>
      <c r="J178" s="135"/>
      <c r="K178" s="135"/>
      <c r="L178" s="135"/>
      <c r="M178" s="182"/>
      <c r="N178" s="135"/>
      <c r="O178" s="135"/>
      <c r="P178" s="189"/>
      <c r="Q178" s="135"/>
      <c r="R178" s="135"/>
      <c r="S178" s="135"/>
      <c r="T178" s="135"/>
      <c r="U178" s="135"/>
      <c r="V178" s="189"/>
      <c r="W178" s="135"/>
      <c r="X178" s="135"/>
      <c r="Y178" s="135"/>
      <c r="Z178" s="135"/>
      <c r="AA178" s="135"/>
      <c r="AB178" s="135"/>
      <c r="AC178" s="135"/>
      <c r="AD178" s="135"/>
    </row>
    <row r="179" customFormat="false" ht="15.75" hidden="false" customHeight="true" outlineLevel="0" collapsed="false">
      <c r="A179" s="135"/>
      <c r="B179" s="135"/>
      <c r="C179" s="135"/>
      <c r="D179" s="135"/>
      <c r="E179" s="182"/>
      <c r="F179" s="135"/>
      <c r="G179" s="135"/>
      <c r="H179" s="135"/>
      <c r="I179" s="135"/>
      <c r="J179" s="135"/>
      <c r="K179" s="135"/>
      <c r="L179" s="135"/>
      <c r="M179" s="182"/>
      <c r="N179" s="135"/>
      <c r="O179" s="135"/>
      <c r="P179" s="189"/>
      <c r="Q179" s="135"/>
      <c r="R179" s="135"/>
      <c r="S179" s="135"/>
      <c r="T179" s="135"/>
      <c r="U179" s="135"/>
      <c r="V179" s="189"/>
      <c r="W179" s="135"/>
      <c r="X179" s="135"/>
      <c r="Y179" s="135"/>
      <c r="Z179" s="135"/>
      <c r="AA179" s="135"/>
      <c r="AB179" s="135"/>
      <c r="AC179" s="135"/>
      <c r="AD179" s="135"/>
    </row>
    <row r="180" customFormat="false" ht="15.75" hidden="false" customHeight="true" outlineLevel="0" collapsed="false">
      <c r="A180" s="135"/>
      <c r="B180" s="135"/>
      <c r="C180" s="135"/>
      <c r="D180" s="135"/>
      <c r="E180" s="182"/>
      <c r="F180" s="135"/>
      <c r="G180" s="135"/>
      <c r="H180" s="135"/>
      <c r="I180" s="135"/>
      <c r="J180" s="135"/>
      <c r="K180" s="135"/>
      <c r="L180" s="135"/>
      <c r="M180" s="182"/>
      <c r="N180" s="135"/>
      <c r="O180" s="135"/>
      <c r="P180" s="189"/>
      <c r="Q180" s="135"/>
      <c r="R180" s="135"/>
      <c r="S180" s="135"/>
      <c r="T180" s="135"/>
      <c r="U180" s="135"/>
      <c r="V180" s="189"/>
      <c r="W180" s="135"/>
      <c r="X180" s="135"/>
      <c r="Y180" s="135"/>
      <c r="Z180" s="135"/>
      <c r="AA180" s="135"/>
      <c r="AB180" s="135"/>
      <c r="AC180" s="135"/>
      <c r="AD180" s="135"/>
    </row>
    <row r="181" customFormat="false" ht="15.75" hidden="false" customHeight="true" outlineLevel="0" collapsed="false">
      <c r="A181" s="135"/>
      <c r="B181" s="135"/>
      <c r="C181" s="135"/>
      <c r="D181" s="135"/>
      <c r="E181" s="182"/>
      <c r="F181" s="135"/>
      <c r="G181" s="135"/>
      <c r="H181" s="135"/>
      <c r="I181" s="135"/>
      <c r="J181" s="135"/>
      <c r="K181" s="135"/>
      <c r="L181" s="135"/>
      <c r="M181" s="182"/>
      <c r="N181" s="135"/>
      <c r="O181" s="135"/>
      <c r="P181" s="189"/>
      <c r="Q181" s="135"/>
      <c r="R181" s="135"/>
      <c r="S181" s="135"/>
      <c r="T181" s="135"/>
      <c r="U181" s="135"/>
      <c r="V181" s="189"/>
      <c r="W181" s="135"/>
      <c r="X181" s="135"/>
      <c r="Y181" s="135"/>
      <c r="Z181" s="135"/>
      <c r="AA181" s="135"/>
      <c r="AB181" s="135"/>
      <c r="AC181" s="135"/>
      <c r="AD181" s="135"/>
    </row>
    <row r="182" customFormat="false" ht="15.75" hidden="false" customHeight="true" outlineLevel="0" collapsed="false">
      <c r="A182" s="135"/>
      <c r="B182" s="135"/>
      <c r="C182" s="135"/>
      <c r="D182" s="135"/>
      <c r="E182" s="182"/>
      <c r="F182" s="135"/>
      <c r="G182" s="135"/>
      <c r="H182" s="135"/>
      <c r="I182" s="135"/>
      <c r="J182" s="135"/>
      <c r="K182" s="135"/>
      <c r="L182" s="135"/>
      <c r="M182" s="182"/>
      <c r="N182" s="135"/>
      <c r="O182" s="135"/>
      <c r="P182" s="189"/>
      <c r="Q182" s="135"/>
      <c r="R182" s="135"/>
      <c r="S182" s="135"/>
      <c r="T182" s="135"/>
      <c r="U182" s="135"/>
      <c r="V182" s="189"/>
      <c r="W182" s="135"/>
      <c r="X182" s="135"/>
      <c r="Y182" s="135"/>
      <c r="Z182" s="135"/>
      <c r="AA182" s="135"/>
      <c r="AB182" s="135"/>
      <c r="AC182" s="135"/>
      <c r="AD182" s="135"/>
    </row>
    <row r="183" customFormat="false" ht="15.75" hidden="false" customHeight="true" outlineLevel="0" collapsed="false">
      <c r="A183" s="135"/>
      <c r="B183" s="135"/>
      <c r="C183" s="135"/>
      <c r="D183" s="135"/>
      <c r="E183" s="182"/>
      <c r="F183" s="135"/>
      <c r="G183" s="135"/>
      <c r="H183" s="135"/>
      <c r="I183" s="135"/>
      <c r="J183" s="135"/>
      <c r="K183" s="135"/>
      <c r="L183" s="135"/>
      <c r="M183" s="182"/>
      <c r="N183" s="135"/>
      <c r="O183" s="135"/>
      <c r="P183" s="189"/>
      <c r="Q183" s="135"/>
      <c r="R183" s="135"/>
      <c r="S183" s="135"/>
      <c r="T183" s="135"/>
      <c r="U183" s="135"/>
      <c r="V183" s="189"/>
      <c r="W183" s="135"/>
      <c r="X183" s="135"/>
      <c r="Y183" s="135"/>
      <c r="Z183" s="135"/>
      <c r="AA183" s="135"/>
      <c r="AB183" s="135"/>
      <c r="AC183" s="135"/>
      <c r="AD183" s="135"/>
    </row>
    <row r="184" customFormat="false" ht="15.75" hidden="false" customHeight="true" outlineLevel="0" collapsed="false">
      <c r="A184" s="135"/>
      <c r="B184" s="135"/>
      <c r="C184" s="135"/>
      <c r="D184" s="135"/>
      <c r="E184" s="182"/>
      <c r="F184" s="135"/>
      <c r="G184" s="135"/>
      <c r="H184" s="135"/>
      <c r="I184" s="135"/>
      <c r="J184" s="135"/>
      <c r="K184" s="135"/>
      <c r="L184" s="135"/>
      <c r="M184" s="182"/>
      <c r="N184" s="135"/>
      <c r="O184" s="135"/>
      <c r="P184" s="189"/>
      <c r="Q184" s="135"/>
      <c r="R184" s="135"/>
      <c r="S184" s="135"/>
      <c r="T184" s="135"/>
      <c r="U184" s="135"/>
      <c r="V184" s="189"/>
      <c r="W184" s="135"/>
      <c r="X184" s="135"/>
      <c r="Y184" s="135"/>
      <c r="Z184" s="135"/>
      <c r="AA184" s="135"/>
      <c r="AB184" s="135"/>
      <c r="AC184" s="135"/>
      <c r="AD184" s="135"/>
    </row>
    <row r="185" customFormat="false" ht="15.75" hidden="false" customHeight="true" outlineLevel="0" collapsed="false">
      <c r="A185" s="135"/>
      <c r="B185" s="135"/>
      <c r="C185" s="135"/>
      <c r="D185" s="135"/>
      <c r="E185" s="182"/>
      <c r="F185" s="135"/>
      <c r="G185" s="135"/>
      <c r="H185" s="135"/>
      <c r="I185" s="135"/>
      <c r="J185" s="135"/>
      <c r="K185" s="135"/>
      <c r="L185" s="135"/>
      <c r="M185" s="182"/>
      <c r="N185" s="135"/>
      <c r="O185" s="135"/>
      <c r="P185" s="189"/>
      <c r="Q185" s="135"/>
      <c r="R185" s="135"/>
      <c r="S185" s="135"/>
      <c r="T185" s="135"/>
      <c r="U185" s="135"/>
      <c r="V185" s="189"/>
      <c r="W185" s="135"/>
      <c r="X185" s="135"/>
      <c r="Y185" s="135"/>
      <c r="Z185" s="135"/>
      <c r="AA185" s="135"/>
      <c r="AB185" s="135"/>
      <c r="AC185" s="135"/>
      <c r="AD185" s="135"/>
    </row>
    <row r="186" customFormat="false" ht="15.75" hidden="false" customHeight="true" outlineLevel="0" collapsed="false">
      <c r="A186" s="135"/>
      <c r="B186" s="135"/>
      <c r="C186" s="135"/>
      <c r="D186" s="135"/>
      <c r="E186" s="182"/>
      <c r="F186" s="135"/>
      <c r="G186" s="135"/>
      <c r="H186" s="135"/>
      <c r="I186" s="135"/>
      <c r="J186" s="135"/>
      <c r="K186" s="135"/>
      <c r="L186" s="135"/>
      <c r="M186" s="182"/>
      <c r="N186" s="135"/>
      <c r="O186" s="135"/>
      <c r="P186" s="189"/>
      <c r="Q186" s="135"/>
      <c r="R186" s="135"/>
      <c r="S186" s="135"/>
      <c r="T186" s="135"/>
      <c r="U186" s="135"/>
      <c r="V186" s="189"/>
      <c r="W186" s="135"/>
      <c r="X186" s="135"/>
      <c r="Y186" s="135"/>
      <c r="Z186" s="135"/>
      <c r="AA186" s="135"/>
      <c r="AB186" s="135"/>
      <c r="AC186" s="135"/>
      <c r="AD186" s="135"/>
    </row>
    <row r="187" customFormat="false" ht="15.75" hidden="false" customHeight="true" outlineLevel="0" collapsed="false">
      <c r="A187" s="135"/>
      <c r="B187" s="135"/>
      <c r="C187" s="135"/>
      <c r="D187" s="135"/>
      <c r="E187" s="182"/>
      <c r="F187" s="135"/>
      <c r="G187" s="135"/>
      <c r="H187" s="135"/>
      <c r="I187" s="135"/>
      <c r="J187" s="135"/>
      <c r="K187" s="135"/>
      <c r="L187" s="135"/>
      <c r="M187" s="182"/>
      <c r="N187" s="135"/>
      <c r="O187" s="135"/>
      <c r="P187" s="189"/>
      <c r="Q187" s="135"/>
      <c r="R187" s="135"/>
      <c r="S187" s="135"/>
      <c r="T187" s="135"/>
      <c r="U187" s="135"/>
      <c r="V187" s="189"/>
      <c r="W187" s="135"/>
      <c r="X187" s="135"/>
      <c r="Y187" s="135"/>
      <c r="Z187" s="135"/>
      <c r="AA187" s="135"/>
      <c r="AB187" s="135"/>
      <c r="AC187" s="135"/>
      <c r="AD187" s="135"/>
    </row>
    <row r="188" customFormat="false" ht="15.75" hidden="false" customHeight="true" outlineLevel="0" collapsed="false">
      <c r="A188" s="135"/>
      <c r="B188" s="135"/>
      <c r="C188" s="135"/>
      <c r="D188" s="135"/>
      <c r="E188" s="182"/>
      <c r="F188" s="135"/>
      <c r="G188" s="135"/>
      <c r="H188" s="135"/>
      <c r="I188" s="135"/>
      <c r="J188" s="135"/>
      <c r="K188" s="135"/>
      <c r="L188" s="135"/>
      <c r="M188" s="182"/>
      <c r="N188" s="135"/>
      <c r="O188" s="135"/>
      <c r="P188" s="189"/>
      <c r="Q188" s="135"/>
      <c r="R188" s="135"/>
      <c r="S188" s="135"/>
      <c r="T188" s="135"/>
      <c r="U188" s="135"/>
      <c r="V188" s="189"/>
      <c r="W188" s="135"/>
      <c r="X188" s="135"/>
      <c r="Y188" s="135"/>
      <c r="Z188" s="135"/>
      <c r="AA188" s="135"/>
      <c r="AB188" s="135"/>
      <c r="AC188" s="135"/>
      <c r="AD188" s="135"/>
    </row>
    <row r="189" customFormat="false" ht="15.75" hidden="false" customHeight="true" outlineLevel="0" collapsed="false">
      <c r="A189" s="135"/>
      <c r="B189" s="135"/>
      <c r="C189" s="135"/>
      <c r="D189" s="135"/>
      <c r="E189" s="182"/>
      <c r="F189" s="135"/>
      <c r="G189" s="135"/>
      <c r="H189" s="135"/>
      <c r="I189" s="135"/>
      <c r="J189" s="135"/>
      <c r="K189" s="135"/>
      <c r="L189" s="135"/>
      <c r="M189" s="182"/>
      <c r="N189" s="135"/>
      <c r="O189" s="135"/>
      <c r="P189" s="189"/>
      <c r="Q189" s="135"/>
      <c r="R189" s="135"/>
      <c r="S189" s="135"/>
      <c r="T189" s="135"/>
      <c r="U189" s="135"/>
      <c r="V189" s="189"/>
      <c r="W189" s="135"/>
      <c r="X189" s="135"/>
      <c r="Y189" s="135"/>
      <c r="Z189" s="135"/>
      <c r="AA189" s="135"/>
      <c r="AB189" s="135"/>
      <c r="AC189" s="135"/>
      <c r="AD189" s="135"/>
    </row>
    <row r="190" customFormat="false" ht="15.75" hidden="false" customHeight="true" outlineLevel="0" collapsed="false">
      <c r="A190" s="135"/>
      <c r="B190" s="135"/>
      <c r="C190" s="135"/>
      <c r="D190" s="135"/>
      <c r="E190" s="182"/>
      <c r="F190" s="135"/>
      <c r="G190" s="135"/>
      <c r="H190" s="135"/>
      <c r="I190" s="135"/>
      <c r="J190" s="135"/>
      <c r="K190" s="135"/>
      <c r="L190" s="135"/>
      <c r="M190" s="182"/>
      <c r="N190" s="135"/>
      <c r="O190" s="135"/>
      <c r="P190" s="189"/>
      <c r="Q190" s="135"/>
      <c r="R190" s="135"/>
      <c r="S190" s="135"/>
      <c r="T190" s="135"/>
      <c r="U190" s="135"/>
      <c r="V190" s="189"/>
      <c r="W190" s="135"/>
      <c r="X190" s="135"/>
      <c r="Y190" s="135"/>
      <c r="Z190" s="135"/>
      <c r="AA190" s="135"/>
      <c r="AB190" s="135"/>
      <c r="AC190" s="135"/>
      <c r="AD190" s="135"/>
    </row>
    <row r="191" customFormat="false" ht="15.75" hidden="false" customHeight="true" outlineLevel="0" collapsed="false">
      <c r="A191" s="135"/>
      <c r="B191" s="135"/>
      <c r="C191" s="135"/>
      <c r="D191" s="135"/>
      <c r="E191" s="182"/>
      <c r="F191" s="135"/>
      <c r="G191" s="135"/>
      <c r="H191" s="135"/>
      <c r="I191" s="135"/>
      <c r="J191" s="135"/>
      <c r="K191" s="135"/>
      <c r="L191" s="135"/>
      <c r="M191" s="182"/>
      <c r="N191" s="135"/>
      <c r="O191" s="135"/>
      <c r="P191" s="189"/>
      <c r="Q191" s="135"/>
      <c r="R191" s="135"/>
      <c r="S191" s="135"/>
      <c r="T191" s="135"/>
      <c r="U191" s="135"/>
      <c r="V191" s="189"/>
      <c r="W191" s="135"/>
      <c r="X191" s="135"/>
      <c r="Y191" s="135"/>
      <c r="Z191" s="135"/>
      <c r="AA191" s="135"/>
      <c r="AB191" s="135"/>
      <c r="AC191" s="135"/>
      <c r="AD191" s="135"/>
    </row>
    <row r="192" customFormat="false" ht="15.75" hidden="false" customHeight="true" outlineLevel="0" collapsed="false">
      <c r="A192" s="135"/>
      <c r="B192" s="135"/>
      <c r="C192" s="135"/>
      <c r="D192" s="135"/>
      <c r="E192" s="182"/>
      <c r="F192" s="135"/>
      <c r="G192" s="135"/>
      <c r="H192" s="135"/>
      <c r="I192" s="135"/>
      <c r="J192" s="135"/>
      <c r="K192" s="135"/>
      <c r="L192" s="135"/>
      <c r="M192" s="182"/>
      <c r="N192" s="135"/>
      <c r="O192" s="135"/>
      <c r="P192" s="189"/>
      <c r="Q192" s="135"/>
      <c r="R192" s="135"/>
      <c r="S192" s="135"/>
      <c r="T192" s="135"/>
      <c r="U192" s="135"/>
      <c r="V192" s="189"/>
      <c r="W192" s="135"/>
      <c r="X192" s="135"/>
      <c r="Y192" s="135"/>
      <c r="Z192" s="135"/>
      <c r="AA192" s="135"/>
      <c r="AB192" s="135"/>
      <c r="AC192" s="135"/>
      <c r="AD192" s="135"/>
    </row>
    <row r="193" customFormat="false" ht="15.75" hidden="false" customHeight="true" outlineLevel="0" collapsed="false">
      <c r="A193" s="135"/>
      <c r="B193" s="135"/>
      <c r="C193" s="135"/>
      <c r="D193" s="135"/>
      <c r="E193" s="182"/>
      <c r="F193" s="135"/>
      <c r="G193" s="135"/>
      <c r="H193" s="135"/>
      <c r="I193" s="135"/>
      <c r="J193" s="135"/>
      <c r="K193" s="135"/>
      <c r="L193" s="135"/>
      <c r="M193" s="182"/>
      <c r="N193" s="135"/>
      <c r="O193" s="135"/>
      <c r="P193" s="189"/>
      <c r="Q193" s="135"/>
      <c r="R193" s="135"/>
      <c r="S193" s="135"/>
      <c r="T193" s="135"/>
      <c r="U193" s="135"/>
      <c r="V193" s="189"/>
      <c r="W193" s="135"/>
      <c r="X193" s="135"/>
      <c r="Y193" s="135"/>
      <c r="Z193" s="135"/>
      <c r="AA193" s="135"/>
      <c r="AB193" s="135"/>
      <c r="AC193" s="135"/>
      <c r="AD193" s="135"/>
    </row>
    <row r="194" customFormat="false" ht="15.75" hidden="false" customHeight="true" outlineLevel="0" collapsed="false">
      <c r="A194" s="135"/>
      <c r="B194" s="135"/>
      <c r="C194" s="135"/>
      <c r="D194" s="135"/>
      <c r="E194" s="182"/>
      <c r="F194" s="135"/>
      <c r="G194" s="135"/>
      <c r="H194" s="135"/>
      <c r="I194" s="135"/>
      <c r="J194" s="135"/>
      <c r="K194" s="135"/>
      <c r="L194" s="135"/>
      <c r="M194" s="182"/>
      <c r="N194" s="135"/>
      <c r="O194" s="135"/>
      <c r="P194" s="189"/>
      <c r="Q194" s="135"/>
      <c r="R194" s="135"/>
      <c r="S194" s="135"/>
      <c r="T194" s="135"/>
      <c r="U194" s="135"/>
      <c r="V194" s="189"/>
      <c r="W194" s="135"/>
      <c r="X194" s="135"/>
      <c r="Y194" s="135"/>
      <c r="Z194" s="135"/>
      <c r="AA194" s="135"/>
      <c r="AB194" s="135"/>
      <c r="AC194" s="135"/>
      <c r="AD194" s="135"/>
    </row>
    <row r="195" customFormat="false" ht="15.75" hidden="false" customHeight="true" outlineLevel="0" collapsed="false">
      <c r="A195" s="135"/>
      <c r="B195" s="135"/>
      <c r="C195" s="135"/>
      <c r="D195" s="135"/>
      <c r="E195" s="182"/>
      <c r="F195" s="135"/>
      <c r="G195" s="135"/>
      <c r="H195" s="135"/>
      <c r="I195" s="135"/>
      <c r="J195" s="135"/>
      <c r="K195" s="135"/>
      <c r="L195" s="135"/>
      <c r="M195" s="182"/>
      <c r="N195" s="135"/>
      <c r="O195" s="135"/>
      <c r="P195" s="189"/>
      <c r="Q195" s="135"/>
      <c r="R195" s="135"/>
      <c r="S195" s="135"/>
      <c r="T195" s="135"/>
      <c r="U195" s="135"/>
      <c r="V195" s="189"/>
      <c r="W195" s="135"/>
      <c r="X195" s="135"/>
      <c r="Y195" s="135"/>
      <c r="Z195" s="135"/>
      <c r="AA195" s="135"/>
      <c r="AB195" s="135"/>
      <c r="AC195" s="135"/>
      <c r="AD195" s="135"/>
    </row>
    <row r="196" customFormat="false" ht="15.75" hidden="false" customHeight="true" outlineLevel="0" collapsed="false">
      <c r="A196" s="135"/>
      <c r="B196" s="135"/>
      <c r="C196" s="135"/>
      <c r="D196" s="135"/>
      <c r="E196" s="182"/>
      <c r="F196" s="135"/>
      <c r="G196" s="135"/>
      <c r="H196" s="135"/>
      <c r="I196" s="135"/>
      <c r="J196" s="135"/>
      <c r="K196" s="135"/>
      <c r="L196" s="135"/>
      <c r="M196" s="182"/>
      <c r="N196" s="135"/>
      <c r="O196" s="135"/>
      <c r="P196" s="189"/>
      <c r="Q196" s="135"/>
      <c r="R196" s="135"/>
      <c r="S196" s="135"/>
      <c r="T196" s="135"/>
      <c r="U196" s="135"/>
      <c r="V196" s="189"/>
      <c r="W196" s="135"/>
      <c r="X196" s="135"/>
      <c r="Y196" s="135"/>
      <c r="Z196" s="135"/>
      <c r="AA196" s="135"/>
      <c r="AB196" s="135"/>
      <c r="AC196" s="135"/>
      <c r="AD196" s="135"/>
    </row>
    <row r="197" customFormat="false" ht="15.75" hidden="false" customHeight="true" outlineLevel="0" collapsed="false">
      <c r="A197" s="135"/>
      <c r="B197" s="135"/>
      <c r="C197" s="135"/>
      <c r="D197" s="135"/>
      <c r="E197" s="182"/>
      <c r="F197" s="135"/>
      <c r="G197" s="135"/>
      <c r="H197" s="135"/>
      <c r="I197" s="135"/>
      <c r="J197" s="135"/>
      <c r="K197" s="135"/>
      <c r="L197" s="135"/>
      <c r="M197" s="182"/>
      <c r="N197" s="135"/>
      <c r="O197" s="135"/>
      <c r="P197" s="189"/>
      <c r="Q197" s="135"/>
      <c r="R197" s="135"/>
      <c r="S197" s="135"/>
      <c r="T197" s="135"/>
      <c r="U197" s="135"/>
      <c r="V197" s="189"/>
      <c r="W197" s="135"/>
      <c r="X197" s="135"/>
      <c r="Y197" s="135"/>
      <c r="Z197" s="135"/>
      <c r="AA197" s="135"/>
      <c r="AB197" s="135"/>
      <c r="AC197" s="135"/>
      <c r="AD197" s="135"/>
    </row>
    <row r="198" customFormat="false" ht="15.75" hidden="false" customHeight="true" outlineLevel="0" collapsed="false">
      <c r="A198" s="135"/>
      <c r="B198" s="135"/>
      <c r="C198" s="135"/>
      <c r="D198" s="135"/>
      <c r="E198" s="182"/>
      <c r="F198" s="135"/>
      <c r="G198" s="135"/>
      <c r="H198" s="135"/>
      <c r="I198" s="135"/>
      <c r="J198" s="135"/>
      <c r="K198" s="135"/>
      <c r="L198" s="135"/>
      <c r="M198" s="182"/>
      <c r="N198" s="135"/>
      <c r="O198" s="135"/>
      <c r="P198" s="189"/>
      <c r="Q198" s="135"/>
      <c r="R198" s="135"/>
      <c r="S198" s="135"/>
      <c r="T198" s="135"/>
      <c r="U198" s="135"/>
      <c r="V198" s="189"/>
      <c r="W198" s="135"/>
      <c r="X198" s="135"/>
      <c r="Y198" s="135"/>
      <c r="Z198" s="135"/>
      <c r="AA198" s="135"/>
      <c r="AB198" s="135"/>
      <c r="AC198" s="135"/>
      <c r="AD198" s="135"/>
    </row>
    <row r="199" customFormat="false" ht="15.75" hidden="false" customHeight="true" outlineLevel="0" collapsed="false">
      <c r="A199" s="135"/>
      <c r="B199" s="135"/>
      <c r="C199" s="135"/>
      <c r="D199" s="135"/>
      <c r="E199" s="182"/>
      <c r="F199" s="135"/>
      <c r="G199" s="135"/>
      <c r="H199" s="135"/>
      <c r="I199" s="135"/>
      <c r="J199" s="135"/>
      <c r="K199" s="135"/>
      <c r="L199" s="135"/>
      <c r="M199" s="182"/>
      <c r="N199" s="135"/>
      <c r="O199" s="135"/>
      <c r="P199" s="189"/>
      <c r="Q199" s="135"/>
      <c r="R199" s="135"/>
      <c r="S199" s="135"/>
      <c r="T199" s="135"/>
      <c r="U199" s="135"/>
      <c r="V199" s="189"/>
      <c r="W199" s="135"/>
      <c r="X199" s="135"/>
      <c r="Y199" s="135"/>
      <c r="Z199" s="135"/>
      <c r="AA199" s="135"/>
      <c r="AB199" s="135"/>
      <c r="AC199" s="135"/>
      <c r="AD199" s="135"/>
    </row>
    <row r="200" customFormat="false" ht="15.75" hidden="false" customHeight="true" outlineLevel="0" collapsed="false">
      <c r="A200" s="135"/>
      <c r="B200" s="135"/>
      <c r="C200" s="135"/>
      <c r="D200" s="135"/>
      <c r="E200" s="182"/>
      <c r="F200" s="135"/>
      <c r="G200" s="135"/>
      <c r="H200" s="135"/>
      <c r="I200" s="135"/>
      <c r="J200" s="135"/>
      <c r="K200" s="135"/>
      <c r="L200" s="135"/>
      <c r="M200" s="182"/>
      <c r="N200" s="135"/>
      <c r="O200" s="135"/>
      <c r="P200" s="189"/>
      <c r="Q200" s="135"/>
      <c r="R200" s="135"/>
      <c r="S200" s="135"/>
      <c r="T200" s="135"/>
      <c r="U200" s="135"/>
      <c r="V200" s="189"/>
      <c r="W200" s="135"/>
      <c r="X200" s="135"/>
      <c r="Y200" s="135"/>
      <c r="Z200" s="135"/>
      <c r="AA200" s="135"/>
      <c r="AB200" s="135"/>
      <c r="AC200" s="135"/>
      <c r="AD200" s="135"/>
    </row>
    <row r="201" customFormat="false" ht="15.75" hidden="false" customHeight="true" outlineLevel="0" collapsed="false">
      <c r="A201" s="135"/>
      <c r="B201" s="135"/>
      <c r="C201" s="135"/>
      <c r="D201" s="135"/>
      <c r="E201" s="182"/>
      <c r="F201" s="135"/>
      <c r="G201" s="135"/>
      <c r="H201" s="135"/>
      <c r="I201" s="135"/>
      <c r="J201" s="135"/>
      <c r="K201" s="135"/>
      <c r="L201" s="135"/>
      <c r="M201" s="182"/>
      <c r="N201" s="135"/>
      <c r="O201" s="135"/>
      <c r="P201" s="189"/>
      <c r="Q201" s="135"/>
      <c r="R201" s="135"/>
      <c r="S201" s="135"/>
      <c r="T201" s="135"/>
      <c r="U201" s="135"/>
      <c r="V201" s="189"/>
      <c r="W201" s="135"/>
      <c r="X201" s="135"/>
      <c r="Y201" s="135"/>
      <c r="Z201" s="135"/>
      <c r="AA201" s="135"/>
      <c r="AB201" s="135"/>
      <c r="AC201" s="135"/>
      <c r="AD201" s="135"/>
    </row>
    <row r="202" customFormat="false" ht="15.75" hidden="false" customHeight="true" outlineLevel="0" collapsed="false">
      <c r="A202" s="135"/>
      <c r="B202" s="135"/>
      <c r="C202" s="135"/>
      <c r="D202" s="135"/>
      <c r="E202" s="182"/>
      <c r="F202" s="135"/>
      <c r="G202" s="135"/>
      <c r="H202" s="135"/>
      <c r="I202" s="135"/>
      <c r="J202" s="135"/>
      <c r="K202" s="135"/>
      <c r="L202" s="135"/>
      <c r="M202" s="182"/>
      <c r="N202" s="135"/>
      <c r="O202" s="135"/>
      <c r="P202" s="189"/>
      <c r="Q202" s="135"/>
      <c r="R202" s="135"/>
      <c r="S202" s="135"/>
      <c r="T202" s="135"/>
      <c r="U202" s="135"/>
      <c r="V202" s="189"/>
      <c r="W202" s="135"/>
      <c r="X202" s="135"/>
      <c r="Y202" s="135"/>
      <c r="Z202" s="135"/>
      <c r="AA202" s="135"/>
      <c r="AB202" s="135"/>
      <c r="AC202" s="135"/>
      <c r="AD202" s="135"/>
    </row>
    <row r="203" customFormat="false" ht="15.75" hidden="false" customHeight="true" outlineLevel="0" collapsed="false">
      <c r="A203" s="135"/>
      <c r="B203" s="135"/>
      <c r="C203" s="135"/>
      <c r="D203" s="135"/>
      <c r="E203" s="182"/>
      <c r="F203" s="135"/>
      <c r="G203" s="135"/>
      <c r="H203" s="135"/>
      <c r="I203" s="135"/>
      <c r="J203" s="135"/>
      <c r="K203" s="135"/>
      <c r="L203" s="135"/>
      <c r="M203" s="182"/>
      <c r="N203" s="135"/>
      <c r="O203" s="135"/>
      <c r="P203" s="189"/>
      <c r="Q203" s="135"/>
      <c r="R203" s="135"/>
      <c r="S203" s="135"/>
      <c r="T203" s="135"/>
      <c r="U203" s="135"/>
      <c r="V203" s="189"/>
      <c r="W203" s="135"/>
      <c r="X203" s="135"/>
      <c r="Y203" s="135"/>
      <c r="Z203" s="135"/>
      <c r="AA203" s="135"/>
      <c r="AB203" s="135"/>
      <c r="AC203" s="135"/>
      <c r="AD203" s="135"/>
    </row>
    <row r="204" customFormat="false" ht="15.75" hidden="false" customHeight="true" outlineLevel="0" collapsed="false">
      <c r="A204" s="135"/>
      <c r="B204" s="135"/>
      <c r="C204" s="135"/>
      <c r="D204" s="135"/>
      <c r="E204" s="182"/>
      <c r="F204" s="135"/>
      <c r="G204" s="135"/>
      <c r="H204" s="135"/>
      <c r="I204" s="135"/>
      <c r="J204" s="135"/>
      <c r="K204" s="135"/>
      <c r="L204" s="135"/>
      <c r="M204" s="182"/>
      <c r="N204" s="135"/>
      <c r="O204" s="135"/>
      <c r="P204" s="189"/>
      <c r="Q204" s="135"/>
      <c r="R204" s="135"/>
      <c r="S204" s="135"/>
      <c r="T204" s="135"/>
      <c r="U204" s="135"/>
      <c r="V204" s="189"/>
      <c r="W204" s="135"/>
      <c r="X204" s="135"/>
      <c r="Y204" s="135"/>
      <c r="Z204" s="135"/>
      <c r="AA204" s="135"/>
      <c r="AB204" s="135"/>
      <c r="AC204" s="135"/>
      <c r="AD204" s="135"/>
    </row>
    <row r="205" customFormat="false" ht="15.75" hidden="false" customHeight="true" outlineLevel="0" collapsed="false">
      <c r="A205" s="135"/>
      <c r="B205" s="135"/>
      <c r="C205" s="135"/>
      <c r="D205" s="135"/>
      <c r="E205" s="182"/>
      <c r="F205" s="135"/>
      <c r="G205" s="135"/>
      <c r="H205" s="135"/>
      <c r="I205" s="135"/>
      <c r="J205" s="135"/>
      <c r="K205" s="135"/>
      <c r="L205" s="135"/>
      <c r="M205" s="182"/>
      <c r="N205" s="135"/>
      <c r="O205" s="135"/>
      <c r="P205" s="189"/>
      <c r="Q205" s="135"/>
      <c r="R205" s="135"/>
      <c r="S205" s="135"/>
      <c r="T205" s="135"/>
      <c r="U205" s="135"/>
      <c r="V205" s="189"/>
      <c r="W205" s="135"/>
      <c r="X205" s="135"/>
      <c r="Y205" s="135"/>
      <c r="Z205" s="135"/>
      <c r="AA205" s="135"/>
      <c r="AB205" s="135"/>
      <c r="AC205" s="135"/>
      <c r="AD205" s="135"/>
    </row>
    <row r="206" customFormat="false" ht="15.75" hidden="false" customHeight="true" outlineLevel="0" collapsed="false">
      <c r="A206" s="135"/>
      <c r="B206" s="135"/>
      <c r="C206" s="135"/>
      <c r="D206" s="135"/>
      <c r="E206" s="182"/>
      <c r="F206" s="135"/>
      <c r="G206" s="135"/>
      <c r="H206" s="135"/>
      <c r="I206" s="135"/>
      <c r="J206" s="135"/>
      <c r="K206" s="135"/>
      <c r="L206" s="135"/>
      <c r="M206" s="182"/>
      <c r="N206" s="135"/>
      <c r="O206" s="135"/>
      <c r="P206" s="189"/>
      <c r="Q206" s="135"/>
      <c r="R206" s="135"/>
      <c r="S206" s="135"/>
      <c r="T206" s="135"/>
      <c r="U206" s="135"/>
      <c r="V206" s="189"/>
      <c r="W206" s="135"/>
      <c r="X206" s="135"/>
      <c r="Y206" s="135"/>
      <c r="Z206" s="135"/>
      <c r="AA206" s="135"/>
      <c r="AB206" s="135"/>
      <c r="AC206" s="135"/>
      <c r="AD206" s="135"/>
    </row>
    <row r="207" customFormat="false" ht="15.75" hidden="false" customHeight="true" outlineLevel="0" collapsed="false">
      <c r="A207" s="135"/>
      <c r="B207" s="135"/>
      <c r="C207" s="135"/>
      <c r="D207" s="135"/>
      <c r="E207" s="182"/>
      <c r="F207" s="135"/>
      <c r="G207" s="135"/>
      <c r="H207" s="135"/>
      <c r="I207" s="135"/>
      <c r="J207" s="135"/>
      <c r="K207" s="135"/>
      <c r="L207" s="135"/>
      <c r="M207" s="182"/>
      <c r="N207" s="135"/>
      <c r="O207" s="135"/>
      <c r="P207" s="189"/>
      <c r="Q207" s="135"/>
      <c r="R207" s="135"/>
      <c r="S207" s="135"/>
      <c r="T207" s="135"/>
      <c r="U207" s="135"/>
      <c r="V207" s="189"/>
      <c r="W207" s="135"/>
      <c r="X207" s="135"/>
      <c r="Y207" s="135"/>
      <c r="Z207" s="135"/>
      <c r="AA207" s="135"/>
      <c r="AB207" s="135"/>
      <c r="AC207" s="135"/>
      <c r="AD207" s="135"/>
    </row>
    <row r="208" customFormat="false" ht="15.75" hidden="false" customHeight="true" outlineLevel="0" collapsed="false">
      <c r="A208" s="135"/>
      <c r="B208" s="135"/>
      <c r="C208" s="135"/>
      <c r="D208" s="135"/>
      <c r="E208" s="182"/>
      <c r="F208" s="135"/>
      <c r="G208" s="135"/>
      <c r="H208" s="135"/>
      <c r="I208" s="135"/>
      <c r="J208" s="135"/>
      <c r="K208" s="135"/>
      <c r="L208" s="135"/>
      <c r="M208" s="182"/>
      <c r="N208" s="135"/>
      <c r="O208" s="135"/>
      <c r="P208" s="189"/>
      <c r="Q208" s="135"/>
      <c r="R208" s="135"/>
      <c r="S208" s="135"/>
      <c r="T208" s="135"/>
      <c r="U208" s="135"/>
      <c r="V208" s="189"/>
      <c r="W208" s="135"/>
      <c r="X208" s="135"/>
      <c r="Y208" s="135"/>
      <c r="Z208" s="135"/>
      <c r="AA208" s="135"/>
      <c r="AB208" s="135"/>
      <c r="AC208" s="135"/>
      <c r="AD208" s="135"/>
    </row>
    <row r="209" customFormat="false" ht="15.75" hidden="false" customHeight="true" outlineLevel="0" collapsed="false">
      <c r="A209" s="135"/>
      <c r="B209" s="135"/>
      <c r="C209" s="135"/>
      <c r="D209" s="135"/>
      <c r="E209" s="182"/>
      <c r="F209" s="135"/>
      <c r="G209" s="135"/>
      <c r="H209" s="135"/>
      <c r="I209" s="135"/>
      <c r="J209" s="135"/>
      <c r="K209" s="135"/>
      <c r="L209" s="135"/>
      <c r="M209" s="182"/>
      <c r="N209" s="135"/>
      <c r="O209" s="135"/>
      <c r="P209" s="189"/>
      <c r="Q209" s="135"/>
      <c r="R209" s="135"/>
      <c r="S209" s="135"/>
      <c r="T209" s="135"/>
      <c r="U209" s="135"/>
      <c r="V209" s="189"/>
      <c r="W209" s="135"/>
      <c r="X209" s="135"/>
      <c r="Y209" s="135"/>
      <c r="Z209" s="135"/>
      <c r="AA209" s="135"/>
      <c r="AB209" s="135"/>
      <c r="AC209" s="135"/>
      <c r="AD209" s="135"/>
    </row>
    <row r="210" customFormat="false" ht="15.75" hidden="false" customHeight="true" outlineLevel="0" collapsed="false">
      <c r="A210" s="135"/>
      <c r="B210" s="135"/>
      <c r="C210" s="135"/>
      <c r="D210" s="135"/>
      <c r="E210" s="182"/>
      <c r="F210" s="135"/>
      <c r="G210" s="135"/>
      <c r="H210" s="135"/>
      <c r="I210" s="135"/>
      <c r="J210" s="135"/>
      <c r="K210" s="135"/>
      <c r="L210" s="135"/>
      <c r="M210" s="182"/>
      <c r="N210" s="135"/>
      <c r="O210" s="135"/>
      <c r="P210" s="189"/>
      <c r="Q210" s="135"/>
      <c r="R210" s="135"/>
      <c r="S210" s="135"/>
      <c r="T210" s="135"/>
      <c r="U210" s="135"/>
      <c r="V210" s="189"/>
      <c r="W210" s="135"/>
      <c r="X210" s="135"/>
      <c r="Y210" s="135"/>
      <c r="Z210" s="135"/>
      <c r="AA210" s="135"/>
      <c r="AB210" s="135"/>
      <c r="AC210" s="135"/>
      <c r="AD210" s="135"/>
    </row>
    <row r="211" customFormat="false" ht="15.75" hidden="false" customHeight="true" outlineLevel="0" collapsed="false">
      <c r="A211" s="135"/>
      <c r="B211" s="135"/>
      <c r="C211" s="135"/>
      <c r="D211" s="135"/>
      <c r="E211" s="182"/>
      <c r="F211" s="135"/>
      <c r="G211" s="135"/>
      <c r="H211" s="135"/>
      <c r="I211" s="135"/>
      <c r="J211" s="135"/>
      <c r="K211" s="135"/>
      <c r="L211" s="135"/>
      <c r="M211" s="182"/>
      <c r="N211" s="135"/>
      <c r="O211" s="135"/>
      <c r="P211" s="189"/>
      <c r="Q211" s="135"/>
      <c r="R211" s="135"/>
      <c r="S211" s="135"/>
      <c r="T211" s="135"/>
      <c r="U211" s="135"/>
      <c r="V211" s="189"/>
      <c r="W211" s="135"/>
      <c r="X211" s="135"/>
      <c r="Y211" s="135"/>
      <c r="Z211" s="135"/>
      <c r="AA211" s="135"/>
      <c r="AB211" s="135"/>
      <c r="AC211" s="135"/>
      <c r="AD211" s="135"/>
    </row>
    <row r="212" customFormat="false" ht="15.75" hidden="false" customHeight="true" outlineLevel="0" collapsed="false">
      <c r="A212" s="135"/>
      <c r="B212" s="135"/>
      <c r="C212" s="135"/>
      <c r="D212" s="135"/>
      <c r="E212" s="182"/>
      <c r="F212" s="135"/>
      <c r="G212" s="135"/>
      <c r="H212" s="135"/>
      <c r="I212" s="135"/>
      <c r="J212" s="135"/>
      <c r="K212" s="135"/>
      <c r="L212" s="135"/>
      <c r="M212" s="182"/>
      <c r="N212" s="135"/>
      <c r="O212" s="135"/>
      <c r="P212" s="189"/>
      <c r="Q212" s="135"/>
      <c r="R212" s="135"/>
      <c r="S212" s="135"/>
      <c r="T212" s="135"/>
      <c r="U212" s="135"/>
      <c r="V212" s="189"/>
      <c r="W212" s="135"/>
      <c r="X212" s="135"/>
      <c r="Y212" s="135"/>
      <c r="Z212" s="135"/>
      <c r="AA212" s="135"/>
      <c r="AB212" s="135"/>
      <c r="AC212" s="135"/>
      <c r="AD212" s="135"/>
    </row>
    <row r="213" customFormat="false" ht="15.75" hidden="false" customHeight="true" outlineLevel="0" collapsed="false">
      <c r="A213" s="135"/>
      <c r="B213" s="135"/>
      <c r="C213" s="135"/>
      <c r="D213" s="135"/>
      <c r="E213" s="182"/>
      <c r="F213" s="135"/>
      <c r="G213" s="135"/>
      <c r="H213" s="135"/>
      <c r="I213" s="135"/>
      <c r="J213" s="135"/>
      <c r="K213" s="135"/>
      <c r="L213" s="135"/>
      <c r="M213" s="182"/>
      <c r="N213" s="135"/>
      <c r="O213" s="135"/>
      <c r="P213" s="189"/>
      <c r="Q213" s="135"/>
      <c r="R213" s="135"/>
      <c r="S213" s="135"/>
      <c r="T213" s="135"/>
      <c r="U213" s="135"/>
      <c r="V213" s="189"/>
      <c r="W213" s="135"/>
      <c r="X213" s="135"/>
      <c r="Y213" s="135"/>
      <c r="Z213" s="135"/>
      <c r="AA213" s="135"/>
      <c r="AB213" s="135"/>
      <c r="AC213" s="135"/>
      <c r="AD213" s="135"/>
    </row>
    <row r="214" customFormat="false" ht="15.75" hidden="false" customHeight="true" outlineLevel="0" collapsed="false">
      <c r="A214" s="135"/>
      <c r="B214" s="135"/>
      <c r="C214" s="135"/>
      <c r="D214" s="135"/>
      <c r="E214" s="182"/>
      <c r="F214" s="135"/>
      <c r="G214" s="135"/>
      <c r="H214" s="135"/>
      <c r="I214" s="135"/>
      <c r="J214" s="135"/>
      <c r="K214" s="135"/>
      <c r="L214" s="135"/>
      <c r="M214" s="182"/>
      <c r="N214" s="135"/>
      <c r="O214" s="135"/>
      <c r="P214" s="189"/>
      <c r="Q214" s="135"/>
      <c r="R214" s="135"/>
      <c r="S214" s="135"/>
      <c r="T214" s="135"/>
      <c r="U214" s="135"/>
      <c r="V214" s="189"/>
      <c r="W214" s="135"/>
      <c r="X214" s="135"/>
      <c r="Y214" s="135"/>
      <c r="Z214" s="135"/>
      <c r="AA214" s="135"/>
      <c r="AB214" s="135"/>
      <c r="AC214" s="135"/>
      <c r="AD214" s="135"/>
    </row>
    <row r="215" customFormat="false" ht="15.75" hidden="false" customHeight="true" outlineLevel="0" collapsed="false">
      <c r="A215" s="135"/>
      <c r="B215" s="135"/>
      <c r="C215" s="135"/>
      <c r="D215" s="135"/>
      <c r="E215" s="182"/>
      <c r="F215" s="135"/>
      <c r="G215" s="135"/>
      <c r="H215" s="135"/>
      <c r="I215" s="135"/>
      <c r="J215" s="135"/>
      <c r="K215" s="135"/>
      <c r="L215" s="135"/>
      <c r="M215" s="182"/>
      <c r="N215" s="135"/>
      <c r="O215" s="135"/>
      <c r="P215" s="189"/>
      <c r="Q215" s="135"/>
      <c r="R215" s="135"/>
      <c r="S215" s="135"/>
      <c r="T215" s="135"/>
      <c r="U215" s="135"/>
      <c r="V215" s="189"/>
      <c r="W215" s="135"/>
      <c r="X215" s="135"/>
      <c r="Y215" s="135"/>
      <c r="Z215" s="135"/>
      <c r="AA215" s="135"/>
      <c r="AB215" s="135"/>
      <c r="AC215" s="135"/>
      <c r="AD215" s="135"/>
    </row>
    <row r="216" customFormat="false" ht="15.75" hidden="false" customHeight="true" outlineLevel="0" collapsed="false">
      <c r="A216" s="135"/>
      <c r="B216" s="135"/>
      <c r="C216" s="135"/>
      <c r="D216" s="135"/>
      <c r="E216" s="182"/>
      <c r="F216" s="135"/>
      <c r="G216" s="135"/>
      <c r="H216" s="135"/>
      <c r="I216" s="135"/>
      <c r="J216" s="135"/>
      <c r="K216" s="135"/>
      <c r="L216" s="135"/>
      <c r="M216" s="182"/>
      <c r="N216" s="135"/>
      <c r="O216" s="135"/>
      <c r="P216" s="189"/>
      <c r="Q216" s="135"/>
      <c r="R216" s="135"/>
      <c r="S216" s="135"/>
      <c r="T216" s="135"/>
      <c r="U216" s="135"/>
      <c r="V216" s="189"/>
      <c r="W216" s="135"/>
      <c r="X216" s="135"/>
      <c r="Y216" s="135"/>
      <c r="Z216" s="135"/>
      <c r="AA216" s="135"/>
      <c r="AB216" s="135"/>
      <c r="AC216" s="135"/>
      <c r="AD216" s="135"/>
    </row>
    <row r="217" customFormat="false" ht="15.75" hidden="false" customHeight="true" outlineLevel="0" collapsed="false">
      <c r="A217" s="135"/>
      <c r="B217" s="135"/>
      <c r="C217" s="135"/>
      <c r="D217" s="135"/>
      <c r="E217" s="182"/>
      <c r="F217" s="135"/>
      <c r="G217" s="135"/>
      <c r="H217" s="135"/>
      <c r="I217" s="135"/>
      <c r="J217" s="135"/>
      <c r="K217" s="135"/>
      <c r="L217" s="135"/>
      <c r="M217" s="182"/>
      <c r="N217" s="135"/>
      <c r="O217" s="135"/>
      <c r="P217" s="189"/>
      <c r="Q217" s="135"/>
      <c r="R217" s="135"/>
      <c r="S217" s="135"/>
      <c r="T217" s="135"/>
      <c r="U217" s="135"/>
      <c r="V217" s="189"/>
      <c r="W217" s="135"/>
      <c r="X217" s="135"/>
      <c r="Y217" s="135"/>
      <c r="Z217" s="135"/>
      <c r="AA217" s="135"/>
      <c r="AB217" s="135"/>
      <c r="AC217" s="135"/>
      <c r="AD217" s="135"/>
    </row>
    <row r="218" customFormat="false" ht="15.75" hidden="false" customHeight="true" outlineLevel="0" collapsed="false">
      <c r="A218" s="135"/>
      <c r="B218" s="135"/>
      <c r="C218" s="135"/>
      <c r="D218" s="135"/>
      <c r="E218" s="182"/>
      <c r="F218" s="135"/>
      <c r="G218" s="135"/>
      <c r="H218" s="135"/>
      <c r="I218" s="135"/>
      <c r="J218" s="135"/>
      <c r="K218" s="135"/>
      <c r="L218" s="135"/>
      <c r="M218" s="182"/>
      <c r="N218" s="135"/>
      <c r="O218" s="135"/>
      <c r="P218" s="189"/>
      <c r="Q218" s="135"/>
      <c r="R218" s="135"/>
      <c r="S218" s="135"/>
      <c r="T218" s="135"/>
      <c r="U218" s="135"/>
      <c r="V218" s="189"/>
      <c r="W218" s="135"/>
      <c r="X218" s="135"/>
      <c r="Y218" s="135"/>
      <c r="Z218" s="135"/>
      <c r="AA218" s="135"/>
      <c r="AB218" s="135"/>
      <c r="AC218" s="135"/>
      <c r="AD218" s="135"/>
    </row>
    <row r="219" customFormat="false" ht="15.75" hidden="false" customHeight="true" outlineLevel="0" collapsed="false">
      <c r="A219" s="135"/>
      <c r="B219" s="135"/>
      <c r="C219" s="135"/>
      <c r="D219" s="135"/>
      <c r="E219" s="182"/>
      <c r="F219" s="135"/>
      <c r="G219" s="135"/>
      <c r="H219" s="135"/>
      <c r="I219" s="135"/>
      <c r="J219" s="135"/>
      <c r="K219" s="135"/>
      <c r="L219" s="135"/>
      <c r="M219" s="182"/>
      <c r="N219" s="135"/>
      <c r="O219" s="135"/>
      <c r="P219" s="189"/>
      <c r="Q219" s="135"/>
      <c r="R219" s="135"/>
      <c r="S219" s="135"/>
      <c r="T219" s="135"/>
      <c r="U219" s="135"/>
      <c r="V219" s="189"/>
      <c r="W219" s="135"/>
      <c r="X219" s="135"/>
      <c r="Y219" s="135"/>
      <c r="Z219" s="135"/>
      <c r="AA219" s="135"/>
      <c r="AB219" s="135"/>
      <c r="AC219" s="135"/>
      <c r="AD219" s="135"/>
    </row>
    <row r="220" customFormat="false" ht="15.75" hidden="false" customHeight="true" outlineLevel="0" collapsed="false">
      <c r="A220" s="135"/>
      <c r="B220" s="135"/>
      <c r="C220" s="135"/>
      <c r="D220" s="135"/>
      <c r="E220" s="182"/>
      <c r="F220" s="135"/>
      <c r="G220" s="135"/>
      <c r="H220" s="135"/>
      <c r="I220" s="135"/>
      <c r="J220" s="135"/>
      <c r="K220" s="135"/>
      <c r="L220" s="135"/>
      <c r="M220" s="182"/>
      <c r="N220" s="135"/>
      <c r="O220" s="135"/>
      <c r="P220" s="189"/>
      <c r="Q220" s="135"/>
      <c r="R220" s="135"/>
      <c r="S220" s="135"/>
      <c r="T220" s="135"/>
      <c r="U220" s="135"/>
      <c r="V220" s="189"/>
      <c r="W220" s="135"/>
      <c r="X220" s="135"/>
      <c r="Y220" s="135"/>
      <c r="Z220" s="135"/>
      <c r="AA220" s="135"/>
      <c r="AB220" s="135"/>
      <c r="AC220" s="135"/>
      <c r="AD220" s="135"/>
    </row>
    <row r="221" customFormat="false" ht="15.75" hidden="false" customHeight="true" outlineLevel="0" collapsed="false">
      <c r="A221" s="135"/>
      <c r="B221" s="135"/>
      <c r="C221" s="135"/>
      <c r="D221" s="135"/>
      <c r="E221" s="182"/>
      <c r="F221" s="135"/>
      <c r="G221" s="135"/>
      <c r="H221" s="135"/>
      <c r="I221" s="135"/>
      <c r="J221" s="135"/>
      <c r="K221" s="135"/>
      <c r="L221" s="135"/>
      <c r="M221" s="182"/>
      <c r="N221" s="135"/>
      <c r="O221" s="135"/>
      <c r="P221" s="189"/>
      <c r="Q221" s="135"/>
      <c r="R221" s="135"/>
      <c r="S221" s="135"/>
      <c r="T221" s="135"/>
      <c r="U221" s="135"/>
      <c r="V221" s="189"/>
      <c r="W221" s="135"/>
      <c r="X221" s="135"/>
      <c r="Y221" s="135"/>
      <c r="Z221" s="135"/>
      <c r="AA221" s="135"/>
      <c r="AB221" s="135"/>
      <c r="AC221" s="135"/>
      <c r="AD221" s="135"/>
    </row>
    <row r="222" customFormat="false" ht="15.75" hidden="false" customHeight="true" outlineLevel="0" collapsed="false">
      <c r="A222" s="135"/>
      <c r="B222" s="135"/>
      <c r="C222" s="135"/>
      <c r="D222" s="135"/>
      <c r="E222" s="182"/>
      <c r="F222" s="135"/>
      <c r="G222" s="135"/>
      <c r="H222" s="135"/>
      <c r="I222" s="135"/>
      <c r="J222" s="135"/>
      <c r="K222" s="135"/>
      <c r="L222" s="135"/>
      <c r="M222" s="182"/>
      <c r="N222" s="135"/>
      <c r="O222" s="135"/>
      <c r="P222" s="189"/>
      <c r="Q222" s="135"/>
      <c r="R222" s="135"/>
      <c r="S222" s="135"/>
      <c r="T222" s="135"/>
      <c r="U222" s="135"/>
      <c r="V222" s="189"/>
      <c r="W222" s="135"/>
      <c r="X222" s="135"/>
      <c r="Y222" s="135"/>
      <c r="Z222" s="135"/>
      <c r="AA222" s="135"/>
      <c r="AB222" s="135"/>
      <c r="AC222" s="135"/>
      <c r="AD222" s="135"/>
    </row>
    <row r="223" customFormat="false" ht="15.75" hidden="false" customHeight="true" outlineLevel="0" collapsed="false">
      <c r="A223" s="135"/>
      <c r="B223" s="135"/>
      <c r="C223" s="135"/>
      <c r="D223" s="135"/>
      <c r="E223" s="182"/>
      <c r="F223" s="135"/>
      <c r="G223" s="135"/>
      <c r="H223" s="135"/>
      <c r="I223" s="135"/>
      <c r="J223" s="135"/>
      <c r="K223" s="135"/>
      <c r="L223" s="135"/>
      <c r="M223" s="182"/>
      <c r="N223" s="135"/>
      <c r="O223" s="135"/>
      <c r="P223" s="189"/>
      <c r="Q223" s="135"/>
      <c r="R223" s="135"/>
      <c r="S223" s="135"/>
      <c r="T223" s="135"/>
      <c r="U223" s="135"/>
      <c r="V223" s="189"/>
      <c r="W223" s="135"/>
      <c r="X223" s="135"/>
      <c r="Y223" s="135"/>
      <c r="Z223" s="135"/>
      <c r="AA223" s="135"/>
      <c r="AB223" s="135"/>
      <c r="AC223" s="135"/>
      <c r="AD223" s="135"/>
    </row>
    <row r="224" customFormat="false" ht="15.75" hidden="false" customHeight="true" outlineLevel="0" collapsed="false">
      <c r="A224" s="135"/>
      <c r="B224" s="135"/>
      <c r="C224" s="135"/>
      <c r="D224" s="135"/>
      <c r="E224" s="182"/>
      <c r="F224" s="135"/>
      <c r="G224" s="135"/>
      <c r="H224" s="135"/>
      <c r="I224" s="135"/>
      <c r="J224" s="135"/>
      <c r="K224" s="135"/>
      <c r="L224" s="135"/>
      <c r="M224" s="182"/>
      <c r="N224" s="135"/>
      <c r="O224" s="135"/>
      <c r="P224" s="189"/>
      <c r="Q224" s="135"/>
      <c r="R224" s="135"/>
      <c r="S224" s="135"/>
      <c r="T224" s="135"/>
      <c r="U224" s="135"/>
      <c r="V224" s="189"/>
      <c r="W224" s="135"/>
      <c r="X224" s="135"/>
      <c r="Y224" s="135"/>
      <c r="Z224" s="135"/>
      <c r="AA224" s="135"/>
      <c r="AB224" s="135"/>
      <c r="AC224" s="135"/>
      <c r="AD224" s="135"/>
    </row>
    <row r="225" customFormat="false" ht="15.75" hidden="false" customHeight="true" outlineLevel="0" collapsed="false">
      <c r="A225" s="135"/>
      <c r="B225" s="135"/>
      <c r="C225" s="135"/>
      <c r="D225" s="135"/>
      <c r="E225" s="182"/>
      <c r="F225" s="135"/>
      <c r="G225" s="135"/>
      <c r="H225" s="135"/>
      <c r="I225" s="135"/>
      <c r="J225" s="135"/>
      <c r="K225" s="135"/>
      <c r="L225" s="135"/>
      <c r="M225" s="182"/>
      <c r="N225" s="135"/>
      <c r="O225" s="135"/>
      <c r="P225" s="189"/>
      <c r="Q225" s="135"/>
      <c r="R225" s="135"/>
      <c r="S225" s="135"/>
      <c r="T225" s="135"/>
      <c r="U225" s="135"/>
      <c r="V225" s="189"/>
      <c r="W225" s="135"/>
      <c r="X225" s="135"/>
      <c r="Y225" s="135"/>
      <c r="Z225" s="135"/>
      <c r="AA225" s="135"/>
      <c r="AB225" s="135"/>
      <c r="AC225" s="135"/>
      <c r="AD225" s="135"/>
    </row>
    <row r="226" customFormat="false" ht="15.75" hidden="false" customHeight="true" outlineLevel="0" collapsed="false">
      <c r="A226" s="135"/>
      <c r="B226" s="135"/>
      <c r="C226" s="135"/>
      <c r="D226" s="135"/>
      <c r="E226" s="182"/>
      <c r="F226" s="135"/>
      <c r="G226" s="135"/>
      <c r="H226" s="135"/>
      <c r="I226" s="135"/>
      <c r="J226" s="135"/>
      <c r="K226" s="135"/>
      <c r="L226" s="135"/>
      <c r="M226" s="182"/>
      <c r="N226" s="135"/>
      <c r="O226" s="135"/>
      <c r="P226" s="189"/>
      <c r="Q226" s="135"/>
      <c r="R226" s="135"/>
      <c r="S226" s="135"/>
      <c r="T226" s="135"/>
      <c r="U226" s="135"/>
      <c r="V226" s="189"/>
      <c r="W226" s="135"/>
      <c r="X226" s="135"/>
      <c r="Y226" s="135"/>
      <c r="Z226" s="135"/>
      <c r="AA226" s="135"/>
      <c r="AB226" s="135"/>
      <c r="AC226" s="135"/>
      <c r="AD226" s="135"/>
    </row>
    <row r="227" customFormat="false" ht="15.75" hidden="false" customHeight="true" outlineLevel="0" collapsed="false">
      <c r="A227" s="135"/>
      <c r="B227" s="135"/>
      <c r="C227" s="135"/>
      <c r="D227" s="135"/>
      <c r="E227" s="182"/>
      <c r="F227" s="135"/>
      <c r="G227" s="135"/>
      <c r="H227" s="135"/>
      <c r="I227" s="135"/>
      <c r="J227" s="135"/>
      <c r="K227" s="135"/>
      <c r="L227" s="135"/>
      <c r="M227" s="182"/>
      <c r="N227" s="135"/>
      <c r="O227" s="135"/>
      <c r="P227" s="189"/>
      <c r="Q227" s="135"/>
      <c r="R227" s="135"/>
      <c r="S227" s="135"/>
      <c r="T227" s="135"/>
      <c r="U227" s="135"/>
      <c r="V227" s="189"/>
      <c r="W227" s="135"/>
      <c r="X227" s="135"/>
      <c r="Y227" s="135"/>
      <c r="Z227" s="135"/>
      <c r="AA227" s="135"/>
      <c r="AB227" s="135"/>
      <c r="AC227" s="135"/>
      <c r="AD227" s="135"/>
    </row>
    <row r="228" customFormat="false" ht="15.75" hidden="false" customHeight="true" outlineLevel="0" collapsed="false">
      <c r="A228" s="135"/>
      <c r="B228" s="135"/>
      <c r="C228" s="135"/>
      <c r="D228" s="135"/>
      <c r="E228" s="182"/>
      <c r="F228" s="135"/>
      <c r="G228" s="135"/>
      <c r="H228" s="135"/>
      <c r="I228" s="135"/>
      <c r="J228" s="135"/>
      <c r="K228" s="135"/>
      <c r="L228" s="135"/>
      <c r="M228" s="182"/>
      <c r="N228" s="135"/>
      <c r="O228" s="135"/>
      <c r="P228" s="189"/>
      <c r="Q228" s="135"/>
      <c r="R228" s="135"/>
      <c r="S228" s="135"/>
      <c r="T228" s="135"/>
      <c r="U228" s="135"/>
      <c r="V228" s="189"/>
      <c r="W228" s="135"/>
      <c r="X228" s="135"/>
      <c r="Y228" s="135"/>
      <c r="Z228" s="135"/>
      <c r="AA228" s="135"/>
      <c r="AB228" s="135"/>
      <c r="AC228" s="135"/>
      <c r="AD228" s="135"/>
    </row>
    <row r="229" customFormat="false" ht="15.75" hidden="false" customHeight="true" outlineLevel="0" collapsed="false">
      <c r="A229" s="135"/>
      <c r="B229" s="135"/>
      <c r="C229" s="135"/>
      <c r="D229" s="135"/>
      <c r="E229" s="182"/>
      <c r="F229" s="135"/>
      <c r="G229" s="135"/>
      <c r="H229" s="135"/>
      <c r="I229" s="135"/>
      <c r="J229" s="135"/>
      <c r="K229" s="135"/>
      <c r="L229" s="135"/>
      <c r="M229" s="182"/>
      <c r="N229" s="135"/>
      <c r="O229" s="135"/>
      <c r="P229" s="189"/>
      <c r="Q229" s="135"/>
      <c r="R229" s="135"/>
      <c r="S229" s="135"/>
      <c r="T229" s="135"/>
      <c r="U229" s="135"/>
      <c r="V229" s="189"/>
      <c r="W229" s="135"/>
      <c r="X229" s="135"/>
      <c r="Y229" s="135"/>
      <c r="Z229" s="135"/>
      <c r="AA229" s="135"/>
      <c r="AB229" s="135"/>
      <c r="AC229" s="135"/>
      <c r="AD229" s="135"/>
    </row>
    <row r="230" customFormat="false" ht="15.75" hidden="false" customHeight="true" outlineLevel="0" collapsed="false">
      <c r="A230" s="135"/>
      <c r="B230" s="135"/>
      <c r="C230" s="135"/>
      <c r="D230" s="135"/>
      <c r="E230" s="182"/>
      <c r="F230" s="135"/>
      <c r="G230" s="135"/>
      <c r="H230" s="135"/>
      <c r="I230" s="135"/>
      <c r="J230" s="135"/>
      <c r="K230" s="135"/>
      <c r="L230" s="135"/>
      <c r="M230" s="182"/>
      <c r="N230" s="135"/>
      <c r="O230" s="135"/>
      <c r="P230" s="189"/>
      <c r="Q230" s="135"/>
      <c r="R230" s="135"/>
      <c r="S230" s="135"/>
      <c r="T230" s="135"/>
      <c r="U230" s="135"/>
      <c r="V230" s="189"/>
      <c r="W230" s="135"/>
      <c r="X230" s="135"/>
      <c r="Y230" s="135"/>
      <c r="Z230" s="135"/>
      <c r="AA230" s="135"/>
      <c r="AB230" s="135"/>
      <c r="AC230" s="135"/>
      <c r="AD230" s="135"/>
    </row>
    <row r="231" customFormat="false" ht="15.75" hidden="false" customHeight="true" outlineLevel="0" collapsed="false">
      <c r="A231" s="135"/>
      <c r="B231" s="135"/>
      <c r="C231" s="135"/>
      <c r="D231" s="135"/>
      <c r="E231" s="182"/>
      <c r="F231" s="135"/>
      <c r="G231" s="135"/>
      <c r="H231" s="135"/>
      <c r="I231" s="135"/>
      <c r="J231" s="135"/>
      <c r="K231" s="135"/>
      <c r="L231" s="135"/>
      <c r="M231" s="182"/>
      <c r="N231" s="135"/>
      <c r="O231" s="135"/>
      <c r="P231" s="189"/>
      <c r="Q231" s="135"/>
      <c r="R231" s="135"/>
      <c r="S231" s="135"/>
      <c r="T231" s="135"/>
      <c r="U231" s="135"/>
      <c r="V231" s="189"/>
      <c r="W231" s="135"/>
      <c r="X231" s="135"/>
      <c r="Y231" s="135"/>
      <c r="Z231" s="135"/>
      <c r="AA231" s="135"/>
      <c r="AB231" s="135"/>
      <c r="AC231" s="135"/>
      <c r="AD231" s="135"/>
    </row>
    <row r="232" customFormat="false" ht="15.75" hidden="false" customHeight="true" outlineLevel="0" collapsed="false">
      <c r="A232" s="135"/>
      <c r="B232" s="135"/>
      <c r="C232" s="135"/>
      <c r="D232" s="135"/>
      <c r="E232" s="182"/>
      <c r="F232" s="135"/>
      <c r="G232" s="135"/>
      <c r="H232" s="135"/>
      <c r="I232" s="135"/>
      <c r="J232" s="135"/>
      <c r="K232" s="135"/>
      <c r="L232" s="135"/>
      <c r="M232" s="182"/>
      <c r="N232" s="135"/>
      <c r="O232" s="135"/>
      <c r="P232" s="189"/>
      <c r="Q232" s="135"/>
      <c r="R232" s="135"/>
      <c r="S232" s="135"/>
      <c r="T232" s="135"/>
      <c r="U232" s="135"/>
      <c r="V232" s="189"/>
      <c r="W232" s="135"/>
      <c r="X232" s="135"/>
      <c r="Y232" s="135"/>
      <c r="Z232" s="135"/>
      <c r="AA232" s="135"/>
      <c r="AB232" s="135"/>
      <c r="AC232" s="135"/>
      <c r="AD232" s="135"/>
    </row>
    <row r="233" customFormat="false" ht="15.75" hidden="false" customHeight="true" outlineLevel="0" collapsed="false">
      <c r="A233" s="135"/>
      <c r="B233" s="135"/>
      <c r="C233" s="135"/>
      <c r="D233" s="135"/>
      <c r="E233" s="182"/>
      <c r="F233" s="135"/>
      <c r="G233" s="135"/>
      <c r="H233" s="135"/>
      <c r="I233" s="135"/>
      <c r="J233" s="135"/>
      <c r="K233" s="135"/>
      <c r="L233" s="135"/>
      <c r="M233" s="182"/>
      <c r="N233" s="135"/>
      <c r="O233" s="135"/>
      <c r="P233" s="189"/>
      <c r="Q233" s="135"/>
      <c r="R233" s="135"/>
      <c r="S233" s="135"/>
      <c r="T233" s="135"/>
      <c r="U233" s="135"/>
      <c r="V233" s="189"/>
      <c r="W233" s="135"/>
      <c r="X233" s="135"/>
      <c r="Y233" s="135"/>
      <c r="Z233" s="135"/>
      <c r="AA233" s="135"/>
      <c r="AB233" s="135"/>
      <c r="AC233" s="135"/>
      <c r="AD233" s="135"/>
    </row>
    <row r="234" customFormat="false" ht="15.75" hidden="false" customHeight="true" outlineLevel="0" collapsed="false">
      <c r="A234" s="135"/>
      <c r="B234" s="135"/>
      <c r="C234" s="135"/>
      <c r="D234" s="135"/>
      <c r="E234" s="182"/>
      <c r="F234" s="135"/>
      <c r="G234" s="135"/>
      <c r="H234" s="135"/>
      <c r="I234" s="135"/>
      <c r="J234" s="135"/>
      <c r="K234" s="135"/>
      <c r="L234" s="135"/>
      <c r="M234" s="182"/>
      <c r="N234" s="135"/>
      <c r="O234" s="135"/>
      <c r="P234" s="189"/>
      <c r="Q234" s="135"/>
      <c r="R234" s="135"/>
      <c r="S234" s="135"/>
      <c r="T234" s="135"/>
      <c r="U234" s="135"/>
      <c r="V234" s="189"/>
      <c r="W234" s="135"/>
      <c r="X234" s="135"/>
      <c r="Y234" s="135"/>
      <c r="Z234" s="135"/>
      <c r="AA234" s="135"/>
      <c r="AB234" s="135"/>
      <c r="AC234" s="135"/>
      <c r="AD234" s="135"/>
    </row>
    <row r="235" customFormat="false" ht="15.75" hidden="false" customHeight="true" outlineLevel="0" collapsed="false">
      <c r="A235" s="135"/>
      <c r="B235" s="135"/>
      <c r="C235" s="135"/>
      <c r="D235" s="135"/>
      <c r="E235" s="182"/>
      <c r="F235" s="135"/>
      <c r="G235" s="135"/>
      <c r="H235" s="135"/>
      <c r="I235" s="135"/>
      <c r="J235" s="135"/>
      <c r="K235" s="135"/>
      <c r="L235" s="135"/>
      <c r="M235" s="182"/>
      <c r="N235" s="135"/>
      <c r="O235" s="135"/>
      <c r="P235" s="189"/>
      <c r="Q235" s="135"/>
      <c r="R235" s="135"/>
      <c r="S235" s="135"/>
      <c r="T235" s="135"/>
      <c r="U235" s="135"/>
      <c r="V235" s="189"/>
      <c r="W235" s="135"/>
      <c r="X235" s="135"/>
      <c r="Y235" s="135"/>
      <c r="Z235" s="135"/>
      <c r="AA235" s="135"/>
      <c r="AB235" s="135"/>
      <c r="AC235" s="135"/>
      <c r="AD235" s="135"/>
    </row>
    <row r="236" customFormat="false" ht="15.75" hidden="false" customHeight="true" outlineLevel="0" collapsed="false">
      <c r="A236" s="135"/>
      <c r="B236" s="135"/>
      <c r="C236" s="135"/>
      <c r="D236" s="135"/>
      <c r="E236" s="182"/>
      <c r="F236" s="135"/>
      <c r="G236" s="135"/>
      <c r="H236" s="135"/>
      <c r="I236" s="135"/>
      <c r="J236" s="135"/>
      <c r="K236" s="135"/>
      <c r="L236" s="135"/>
      <c r="M236" s="182"/>
      <c r="N236" s="135"/>
      <c r="O236" s="135"/>
      <c r="P236" s="189"/>
      <c r="Q236" s="135"/>
      <c r="R236" s="135"/>
      <c r="S236" s="135"/>
      <c r="T236" s="135"/>
      <c r="U236" s="135"/>
      <c r="V236" s="189"/>
      <c r="W236" s="135"/>
      <c r="X236" s="135"/>
      <c r="Y236" s="135"/>
      <c r="Z236" s="135"/>
      <c r="AA236" s="135"/>
      <c r="AB236" s="135"/>
      <c r="AC236" s="135"/>
      <c r="AD236" s="135"/>
    </row>
    <row r="237" customFormat="false" ht="15.75" hidden="false" customHeight="true" outlineLevel="0" collapsed="false">
      <c r="A237" s="135"/>
      <c r="B237" s="135"/>
      <c r="C237" s="135"/>
      <c r="D237" s="135"/>
      <c r="E237" s="182"/>
      <c r="F237" s="135"/>
      <c r="G237" s="135"/>
      <c r="H237" s="135"/>
      <c r="I237" s="135"/>
      <c r="J237" s="135"/>
      <c r="K237" s="135"/>
      <c r="L237" s="135"/>
      <c r="M237" s="182"/>
      <c r="N237" s="135"/>
      <c r="O237" s="135"/>
      <c r="P237" s="189"/>
      <c r="Q237" s="135"/>
      <c r="R237" s="135"/>
      <c r="S237" s="135"/>
      <c r="T237" s="135"/>
      <c r="U237" s="135"/>
      <c r="V237" s="189"/>
      <c r="W237" s="135"/>
      <c r="X237" s="135"/>
      <c r="Y237" s="135"/>
      <c r="Z237" s="135"/>
      <c r="AA237" s="135"/>
      <c r="AB237" s="135"/>
      <c r="AC237" s="135"/>
      <c r="AD237" s="135"/>
    </row>
    <row r="238" customFormat="false" ht="15.75" hidden="false" customHeight="true" outlineLevel="0" collapsed="false">
      <c r="A238" s="135"/>
      <c r="B238" s="135"/>
      <c r="C238" s="135"/>
      <c r="D238" s="135"/>
      <c r="E238" s="182"/>
      <c r="F238" s="135"/>
      <c r="G238" s="135"/>
      <c r="H238" s="135"/>
      <c r="I238" s="135"/>
      <c r="J238" s="135"/>
      <c r="K238" s="135"/>
      <c r="L238" s="135"/>
      <c r="M238" s="182"/>
      <c r="N238" s="135"/>
      <c r="O238" s="135"/>
      <c r="P238" s="189"/>
      <c r="Q238" s="135"/>
      <c r="R238" s="135"/>
      <c r="S238" s="135"/>
      <c r="T238" s="135"/>
      <c r="U238" s="135"/>
      <c r="V238" s="189"/>
      <c r="W238" s="135"/>
      <c r="X238" s="135"/>
      <c r="Y238" s="135"/>
      <c r="Z238" s="135"/>
      <c r="AA238" s="135"/>
      <c r="AB238" s="135"/>
      <c r="AC238" s="135"/>
      <c r="AD238" s="135"/>
    </row>
    <row r="239" customFormat="false" ht="15.75" hidden="false" customHeight="true" outlineLevel="0" collapsed="false">
      <c r="A239" s="135"/>
      <c r="B239" s="135"/>
      <c r="C239" s="135"/>
      <c r="D239" s="135"/>
      <c r="E239" s="182"/>
      <c r="F239" s="135"/>
      <c r="G239" s="135"/>
      <c r="H239" s="135"/>
      <c r="I239" s="135"/>
      <c r="J239" s="135"/>
      <c r="K239" s="135"/>
      <c r="L239" s="135"/>
      <c r="M239" s="182"/>
      <c r="N239" s="135"/>
      <c r="O239" s="135"/>
      <c r="P239" s="189"/>
      <c r="Q239" s="135"/>
      <c r="R239" s="135"/>
      <c r="S239" s="135"/>
      <c r="T239" s="135"/>
      <c r="U239" s="135"/>
      <c r="V239" s="189"/>
      <c r="W239" s="135"/>
      <c r="X239" s="135"/>
      <c r="Y239" s="135"/>
      <c r="Z239" s="135"/>
      <c r="AA239" s="135"/>
      <c r="AB239" s="135"/>
      <c r="AC239" s="135"/>
      <c r="AD239" s="135"/>
    </row>
    <row r="240" customFormat="false" ht="15.75" hidden="false" customHeight="true" outlineLevel="0" collapsed="false">
      <c r="A240" s="135"/>
      <c r="B240" s="135"/>
      <c r="C240" s="135"/>
      <c r="D240" s="135"/>
      <c r="E240" s="182"/>
      <c r="F240" s="135"/>
      <c r="G240" s="135"/>
      <c r="H240" s="135"/>
      <c r="I240" s="135"/>
      <c r="J240" s="135"/>
      <c r="K240" s="135"/>
      <c r="L240" s="135"/>
      <c r="M240" s="182"/>
      <c r="N240" s="135"/>
      <c r="O240" s="135"/>
      <c r="P240" s="189"/>
      <c r="Q240" s="135"/>
      <c r="R240" s="135"/>
      <c r="S240" s="135"/>
      <c r="T240" s="135"/>
      <c r="U240" s="135"/>
      <c r="V240" s="189"/>
      <c r="W240" s="135"/>
      <c r="X240" s="135"/>
      <c r="Y240" s="135"/>
      <c r="Z240" s="135"/>
      <c r="AA240" s="135"/>
      <c r="AB240" s="135"/>
      <c r="AC240" s="135"/>
      <c r="AD240" s="135"/>
    </row>
    <row r="241" customFormat="false" ht="15.75" hidden="false" customHeight="true" outlineLevel="0" collapsed="false">
      <c r="A241" s="135"/>
      <c r="B241" s="135"/>
      <c r="C241" s="135"/>
      <c r="D241" s="135"/>
      <c r="E241" s="182"/>
      <c r="F241" s="135"/>
      <c r="G241" s="135"/>
      <c r="H241" s="135"/>
      <c r="I241" s="135"/>
      <c r="J241" s="135"/>
      <c r="K241" s="135"/>
      <c r="L241" s="135"/>
      <c r="M241" s="182"/>
      <c r="N241" s="135"/>
      <c r="O241" s="135"/>
      <c r="P241" s="189"/>
      <c r="Q241" s="135"/>
      <c r="R241" s="135"/>
      <c r="S241" s="135"/>
      <c r="T241" s="135"/>
      <c r="U241" s="135"/>
      <c r="V241" s="189"/>
      <c r="W241" s="135"/>
      <c r="X241" s="135"/>
      <c r="Y241" s="135"/>
      <c r="Z241" s="135"/>
      <c r="AA241" s="135"/>
      <c r="AB241" s="135"/>
      <c r="AC241" s="135"/>
      <c r="AD241" s="135"/>
    </row>
    <row r="242" customFormat="false" ht="15.75" hidden="false" customHeight="true" outlineLevel="0" collapsed="false">
      <c r="A242" s="135"/>
      <c r="B242" s="135"/>
      <c r="C242" s="135"/>
      <c r="D242" s="135"/>
      <c r="E242" s="182"/>
      <c r="F242" s="135"/>
      <c r="G242" s="135"/>
      <c r="H242" s="135"/>
      <c r="I242" s="135"/>
      <c r="J242" s="135"/>
      <c r="K242" s="135"/>
      <c r="L242" s="135"/>
      <c r="M242" s="182"/>
      <c r="N242" s="135"/>
      <c r="O242" s="135"/>
      <c r="P242" s="189"/>
      <c r="Q242" s="135"/>
      <c r="R242" s="135"/>
      <c r="S242" s="135"/>
      <c r="T242" s="135"/>
      <c r="U242" s="135"/>
      <c r="V242" s="189"/>
      <c r="W242" s="135"/>
      <c r="X242" s="135"/>
      <c r="Y242" s="135"/>
      <c r="Z242" s="135"/>
      <c r="AA242" s="135"/>
      <c r="AB242" s="135"/>
      <c r="AC242" s="135"/>
      <c r="AD242" s="135"/>
    </row>
    <row r="243" customFormat="false" ht="15.75" hidden="false" customHeight="true" outlineLevel="0" collapsed="false">
      <c r="A243" s="135"/>
      <c r="B243" s="135"/>
      <c r="C243" s="135"/>
      <c r="D243" s="135"/>
      <c r="E243" s="182"/>
      <c r="F243" s="135"/>
      <c r="G243" s="135"/>
      <c r="H243" s="135"/>
      <c r="I243" s="135"/>
      <c r="J243" s="135"/>
      <c r="K243" s="135"/>
      <c r="L243" s="135"/>
      <c r="M243" s="182"/>
      <c r="N243" s="135"/>
      <c r="O243" s="135"/>
      <c r="P243" s="189"/>
      <c r="Q243" s="135"/>
      <c r="R243" s="135"/>
      <c r="S243" s="135"/>
      <c r="T243" s="135"/>
      <c r="U243" s="135"/>
      <c r="V243" s="189"/>
      <c r="W243" s="135"/>
      <c r="X243" s="135"/>
      <c r="Y243" s="135"/>
      <c r="Z243" s="135"/>
      <c r="AA243" s="135"/>
      <c r="AB243" s="135"/>
      <c r="AC243" s="135"/>
      <c r="AD243" s="135"/>
    </row>
    <row r="244" customFormat="false" ht="15.75" hidden="false" customHeight="true" outlineLevel="0" collapsed="false">
      <c r="A244" s="135"/>
      <c r="B244" s="135"/>
      <c r="C244" s="135"/>
      <c r="D244" s="135"/>
      <c r="E244" s="182"/>
      <c r="F244" s="135"/>
      <c r="G244" s="135"/>
      <c r="H244" s="135"/>
      <c r="I244" s="135"/>
      <c r="J244" s="135"/>
      <c r="K244" s="135"/>
      <c r="L244" s="135"/>
      <c r="M244" s="182"/>
      <c r="N244" s="135"/>
      <c r="O244" s="135"/>
      <c r="P244" s="189"/>
      <c r="Q244" s="135"/>
      <c r="R244" s="135"/>
      <c r="S244" s="135"/>
      <c r="T244" s="135"/>
      <c r="U244" s="135"/>
      <c r="V244" s="189"/>
      <c r="W244" s="135"/>
      <c r="X244" s="135"/>
      <c r="Y244" s="135"/>
      <c r="Z244" s="135"/>
      <c r="AA244" s="135"/>
      <c r="AB244" s="135"/>
      <c r="AC244" s="135"/>
      <c r="AD244" s="135"/>
    </row>
    <row r="245" customFormat="false" ht="15.75" hidden="false" customHeight="true" outlineLevel="0" collapsed="false">
      <c r="A245" s="135"/>
      <c r="B245" s="135"/>
      <c r="C245" s="135"/>
      <c r="D245" s="135"/>
      <c r="E245" s="182"/>
      <c r="F245" s="135"/>
      <c r="G245" s="135"/>
      <c r="H245" s="135"/>
      <c r="I245" s="135"/>
      <c r="J245" s="135"/>
      <c r="K245" s="135"/>
      <c r="L245" s="135"/>
      <c r="M245" s="182"/>
      <c r="N245" s="135"/>
      <c r="O245" s="135"/>
      <c r="P245" s="189"/>
      <c r="Q245" s="135"/>
      <c r="R245" s="135"/>
      <c r="S245" s="135"/>
      <c r="T245" s="135"/>
      <c r="U245" s="135"/>
      <c r="V245" s="189"/>
      <c r="W245" s="135"/>
      <c r="X245" s="135"/>
      <c r="Y245" s="135"/>
      <c r="Z245" s="135"/>
      <c r="AA245" s="135"/>
      <c r="AB245" s="135"/>
      <c r="AC245" s="135"/>
      <c r="AD245" s="135"/>
    </row>
    <row r="246" customFormat="false" ht="15.75" hidden="false" customHeight="true" outlineLevel="0" collapsed="false">
      <c r="A246" s="135"/>
      <c r="B246" s="135"/>
      <c r="C246" s="135"/>
      <c r="D246" s="135"/>
      <c r="E246" s="182"/>
      <c r="F246" s="135"/>
      <c r="G246" s="135"/>
      <c r="H246" s="135"/>
      <c r="I246" s="135"/>
      <c r="J246" s="135"/>
      <c r="K246" s="135"/>
      <c r="L246" s="135"/>
      <c r="M246" s="182"/>
      <c r="N246" s="135"/>
      <c r="O246" s="135"/>
      <c r="P246" s="189"/>
      <c r="Q246" s="135"/>
      <c r="R246" s="135"/>
      <c r="S246" s="135"/>
      <c r="T246" s="135"/>
      <c r="U246" s="135"/>
      <c r="V246" s="189"/>
      <c r="W246" s="135"/>
      <c r="X246" s="135"/>
      <c r="Y246" s="135"/>
      <c r="Z246" s="135"/>
      <c r="AA246" s="135"/>
      <c r="AB246" s="135"/>
      <c r="AC246" s="135"/>
      <c r="AD246" s="135"/>
    </row>
    <row r="247" customFormat="false" ht="15.75" hidden="false" customHeight="true" outlineLevel="0" collapsed="false">
      <c r="A247" s="135"/>
      <c r="B247" s="135"/>
      <c r="C247" s="135"/>
      <c r="D247" s="135"/>
      <c r="E247" s="182"/>
      <c r="F247" s="135"/>
      <c r="G247" s="135"/>
      <c r="H247" s="135"/>
      <c r="I247" s="135"/>
      <c r="J247" s="135"/>
      <c r="K247" s="135"/>
      <c r="L247" s="135"/>
      <c r="M247" s="182"/>
      <c r="N247" s="135"/>
      <c r="O247" s="135"/>
      <c r="P247" s="189"/>
      <c r="Q247" s="135"/>
      <c r="R247" s="135"/>
      <c r="S247" s="135"/>
      <c r="T247" s="135"/>
      <c r="U247" s="135"/>
      <c r="V247" s="189"/>
      <c r="W247" s="135"/>
      <c r="X247" s="135"/>
      <c r="Y247" s="135"/>
      <c r="Z247" s="135"/>
      <c r="AA247" s="135"/>
      <c r="AB247" s="135"/>
      <c r="AC247" s="135"/>
      <c r="AD247" s="135"/>
    </row>
    <row r="248" customFormat="false" ht="15.75" hidden="false" customHeight="true" outlineLevel="0" collapsed="false">
      <c r="A248" s="135"/>
      <c r="B248" s="135"/>
      <c r="C248" s="135"/>
      <c r="D248" s="135"/>
      <c r="E248" s="182"/>
      <c r="F248" s="135"/>
      <c r="G248" s="135"/>
      <c r="H248" s="135"/>
      <c r="I248" s="135"/>
      <c r="J248" s="135"/>
      <c r="K248" s="135"/>
      <c r="L248" s="135"/>
      <c r="M248" s="182"/>
      <c r="N248" s="135"/>
      <c r="O248" s="135"/>
      <c r="P248" s="189"/>
      <c r="Q248" s="135"/>
      <c r="R248" s="135"/>
      <c r="S248" s="135"/>
      <c r="T248" s="135"/>
      <c r="U248" s="135"/>
      <c r="V248" s="189"/>
      <c r="W248" s="135"/>
      <c r="X248" s="135"/>
      <c r="Y248" s="135"/>
      <c r="Z248" s="135"/>
      <c r="AA248" s="135"/>
      <c r="AB248" s="135"/>
      <c r="AC248" s="135"/>
      <c r="AD248" s="135"/>
    </row>
    <row r="249" customFormat="false" ht="15.75" hidden="false" customHeight="true" outlineLevel="0" collapsed="false">
      <c r="A249" s="135"/>
      <c r="B249" s="135"/>
      <c r="C249" s="135"/>
      <c r="D249" s="135"/>
      <c r="E249" s="182"/>
      <c r="F249" s="135"/>
      <c r="G249" s="135"/>
      <c r="H249" s="135"/>
      <c r="I249" s="135"/>
      <c r="J249" s="135"/>
      <c r="K249" s="135"/>
      <c r="L249" s="135"/>
      <c r="M249" s="182"/>
      <c r="N249" s="135"/>
      <c r="O249" s="135"/>
      <c r="P249" s="189"/>
      <c r="Q249" s="135"/>
      <c r="R249" s="135"/>
      <c r="S249" s="135"/>
      <c r="T249" s="135"/>
      <c r="U249" s="135"/>
      <c r="V249" s="189"/>
      <c r="W249" s="135"/>
      <c r="X249" s="135"/>
      <c r="Y249" s="135"/>
      <c r="Z249" s="135"/>
      <c r="AA249" s="135"/>
      <c r="AB249" s="135"/>
      <c r="AC249" s="135"/>
      <c r="AD249" s="135"/>
    </row>
    <row r="250" customFormat="false" ht="15.75" hidden="false" customHeight="true" outlineLevel="0" collapsed="false">
      <c r="A250" s="135"/>
      <c r="B250" s="135"/>
      <c r="C250" s="135"/>
      <c r="D250" s="135"/>
      <c r="E250" s="182"/>
      <c r="F250" s="135"/>
      <c r="G250" s="135"/>
      <c r="H250" s="135"/>
      <c r="I250" s="135"/>
      <c r="J250" s="135"/>
      <c r="K250" s="135"/>
      <c r="L250" s="135"/>
      <c r="M250" s="182"/>
      <c r="N250" s="135"/>
      <c r="O250" s="135"/>
      <c r="P250" s="189"/>
      <c r="Q250" s="135"/>
      <c r="R250" s="135"/>
      <c r="S250" s="135"/>
      <c r="T250" s="135"/>
      <c r="U250" s="135"/>
      <c r="V250" s="189"/>
      <c r="W250" s="135"/>
      <c r="X250" s="135"/>
      <c r="Y250" s="135"/>
      <c r="Z250" s="135"/>
      <c r="AA250" s="135"/>
      <c r="AB250" s="135"/>
      <c r="AC250" s="135"/>
      <c r="AD250" s="135"/>
    </row>
    <row r="251" customFormat="false" ht="15.75" hidden="false" customHeight="true" outlineLevel="0" collapsed="false">
      <c r="A251" s="135"/>
      <c r="B251" s="135"/>
      <c r="C251" s="135"/>
      <c r="D251" s="135"/>
      <c r="E251" s="182"/>
      <c r="F251" s="135"/>
      <c r="G251" s="135"/>
      <c r="H251" s="135"/>
      <c r="I251" s="135"/>
      <c r="J251" s="135"/>
      <c r="K251" s="135"/>
      <c r="L251" s="135"/>
      <c r="M251" s="182"/>
      <c r="N251" s="135"/>
      <c r="O251" s="135"/>
      <c r="P251" s="189"/>
      <c r="Q251" s="135"/>
      <c r="R251" s="135"/>
      <c r="S251" s="135"/>
      <c r="T251" s="135"/>
      <c r="U251" s="135"/>
      <c r="V251" s="189"/>
      <c r="W251" s="135"/>
      <c r="X251" s="135"/>
      <c r="Y251" s="135"/>
      <c r="Z251" s="135"/>
      <c r="AA251" s="135"/>
      <c r="AB251" s="135"/>
      <c r="AC251" s="135"/>
      <c r="AD251" s="135"/>
    </row>
    <row r="252" customFormat="false" ht="15.75" hidden="false" customHeight="true" outlineLevel="0" collapsed="false">
      <c r="A252" s="135"/>
      <c r="B252" s="135"/>
      <c r="C252" s="135"/>
      <c r="D252" s="135"/>
      <c r="E252" s="182"/>
      <c r="F252" s="135"/>
      <c r="G252" s="135"/>
      <c r="H252" s="135"/>
      <c r="I252" s="135"/>
      <c r="J252" s="135"/>
      <c r="K252" s="135"/>
      <c r="L252" s="135"/>
      <c r="M252" s="182"/>
      <c r="N252" s="135"/>
      <c r="O252" s="135"/>
      <c r="P252" s="189"/>
      <c r="Q252" s="135"/>
      <c r="R252" s="135"/>
      <c r="S252" s="135"/>
      <c r="T252" s="135"/>
      <c r="U252" s="135"/>
      <c r="V252" s="189"/>
      <c r="W252" s="135"/>
      <c r="X252" s="135"/>
      <c r="Y252" s="135"/>
      <c r="Z252" s="135"/>
      <c r="AA252" s="135"/>
      <c r="AB252" s="135"/>
      <c r="AC252" s="135"/>
      <c r="AD252" s="135"/>
    </row>
    <row r="253" customFormat="false" ht="15.75" hidden="false" customHeight="true" outlineLevel="0" collapsed="false">
      <c r="A253" s="135"/>
      <c r="B253" s="135"/>
      <c r="C253" s="135"/>
      <c r="D253" s="135"/>
      <c r="E253" s="182"/>
      <c r="F253" s="135"/>
      <c r="G253" s="135"/>
      <c r="H253" s="135"/>
      <c r="I253" s="135"/>
      <c r="J253" s="135"/>
      <c r="K253" s="135"/>
      <c r="L253" s="135"/>
      <c r="M253" s="182"/>
      <c r="N253" s="135"/>
      <c r="O253" s="135"/>
      <c r="P253" s="189"/>
      <c r="Q253" s="135"/>
      <c r="R253" s="135"/>
      <c r="S253" s="135"/>
      <c r="T253" s="135"/>
      <c r="U253" s="135"/>
      <c r="V253" s="189"/>
      <c r="W253" s="135"/>
      <c r="X253" s="135"/>
      <c r="Y253" s="135"/>
      <c r="Z253" s="135"/>
      <c r="AA253" s="135"/>
      <c r="AB253" s="135"/>
      <c r="AC253" s="135"/>
      <c r="AD253" s="135"/>
    </row>
    <row r="254" customFormat="false" ht="15.75" hidden="false" customHeight="true" outlineLevel="0" collapsed="false">
      <c r="A254" s="135"/>
      <c r="B254" s="135"/>
      <c r="C254" s="135"/>
      <c r="D254" s="135"/>
      <c r="E254" s="182"/>
      <c r="F254" s="135"/>
      <c r="G254" s="135"/>
      <c r="H254" s="135"/>
      <c r="I254" s="135"/>
      <c r="J254" s="135"/>
      <c r="K254" s="135"/>
      <c r="L254" s="135"/>
      <c r="M254" s="182"/>
      <c r="N254" s="135"/>
      <c r="O254" s="135"/>
      <c r="P254" s="189"/>
      <c r="Q254" s="135"/>
      <c r="R254" s="135"/>
      <c r="S254" s="135"/>
      <c r="T254" s="135"/>
      <c r="U254" s="135"/>
      <c r="V254" s="189"/>
      <c r="W254" s="135"/>
      <c r="X254" s="135"/>
      <c r="Y254" s="135"/>
      <c r="Z254" s="135"/>
      <c r="AA254" s="135"/>
      <c r="AB254" s="135"/>
      <c r="AC254" s="135"/>
      <c r="AD254" s="135"/>
    </row>
    <row r="255" customFormat="false" ht="15.75" hidden="false" customHeight="true" outlineLevel="0" collapsed="false">
      <c r="A255" s="135"/>
      <c r="B255" s="135"/>
      <c r="C255" s="135"/>
      <c r="D255" s="135"/>
      <c r="E255" s="182"/>
      <c r="F255" s="135"/>
      <c r="G255" s="135"/>
      <c r="H255" s="135"/>
      <c r="I255" s="135"/>
      <c r="J255" s="135"/>
      <c r="K255" s="135"/>
      <c r="L255" s="135"/>
      <c r="M255" s="182"/>
      <c r="N255" s="135"/>
      <c r="O255" s="135"/>
      <c r="P255" s="189"/>
      <c r="Q255" s="135"/>
      <c r="R255" s="135"/>
      <c r="S255" s="135"/>
      <c r="T255" s="135"/>
      <c r="U255" s="135"/>
      <c r="V255" s="189"/>
      <c r="W255" s="135"/>
      <c r="X255" s="135"/>
      <c r="Y255" s="135"/>
      <c r="Z255" s="135"/>
      <c r="AA255" s="135"/>
      <c r="AB255" s="135"/>
      <c r="AC255" s="135"/>
      <c r="AD255" s="135"/>
    </row>
    <row r="256" customFormat="false" ht="15.75" hidden="false" customHeight="true" outlineLevel="0" collapsed="false">
      <c r="A256" s="135"/>
      <c r="B256" s="135"/>
      <c r="C256" s="135"/>
      <c r="D256" s="135"/>
      <c r="E256" s="182"/>
      <c r="F256" s="135"/>
      <c r="G256" s="135"/>
      <c r="H256" s="135"/>
      <c r="I256" s="135"/>
      <c r="J256" s="135"/>
      <c r="K256" s="135"/>
      <c r="L256" s="135"/>
      <c r="M256" s="182"/>
      <c r="N256" s="135"/>
      <c r="O256" s="135"/>
      <c r="P256" s="189"/>
      <c r="Q256" s="135"/>
      <c r="R256" s="135"/>
      <c r="S256" s="135"/>
      <c r="T256" s="135"/>
      <c r="U256" s="135"/>
      <c r="V256" s="189"/>
      <c r="W256" s="135"/>
      <c r="X256" s="135"/>
      <c r="Y256" s="135"/>
      <c r="Z256" s="135"/>
      <c r="AA256" s="135"/>
      <c r="AB256" s="135"/>
      <c r="AC256" s="135"/>
      <c r="AD256" s="135"/>
    </row>
    <row r="257" customFormat="false" ht="15.75" hidden="false" customHeight="true" outlineLevel="0" collapsed="false">
      <c r="A257" s="135"/>
      <c r="B257" s="135"/>
      <c r="C257" s="135"/>
      <c r="D257" s="135"/>
      <c r="E257" s="182"/>
      <c r="F257" s="135"/>
      <c r="G257" s="135"/>
      <c r="H257" s="135"/>
      <c r="I257" s="135"/>
      <c r="J257" s="135"/>
      <c r="K257" s="135"/>
      <c r="L257" s="135"/>
      <c r="M257" s="182"/>
      <c r="N257" s="135"/>
      <c r="O257" s="135"/>
      <c r="P257" s="189"/>
      <c r="Q257" s="135"/>
      <c r="R257" s="135"/>
      <c r="S257" s="135"/>
      <c r="T257" s="135"/>
      <c r="U257" s="135"/>
      <c r="V257" s="189"/>
      <c r="W257" s="135"/>
      <c r="X257" s="135"/>
      <c r="Y257" s="135"/>
      <c r="Z257" s="135"/>
      <c r="AA257" s="135"/>
      <c r="AB257" s="135"/>
      <c r="AC257" s="135"/>
      <c r="AD257" s="135"/>
    </row>
    <row r="258" customFormat="false" ht="15.75" hidden="false" customHeight="true" outlineLevel="0" collapsed="false">
      <c r="A258" s="135"/>
      <c r="B258" s="135"/>
      <c r="C258" s="135"/>
      <c r="D258" s="135"/>
      <c r="E258" s="182"/>
      <c r="F258" s="135"/>
      <c r="G258" s="135"/>
      <c r="H258" s="135"/>
      <c r="I258" s="135"/>
      <c r="J258" s="135"/>
      <c r="K258" s="135"/>
      <c r="L258" s="135"/>
      <c r="M258" s="182"/>
      <c r="N258" s="135"/>
      <c r="O258" s="135"/>
      <c r="P258" s="189"/>
      <c r="Q258" s="135"/>
      <c r="R258" s="135"/>
      <c r="S258" s="135"/>
      <c r="T258" s="135"/>
      <c r="U258" s="135"/>
      <c r="V258" s="189"/>
      <c r="W258" s="135"/>
      <c r="X258" s="135"/>
      <c r="Y258" s="135"/>
      <c r="Z258" s="135"/>
      <c r="AA258" s="135"/>
      <c r="AB258" s="135"/>
      <c r="AC258" s="135"/>
      <c r="AD258" s="135"/>
    </row>
    <row r="259" customFormat="false" ht="15.75" hidden="false" customHeight="true" outlineLevel="0" collapsed="false">
      <c r="A259" s="135"/>
      <c r="B259" s="135"/>
      <c r="C259" s="135"/>
      <c r="D259" s="135"/>
      <c r="E259" s="182"/>
      <c r="F259" s="135"/>
      <c r="G259" s="135"/>
      <c r="H259" s="135"/>
      <c r="I259" s="135"/>
      <c r="J259" s="135"/>
      <c r="K259" s="135"/>
      <c r="L259" s="135"/>
      <c r="M259" s="182"/>
      <c r="N259" s="135"/>
      <c r="O259" s="135"/>
      <c r="P259" s="189"/>
      <c r="Q259" s="135"/>
      <c r="R259" s="135"/>
      <c r="S259" s="135"/>
      <c r="T259" s="135"/>
      <c r="U259" s="135"/>
      <c r="V259" s="189"/>
      <c r="W259" s="135"/>
      <c r="X259" s="135"/>
      <c r="Y259" s="135"/>
      <c r="Z259" s="135"/>
      <c r="AA259" s="135"/>
      <c r="AB259" s="135"/>
      <c r="AC259" s="135"/>
      <c r="AD259" s="135"/>
    </row>
    <row r="260" customFormat="false" ht="15.75" hidden="false" customHeight="true" outlineLevel="0" collapsed="false">
      <c r="A260" s="135"/>
      <c r="B260" s="135"/>
      <c r="C260" s="135"/>
      <c r="D260" s="135"/>
      <c r="E260" s="182"/>
      <c r="F260" s="135"/>
      <c r="G260" s="135"/>
      <c r="H260" s="135"/>
      <c r="I260" s="135"/>
      <c r="J260" s="135"/>
      <c r="K260" s="135"/>
      <c r="L260" s="135"/>
      <c r="M260" s="182"/>
      <c r="N260" s="135"/>
      <c r="O260" s="135"/>
      <c r="P260" s="189"/>
      <c r="Q260" s="135"/>
      <c r="R260" s="135"/>
      <c r="S260" s="135"/>
      <c r="T260" s="135"/>
      <c r="U260" s="135"/>
      <c r="V260" s="189"/>
      <c r="W260" s="135"/>
      <c r="X260" s="135"/>
      <c r="Y260" s="135"/>
      <c r="Z260" s="135"/>
      <c r="AA260" s="135"/>
      <c r="AB260" s="135"/>
      <c r="AC260" s="135"/>
      <c r="AD260" s="135"/>
    </row>
    <row r="261" customFormat="false" ht="15.75" hidden="false" customHeight="true" outlineLevel="0" collapsed="false">
      <c r="A261" s="135"/>
      <c r="B261" s="135"/>
      <c r="C261" s="135"/>
      <c r="D261" s="135"/>
      <c r="E261" s="182"/>
      <c r="F261" s="135"/>
      <c r="G261" s="135"/>
      <c r="H261" s="135"/>
      <c r="I261" s="135"/>
      <c r="J261" s="135"/>
      <c r="K261" s="135"/>
      <c r="L261" s="135"/>
      <c r="M261" s="182"/>
      <c r="N261" s="135"/>
      <c r="O261" s="135"/>
      <c r="P261" s="189"/>
      <c r="Q261" s="135"/>
      <c r="R261" s="135"/>
      <c r="S261" s="135"/>
      <c r="T261" s="135"/>
      <c r="U261" s="135"/>
      <c r="V261" s="189"/>
      <c r="W261" s="135"/>
      <c r="X261" s="135"/>
      <c r="Y261" s="135"/>
      <c r="Z261" s="135"/>
      <c r="AA261" s="135"/>
      <c r="AB261" s="135"/>
      <c r="AC261" s="135"/>
      <c r="AD261" s="135"/>
    </row>
    <row r="262" customFormat="false" ht="15.75" hidden="false" customHeight="true" outlineLevel="0" collapsed="false">
      <c r="A262" s="135"/>
      <c r="B262" s="135"/>
      <c r="C262" s="135"/>
      <c r="D262" s="135"/>
      <c r="E262" s="182"/>
      <c r="F262" s="135"/>
      <c r="G262" s="135"/>
      <c r="H262" s="135"/>
      <c r="I262" s="135"/>
      <c r="J262" s="135"/>
      <c r="K262" s="135"/>
      <c r="L262" s="135"/>
      <c r="M262" s="182"/>
      <c r="N262" s="135"/>
      <c r="O262" s="135"/>
      <c r="P262" s="189"/>
      <c r="Q262" s="135"/>
      <c r="R262" s="135"/>
      <c r="S262" s="135"/>
      <c r="T262" s="135"/>
      <c r="U262" s="135"/>
      <c r="V262" s="189"/>
      <c r="W262" s="135"/>
      <c r="X262" s="135"/>
      <c r="Y262" s="135"/>
      <c r="Z262" s="135"/>
      <c r="AA262" s="135"/>
      <c r="AB262" s="135"/>
      <c r="AC262" s="135"/>
      <c r="AD262" s="135"/>
    </row>
    <row r="263" customFormat="false" ht="15.75" hidden="false" customHeight="true" outlineLevel="0" collapsed="false">
      <c r="A263" s="135"/>
      <c r="B263" s="135"/>
      <c r="C263" s="135"/>
      <c r="D263" s="135"/>
      <c r="E263" s="182"/>
      <c r="F263" s="135"/>
      <c r="G263" s="135"/>
      <c r="H263" s="135"/>
      <c r="I263" s="135"/>
      <c r="J263" s="135"/>
      <c r="K263" s="135"/>
      <c r="L263" s="135"/>
      <c r="M263" s="182"/>
      <c r="N263" s="135"/>
      <c r="O263" s="135"/>
      <c r="P263" s="189"/>
      <c r="Q263" s="135"/>
      <c r="R263" s="135"/>
      <c r="S263" s="135"/>
      <c r="T263" s="135"/>
      <c r="U263" s="135"/>
      <c r="V263" s="189"/>
      <c r="W263" s="135"/>
      <c r="X263" s="135"/>
      <c r="Y263" s="135"/>
      <c r="Z263" s="135"/>
      <c r="AA263" s="135"/>
      <c r="AB263" s="135"/>
      <c r="AC263" s="135"/>
      <c r="AD263" s="135"/>
    </row>
    <row r="264" customFormat="false" ht="15.75" hidden="false" customHeight="true" outlineLevel="0" collapsed="false">
      <c r="A264" s="135"/>
      <c r="B264" s="135"/>
      <c r="C264" s="135"/>
      <c r="D264" s="135"/>
      <c r="E264" s="182"/>
      <c r="F264" s="135"/>
      <c r="G264" s="135"/>
      <c r="H264" s="135"/>
      <c r="I264" s="135"/>
      <c r="J264" s="135"/>
      <c r="K264" s="135"/>
      <c r="L264" s="135"/>
      <c r="M264" s="182"/>
      <c r="N264" s="135"/>
      <c r="O264" s="135"/>
      <c r="P264" s="189"/>
      <c r="Q264" s="135"/>
      <c r="R264" s="135"/>
      <c r="S264" s="135"/>
      <c r="T264" s="135"/>
      <c r="U264" s="135"/>
      <c r="V264" s="189"/>
      <c r="W264" s="135"/>
      <c r="X264" s="135"/>
      <c r="Y264" s="135"/>
      <c r="Z264" s="135"/>
      <c r="AA264" s="135"/>
      <c r="AB264" s="135"/>
      <c r="AC264" s="135"/>
      <c r="AD264" s="135"/>
    </row>
    <row r="265" customFormat="false" ht="15.75" hidden="false" customHeight="true" outlineLevel="0" collapsed="false">
      <c r="A265" s="135"/>
      <c r="B265" s="135"/>
      <c r="C265" s="135"/>
      <c r="D265" s="135"/>
      <c r="E265" s="182"/>
      <c r="F265" s="135"/>
      <c r="G265" s="135"/>
      <c r="H265" s="135"/>
      <c r="I265" s="135"/>
      <c r="J265" s="135"/>
      <c r="K265" s="135"/>
      <c r="L265" s="135"/>
      <c r="M265" s="182"/>
      <c r="N265" s="135"/>
      <c r="O265" s="135"/>
      <c r="P265" s="189"/>
      <c r="Q265" s="135"/>
      <c r="R265" s="135"/>
      <c r="S265" s="135"/>
      <c r="T265" s="135"/>
      <c r="U265" s="135"/>
      <c r="V265" s="189"/>
      <c r="W265" s="135"/>
      <c r="X265" s="135"/>
      <c r="Y265" s="135"/>
      <c r="Z265" s="135"/>
      <c r="AA265" s="135"/>
      <c r="AB265" s="135"/>
      <c r="AC265" s="135"/>
      <c r="AD265" s="135"/>
    </row>
    <row r="266" customFormat="false" ht="15.75" hidden="false" customHeight="true" outlineLevel="0" collapsed="false">
      <c r="A266" s="135"/>
      <c r="B266" s="135"/>
      <c r="C266" s="135"/>
      <c r="D266" s="135"/>
      <c r="E266" s="182"/>
      <c r="F266" s="135"/>
      <c r="G266" s="135"/>
      <c r="H266" s="135"/>
      <c r="I266" s="135"/>
      <c r="J266" s="135"/>
      <c r="K266" s="135"/>
      <c r="L266" s="135"/>
      <c r="M266" s="182"/>
      <c r="N266" s="135"/>
      <c r="O266" s="135"/>
      <c r="P266" s="189"/>
      <c r="Q266" s="135"/>
      <c r="R266" s="135"/>
      <c r="S266" s="135"/>
      <c r="T266" s="135"/>
      <c r="U266" s="135"/>
      <c r="V266" s="189"/>
      <c r="W266" s="135"/>
      <c r="X266" s="135"/>
      <c r="Y266" s="135"/>
      <c r="Z266" s="135"/>
      <c r="AA266" s="135"/>
      <c r="AB266" s="135"/>
      <c r="AC266" s="135"/>
      <c r="AD266" s="135"/>
    </row>
    <row r="267" customFormat="false" ht="15.75" hidden="false" customHeight="true" outlineLevel="0" collapsed="false">
      <c r="A267" s="135"/>
      <c r="B267" s="135"/>
      <c r="C267" s="135"/>
      <c r="D267" s="135"/>
      <c r="E267" s="182"/>
      <c r="F267" s="135"/>
      <c r="G267" s="135"/>
      <c r="H267" s="135"/>
      <c r="I267" s="135"/>
      <c r="J267" s="135"/>
      <c r="K267" s="135"/>
      <c r="L267" s="135"/>
      <c r="M267" s="182"/>
      <c r="N267" s="135"/>
      <c r="O267" s="135"/>
      <c r="P267" s="189"/>
      <c r="Q267" s="135"/>
      <c r="R267" s="135"/>
      <c r="S267" s="135"/>
      <c r="T267" s="135"/>
      <c r="U267" s="135"/>
      <c r="V267" s="189"/>
      <c r="W267" s="135"/>
      <c r="X267" s="135"/>
      <c r="Y267" s="135"/>
      <c r="Z267" s="135"/>
      <c r="AA267" s="135"/>
      <c r="AB267" s="135"/>
      <c r="AC267" s="135"/>
      <c r="AD267" s="135"/>
    </row>
    <row r="268" customFormat="false" ht="15.75" hidden="false" customHeight="true" outlineLevel="0" collapsed="false">
      <c r="A268" s="135"/>
      <c r="B268" s="135"/>
      <c r="C268" s="135"/>
      <c r="D268" s="135"/>
      <c r="E268" s="182"/>
      <c r="F268" s="135"/>
      <c r="G268" s="135"/>
      <c r="H268" s="135"/>
      <c r="I268" s="135"/>
      <c r="J268" s="135"/>
      <c r="K268" s="135"/>
      <c r="L268" s="135"/>
      <c r="M268" s="182"/>
      <c r="N268" s="135"/>
      <c r="O268" s="135"/>
      <c r="P268" s="189"/>
      <c r="Q268" s="135"/>
      <c r="R268" s="135"/>
      <c r="S268" s="135"/>
      <c r="T268" s="135"/>
      <c r="U268" s="135"/>
      <c r="V268" s="189"/>
      <c r="W268" s="135"/>
      <c r="X268" s="135"/>
      <c r="Y268" s="135"/>
      <c r="Z268" s="135"/>
      <c r="AA268" s="135"/>
      <c r="AB268" s="135"/>
      <c r="AC268" s="135"/>
      <c r="AD268" s="135"/>
    </row>
    <row r="269" customFormat="false" ht="15.75" hidden="false" customHeight="true" outlineLevel="0" collapsed="false">
      <c r="A269" s="135"/>
      <c r="B269" s="135"/>
      <c r="C269" s="135"/>
      <c r="D269" s="135"/>
      <c r="E269" s="182"/>
      <c r="F269" s="135"/>
      <c r="G269" s="135"/>
      <c r="H269" s="135"/>
      <c r="I269" s="135"/>
      <c r="J269" s="135"/>
      <c r="K269" s="135"/>
      <c r="L269" s="135"/>
      <c r="M269" s="182"/>
      <c r="N269" s="135"/>
      <c r="O269" s="135"/>
      <c r="P269" s="189"/>
      <c r="Q269" s="135"/>
      <c r="R269" s="135"/>
      <c r="S269" s="135"/>
      <c r="T269" s="135"/>
      <c r="U269" s="135"/>
      <c r="V269" s="189"/>
      <c r="W269" s="135"/>
      <c r="X269" s="135"/>
      <c r="Y269" s="135"/>
      <c r="Z269" s="135"/>
      <c r="AA269" s="135"/>
      <c r="AB269" s="135"/>
      <c r="AC269" s="135"/>
      <c r="AD269" s="135"/>
    </row>
    <row r="270" customFormat="false" ht="15.75" hidden="false" customHeight="true" outlineLevel="0" collapsed="false">
      <c r="A270" s="135"/>
      <c r="B270" s="135"/>
      <c r="C270" s="135"/>
      <c r="D270" s="135"/>
      <c r="E270" s="182"/>
      <c r="F270" s="135"/>
      <c r="G270" s="135"/>
      <c r="H270" s="135"/>
      <c r="I270" s="135"/>
      <c r="J270" s="135"/>
      <c r="K270" s="135"/>
      <c r="L270" s="135"/>
      <c r="M270" s="182"/>
      <c r="N270" s="135"/>
      <c r="O270" s="135"/>
      <c r="P270" s="189"/>
      <c r="Q270" s="135"/>
      <c r="R270" s="135"/>
      <c r="S270" s="135"/>
      <c r="T270" s="135"/>
      <c r="U270" s="135"/>
      <c r="V270" s="189"/>
      <c r="W270" s="135"/>
      <c r="X270" s="135"/>
      <c r="Y270" s="135"/>
      <c r="Z270" s="135"/>
      <c r="AA270" s="135"/>
      <c r="AB270" s="135"/>
      <c r="AC270" s="135"/>
      <c r="AD270" s="135"/>
    </row>
    <row r="271" customFormat="false" ht="15.75" hidden="false" customHeight="true" outlineLevel="0" collapsed="false">
      <c r="A271" s="135"/>
      <c r="B271" s="135"/>
      <c r="C271" s="135"/>
      <c r="D271" s="135"/>
      <c r="E271" s="182"/>
      <c r="F271" s="135"/>
      <c r="G271" s="135"/>
      <c r="H271" s="135"/>
      <c r="I271" s="135"/>
      <c r="J271" s="135"/>
      <c r="K271" s="135"/>
      <c r="L271" s="135"/>
      <c r="M271" s="182"/>
      <c r="N271" s="135"/>
      <c r="O271" s="135"/>
      <c r="P271" s="189"/>
      <c r="Q271" s="135"/>
      <c r="R271" s="135"/>
      <c r="S271" s="135"/>
      <c r="T271" s="135"/>
      <c r="U271" s="135"/>
      <c r="V271" s="189"/>
      <c r="W271" s="135"/>
      <c r="X271" s="135"/>
      <c r="Y271" s="135"/>
      <c r="Z271" s="135"/>
      <c r="AA271" s="135"/>
      <c r="AB271" s="135"/>
      <c r="AC271" s="135"/>
      <c r="AD271" s="135"/>
    </row>
    <row r="272" customFormat="false" ht="15.75" hidden="false" customHeight="true" outlineLevel="0" collapsed="false">
      <c r="A272" s="135"/>
      <c r="B272" s="135"/>
      <c r="C272" s="135"/>
      <c r="D272" s="135"/>
      <c r="E272" s="182"/>
      <c r="F272" s="135"/>
      <c r="G272" s="135"/>
      <c r="H272" s="135"/>
      <c r="I272" s="135"/>
      <c r="J272" s="135"/>
      <c r="K272" s="135"/>
      <c r="L272" s="135"/>
      <c r="M272" s="182"/>
      <c r="N272" s="135"/>
      <c r="O272" s="135"/>
      <c r="P272" s="189"/>
      <c r="Q272" s="135"/>
      <c r="R272" s="135"/>
      <c r="S272" s="135"/>
      <c r="T272" s="135"/>
      <c r="U272" s="135"/>
      <c r="V272" s="189"/>
      <c r="W272" s="135"/>
      <c r="X272" s="135"/>
      <c r="Y272" s="135"/>
      <c r="Z272" s="135"/>
      <c r="AA272" s="135"/>
      <c r="AB272" s="135"/>
      <c r="AC272" s="135"/>
      <c r="AD272" s="135"/>
    </row>
    <row r="273" customFormat="false" ht="15.75" hidden="false" customHeight="true" outlineLevel="0" collapsed="false">
      <c r="A273" s="135"/>
      <c r="B273" s="135"/>
      <c r="C273" s="135"/>
      <c r="D273" s="135"/>
      <c r="E273" s="182"/>
      <c r="F273" s="135"/>
      <c r="G273" s="135"/>
      <c r="H273" s="135"/>
      <c r="I273" s="135"/>
      <c r="J273" s="135"/>
      <c r="K273" s="135"/>
      <c r="L273" s="135"/>
      <c r="M273" s="182"/>
      <c r="N273" s="135"/>
      <c r="O273" s="135"/>
      <c r="P273" s="189"/>
      <c r="Q273" s="135"/>
      <c r="R273" s="135"/>
      <c r="S273" s="135"/>
      <c r="T273" s="135"/>
      <c r="U273" s="135"/>
      <c r="V273" s="189"/>
      <c r="W273" s="135"/>
      <c r="X273" s="135"/>
      <c r="Y273" s="135"/>
      <c r="Z273" s="135"/>
      <c r="AA273" s="135"/>
      <c r="AB273" s="135"/>
      <c r="AC273" s="135"/>
      <c r="AD273" s="135"/>
    </row>
    <row r="274" customFormat="false" ht="15.75" hidden="false" customHeight="true" outlineLevel="0" collapsed="false">
      <c r="A274" s="135"/>
      <c r="B274" s="135"/>
      <c r="C274" s="135"/>
      <c r="D274" s="135"/>
      <c r="E274" s="182"/>
      <c r="F274" s="135"/>
      <c r="G274" s="135"/>
      <c r="H274" s="135"/>
      <c r="I274" s="135"/>
      <c r="J274" s="135"/>
      <c r="K274" s="135"/>
      <c r="L274" s="135"/>
      <c r="M274" s="182"/>
      <c r="N274" s="135"/>
      <c r="O274" s="135"/>
      <c r="P274" s="189"/>
      <c r="Q274" s="135"/>
      <c r="R274" s="135"/>
      <c r="S274" s="135"/>
      <c r="T274" s="135"/>
      <c r="U274" s="135"/>
      <c r="V274" s="189"/>
      <c r="W274" s="135"/>
      <c r="X274" s="135"/>
      <c r="Y274" s="135"/>
      <c r="Z274" s="135"/>
      <c r="AA274" s="135"/>
      <c r="AB274" s="135"/>
      <c r="AC274" s="135"/>
      <c r="AD274" s="135"/>
    </row>
    <row r="275" customFormat="false" ht="15.75" hidden="false" customHeight="true" outlineLevel="0" collapsed="false">
      <c r="A275" s="135"/>
      <c r="B275" s="135"/>
      <c r="C275" s="135"/>
      <c r="D275" s="135"/>
      <c r="E275" s="182"/>
      <c r="F275" s="135"/>
      <c r="G275" s="135"/>
      <c r="H275" s="135"/>
      <c r="I275" s="135"/>
      <c r="J275" s="135"/>
      <c r="K275" s="135"/>
      <c r="L275" s="135"/>
      <c r="M275" s="182"/>
      <c r="N275" s="135"/>
      <c r="O275" s="135"/>
      <c r="P275" s="189"/>
      <c r="Q275" s="135"/>
      <c r="R275" s="135"/>
      <c r="S275" s="135"/>
      <c r="T275" s="135"/>
      <c r="U275" s="135"/>
      <c r="V275" s="189"/>
      <c r="W275" s="135"/>
      <c r="X275" s="135"/>
      <c r="Y275" s="135"/>
      <c r="Z275" s="135"/>
      <c r="AA275" s="135"/>
      <c r="AB275" s="135"/>
      <c r="AC275" s="135"/>
      <c r="AD275" s="135"/>
    </row>
    <row r="276" customFormat="false" ht="15.75" hidden="false" customHeight="true" outlineLevel="0" collapsed="false">
      <c r="A276" s="135"/>
      <c r="B276" s="135"/>
      <c r="C276" s="135"/>
      <c r="D276" s="135"/>
      <c r="E276" s="182"/>
      <c r="F276" s="135"/>
      <c r="G276" s="135"/>
      <c r="H276" s="135"/>
      <c r="I276" s="135"/>
      <c r="J276" s="135"/>
      <c r="K276" s="135"/>
      <c r="L276" s="135"/>
      <c r="M276" s="182"/>
      <c r="N276" s="135"/>
      <c r="O276" s="135"/>
      <c r="P276" s="189"/>
      <c r="Q276" s="135"/>
      <c r="R276" s="135"/>
      <c r="S276" s="135"/>
      <c r="T276" s="135"/>
      <c r="U276" s="135"/>
      <c r="V276" s="189"/>
      <c r="W276" s="135"/>
      <c r="X276" s="135"/>
      <c r="Y276" s="135"/>
      <c r="Z276" s="135"/>
      <c r="AA276" s="135"/>
      <c r="AB276" s="135"/>
      <c r="AC276" s="135"/>
      <c r="AD276" s="135"/>
    </row>
    <row r="277" customFormat="false" ht="15.75" hidden="false" customHeight="true" outlineLevel="0" collapsed="false">
      <c r="A277" s="135"/>
      <c r="B277" s="135"/>
      <c r="C277" s="135"/>
      <c r="D277" s="135"/>
      <c r="E277" s="182"/>
      <c r="F277" s="135"/>
      <c r="G277" s="135"/>
      <c r="H277" s="135"/>
      <c r="I277" s="135"/>
      <c r="J277" s="135"/>
      <c r="K277" s="135"/>
      <c r="L277" s="135"/>
      <c r="M277" s="182"/>
      <c r="N277" s="135"/>
      <c r="O277" s="135"/>
      <c r="P277" s="189"/>
      <c r="Q277" s="135"/>
      <c r="R277" s="135"/>
      <c r="S277" s="135"/>
      <c r="T277" s="135"/>
      <c r="U277" s="135"/>
      <c r="V277" s="189"/>
      <c r="W277" s="135"/>
      <c r="X277" s="135"/>
      <c r="Y277" s="135"/>
      <c r="Z277" s="135"/>
      <c r="AA277" s="135"/>
      <c r="AB277" s="135"/>
      <c r="AC277" s="135"/>
      <c r="AD277" s="135"/>
    </row>
    <row r="278" customFormat="false" ht="15.75" hidden="false" customHeight="true" outlineLevel="0" collapsed="false">
      <c r="A278" s="135"/>
      <c r="B278" s="135"/>
      <c r="C278" s="135"/>
      <c r="D278" s="135"/>
      <c r="E278" s="182"/>
      <c r="F278" s="135"/>
      <c r="G278" s="135"/>
      <c r="H278" s="135"/>
      <c r="I278" s="135"/>
      <c r="J278" s="135"/>
      <c r="K278" s="135"/>
      <c r="L278" s="135"/>
      <c r="M278" s="182"/>
      <c r="N278" s="135"/>
      <c r="O278" s="135"/>
      <c r="P278" s="189"/>
      <c r="Q278" s="135"/>
      <c r="R278" s="135"/>
      <c r="S278" s="135"/>
      <c r="T278" s="135"/>
      <c r="U278" s="135"/>
      <c r="V278" s="189"/>
      <c r="W278" s="135"/>
      <c r="X278" s="135"/>
      <c r="Y278" s="135"/>
      <c r="Z278" s="135"/>
      <c r="AA278" s="135"/>
      <c r="AB278" s="135"/>
      <c r="AC278" s="135"/>
      <c r="AD278" s="135"/>
    </row>
    <row r="279" customFormat="false" ht="15.75" hidden="false" customHeight="true" outlineLevel="0" collapsed="false">
      <c r="A279" s="135"/>
      <c r="B279" s="135"/>
      <c r="C279" s="135"/>
      <c r="D279" s="135"/>
      <c r="E279" s="182"/>
      <c r="F279" s="135"/>
      <c r="G279" s="135"/>
      <c r="H279" s="135"/>
      <c r="I279" s="135"/>
      <c r="J279" s="135"/>
      <c r="K279" s="135"/>
      <c r="L279" s="135"/>
      <c r="M279" s="182"/>
      <c r="N279" s="135"/>
      <c r="O279" s="135"/>
      <c r="P279" s="189"/>
      <c r="Q279" s="135"/>
      <c r="R279" s="135"/>
      <c r="S279" s="135"/>
      <c r="T279" s="135"/>
      <c r="U279" s="135"/>
      <c r="V279" s="189"/>
      <c r="W279" s="135"/>
      <c r="X279" s="135"/>
      <c r="Y279" s="135"/>
      <c r="Z279" s="135"/>
      <c r="AA279" s="135"/>
      <c r="AB279" s="135"/>
      <c r="AC279" s="135"/>
      <c r="AD279" s="135"/>
    </row>
    <row r="280" customFormat="false" ht="15.75" hidden="false" customHeight="true" outlineLevel="0" collapsed="false">
      <c r="A280" s="135"/>
      <c r="B280" s="135"/>
      <c r="C280" s="135"/>
      <c r="D280" s="135"/>
      <c r="E280" s="182"/>
      <c r="F280" s="135"/>
      <c r="G280" s="135"/>
      <c r="H280" s="135"/>
      <c r="I280" s="135"/>
      <c r="J280" s="135"/>
      <c r="K280" s="135"/>
      <c r="L280" s="135"/>
      <c r="M280" s="182"/>
      <c r="N280" s="135"/>
      <c r="O280" s="135"/>
      <c r="P280" s="189"/>
      <c r="Q280" s="135"/>
      <c r="R280" s="135"/>
      <c r="S280" s="135"/>
      <c r="T280" s="135"/>
      <c r="U280" s="135"/>
      <c r="V280" s="189"/>
      <c r="W280" s="135"/>
      <c r="X280" s="135"/>
      <c r="Y280" s="135"/>
      <c r="Z280" s="135"/>
      <c r="AA280" s="135"/>
      <c r="AB280" s="135"/>
      <c r="AC280" s="135"/>
      <c r="AD280" s="135"/>
    </row>
    <row r="281" customFormat="false" ht="15.75" hidden="false" customHeight="true" outlineLevel="0" collapsed="false">
      <c r="A281" s="135"/>
      <c r="B281" s="135"/>
      <c r="C281" s="135"/>
      <c r="D281" s="135"/>
      <c r="E281" s="182"/>
      <c r="F281" s="135"/>
      <c r="G281" s="135"/>
      <c r="H281" s="135"/>
      <c r="I281" s="135"/>
      <c r="J281" s="135"/>
      <c r="K281" s="135"/>
      <c r="L281" s="135"/>
      <c r="M281" s="182"/>
      <c r="N281" s="135"/>
      <c r="O281" s="135"/>
      <c r="P281" s="189"/>
      <c r="Q281" s="135"/>
      <c r="R281" s="135"/>
      <c r="S281" s="135"/>
      <c r="T281" s="135"/>
      <c r="U281" s="135"/>
      <c r="V281" s="189"/>
      <c r="W281" s="135"/>
      <c r="X281" s="135"/>
      <c r="Y281" s="135"/>
      <c r="Z281" s="135"/>
      <c r="AA281" s="135"/>
      <c r="AB281" s="135"/>
      <c r="AC281" s="135"/>
      <c r="AD281" s="135"/>
    </row>
    <row r="282" customFormat="false" ht="15.75" hidden="false" customHeight="true" outlineLevel="0" collapsed="false">
      <c r="A282" s="135"/>
      <c r="B282" s="135"/>
      <c r="C282" s="135"/>
      <c r="D282" s="135"/>
      <c r="E282" s="182"/>
      <c r="F282" s="135"/>
      <c r="G282" s="135"/>
      <c r="H282" s="135"/>
      <c r="I282" s="135"/>
      <c r="J282" s="135"/>
      <c r="K282" s="135"/>
      <c r="L282" s="135"/>
      <c r="M282" s="182"/>
      <c r="N282" s="135"/>
      <c r="O282" s="135"/>
      <c r="P282" s="189"/>
      <c r="Q282" s="135"/>
      <c r="R282" s="135"/>
      <c r="S282" s="135"/>
      <c r="T282" s="135"/>
      <c r="U282" s="135"/>
      <c r="V282" s="189"/>
      <c r="W282" s="135"/>
      <c r="X282" s="135"/>
      <c r="Y282" s="135"/>
      <c r="Z282" s="135"/>
      <c r="AA282" s="135"/>
      <c r="AB282" s="135"/>
      <c r="AC282" s="135"/>
      <c r="AD282" s="135"/>
    </row>
    <row r="283" customFormat="false" ht="15.75" hidden="false" customHeight="true" outlineLevel="0" collapsed="false">
      <c r="A283" s="135"/>
      <c r="B283" s="135"/>
      <c r="C283" s="135"/>
      <c r="D283" s="135"/>
      <c r="E283" s="182"/>
      <c r="F283" s="135"/>
      <c r="G283" s="135"/>
      <c r="H283" s="135"/>
      <c r="I283" s="135"/>
      <c r="J283" s="135"/>
      <c r="K283" s="135"/>
      <c r="L283" s="135"/>
      <c r="M283" s="182"/>
      <c r="N283" s="135"/>
      <c r="O283" s="135"/>
      <c r="P283" s="189"/>
      <c r="Q283" s="135"/>
      <c r="R283" s="135"/>
      <c r="S283" s="135"/>
      <c r="T283" s="135"/>
      <c r="U283" s="135"/>
      <c r="V283" s="189"/>
      <c r="W283" s="135"/>
      <c r="X283" s="135"/>
      <c r="Y283" s="135"/>
      <c r="Z283" s="135"/>
      <c r="AA283" s="135"/>
      <c r="AB283" s="135"/>
      <c r="AC283" s="135"/>
      <c r="AD283" s="135"/>
    </row>
    <row r="284" customFormat="false" ht="15.75" hidden="false" customHeight="true" outlineLevel="0" collapsed="false">
      <c r="A284" s="135"/>
      <c r="B284" s="135"/>
      <c r="C284" s="135"/>
      <c r="D284" s="135"/>
      <c r="E284" s="182"/>
      <c r="F284" s="135"/>
      <c r="G284" s="135"/>
      <c r="H284" s="135"/>
      <c r="I284" s="135"/>
      <c r="J284" s="135"/>
      <c r="K284" s="135"/>
      <c r="L284" s="135"/>
      <c r="M284" s="182"/>
      <c r="N284" s="135"/>
      <c r="O284" s="135"/>
      <c r="P284" s="189"/>
      <c r="Q284" s="135"/>
      <c r="R284" s="135"/>
      <c r="S284" s="135"/>
      <c r="T284" s="135"/>
      <c r="U284" s="135"/>
      <c r="V284" s="189"/>
      <c r="W284" s="135"/>
      <c r="X284" s="135"/>
      <c r="Y284" s="135"/>
      <c r="Z284" s="135"/>
      <c r="AA284" s="135"/>
      <c r="AB284" s="135"/>
      <c r="AC284" s="135"/>
      <c r="AD284" s="135"/>
    </row>
    <row r="285" customFormat="false" ht="15.75" hidden="false" customHeight="true" outlineLevel="0" collapsed="false">
      <c r="A285" s="135"/>
      <c r="B285" s="135"/>
      <c r="C285" s="135"/>
      <c r="D285" s="135"/>
      <c r="E285" s="182"/>
      <c r="F285" s="135"/>
      <c r="G285" s="135"/>
      <c r="H285" s="135"/>
      <c r="I285" s="135"/>
      <c r="J285" s="135"/>
      <c r="K285" s="135"/>
      <c r="L285" s="135"/>
      <c r="M285" s="182"/>
      <c r="N285" s="135"/>
      <c r="O285" s="135"/>
      <c r="P285" s="189"/>
      <c r="Q285" s="135"/>
      <c r="R285" s="135"/>
      <c r="S285" s="135"/>
      <c r="T285" s="135"/>
      <c r="U285" s="135"/>
      <c r="V285" s="189"/>
      <c r="W285" s="135"/>
      <c r="X285" s="135"/>
      <c r="Y285" s="135"/>
      <c r="Z285" s="135"/>
      <c r="AA285" s="135"/>
      <c r="AB285" s="135"/>
      <c r="AC285" s="135"/>
      <c r="AD285" s="135"/>
    </row>
    <row r="286" customFormat="false" ht="15.75" hidden="false" customHeight="true" outlineLevel="0" collapsed="false">
      <c r="A286" s="135"/>
      <c r="B286" s="135"/>
      <c r="C286" s="135"/>
      <c r="D286" s="135"/>
      <c r="E286" s="182"/>
      <c r="F286" s="135"/>
      <c r="G286" s="135"/>
      <c r="H286" s="135"/>
      <c r="I286" s="135"/>
      <c r="J286" s="135"/>
      <c r="K286" s="135"/>
      <c r="L286" s="135"/>
      <c r="M286" s="182"/>
      <c r="N286" s="135"/>
      <c r="O286" s="135"/>
      <c r="P286" s="189"/>
      <c r="Q286" s="135"/>
      <c r="R286" s="135"/>
      <c r="S286" s="135"/>
      <c r="T286" s="135"/>
      <c r="U286" s="135"/>
      <c r="V286" s="189"/>
      <c r="W286" s="135"/>
      <c r="X286" s="135"/>
      <c r="Y286" s="135"/>
      <c r="Z286" s="135"/>
      <c r="AA286" s="135"/>
      <c r="AB286" s="135"/>
      <c r="AC286" s="135"/>
      <c r="AD286" s="135"/>
    </row>
    <row r="287" customFormat="false" ht="15.75" hidden="false" customHeight="true" outlineLevel="0" collapsed="false">
      <c r="A287" s="135"/>
      <c r="B287" s="135"/>
      <c r="C287" s="135"/>
      <c r="D287" s="135"/>
      <c r="E287" s="182"/>
      <c r="F287" s="135"/>
      <c r="G287" s="135"/>
      <c r="H287" s="135"/>
      <c r="I287" s="135"/>
      <c r="J287" s="135"/>
      <c r="K287" s="135"/>
      <c r="L287" s="135"/>
      <c r="M287" s="182"/>
      <c r="N287" s="135"/>
      <c r="O287" s="135"/>
      <c r="P287" s="189"/>
      <c r="Q287" s="135"/>
      <c r="R287" s="135"/>
      <c r="S287" s="135"/>
      <c r="T287" s="135"/>
      <c r="U287" s="135"/>
      <c r="V287" s="189"/>
      <c r="W287" s="135"/>
      <c r="X287" s="135"/>
      <c r="Y287" s="135"/>
      <c r="Z287" s="135"/>
      <c r="AA287" s="135"/>
      <c r="AB287" s="135"/>
      <c r="AC287" s="135"/>
      <c r="AD287" s="135"/>
    </row>
    <row r="288" customFormat="false" ht="15.75" hidden="false" customHeight="true" outlineLevel="0" collapsed="false">
      <c r="A288" s="135"/>
      <c r="B288" s="135"/>
      <c r="C288" s="135"/>
      <c r="D288" s="135"/>
      <c r="E288" s="182"/>
      <c r="F288" s="135"/>
      <c r="G288" s="135"/>
      <c r="H288" s="135"/>
      <c r="I288" s="135"/>
      <c r="J288" s="135"/>
      <c r="K288" s="135"/>
      <c r="L288" s="135"/>
      <c r="M288" s="182"/>
      <c r="N288" s="135"/>
      <c r="O288" s="135"/>
      <c r="P288" s="189"/>
      <c r="Q288" s="135"/>
      <c r="R288" s="135"/>
      <c r="S288" s="135"/>
      <c r="T288" s="135"/>
      <c r="U288" s="135"/>
      <c r="V288" s="189"/>
      <c r="W288" s="135"/>
      <c r="X288" s="135"/>
      <c r="Y288" s="135"/>
      <c r="Z288" s="135"/>
      <c r="AA288" s="135"/>
      <c r="AB288" s="135"/>
      <c r="AC288" s="135"/>
      <c r="AD288" s="135"/>
    </row>
    <row r="289" customFormat="false" ht="15.75" hidden="false" customHeight="true" outlineLevel="0" collapsed="false">
      <c r="A289" s="135"/>
      <c r="B289" s="135"/>
      <c r="C289" s="135"/>
      <c r="D289" s="135"/>
      <c r="E289" s="182"/>
      <c r="F289" s="135"/>
      <c r="G289" s="135"/>
      <c r="H289" s="135"/>
      <c r="I289" s="135"/>
      <c r="J289" s="135"/>
      <c r="K289" s="135"/>
      <c r="L289" s="135"/>
      <c r="M289" s="182"/>
      <c r="N289" s="135"/>
      <c r="O289" s="135"/>
      <c r="P289" s="189"/>
      <c r="Q289" s="135"/>
      <c r="R289" s="135"/>
      <c r="S289" s="135"/>
      <c r="T289" s="135"/>
      <c r="U289" s="135"/>
      <c r="V289" s="189"/>
      <c r="W289" s="135"/>
      <c r="X289" s="135"/>
      <c r="Y289" s="135"/>
      <c r="Z289" s="135"/>
      <c r="AA289" s="135"/>
      <c r="AB289" s="135"/>
      <c r="AC289" s="135"/>
      <c r="AD289" s="135"/>
    </row>
    <row r="290" customFormat="false" ht="15.75" hidden="false" customHeight="true" outlineLevel="0" collapsed="false">
      <c r="A290" s="135"/>
      <c r="B290" s="135"/>
      <c r="C290" s="135"/>
      <c r="D290" s="135"/>
      <c r="E290" s="182"/>
      <c r="F290" s="135"/>
      <c r="G290" s="135"/>
      <c r="H290" s="135"/>
      <c r="I290" s="135"/>
      <c r="J290" s="135"/>
      <c r="K290" s="135"/>
      <c r="L290" s="135"/>
      <c r="M290" s="182"/>
      <c r="N290" s="135"/>
      <c r="O290" s="135"/>
      <c r="P290" s="189"/>
      <c r="Q290" s="135"/>
      <c r="R290" s="135"/>
      <c r="S290" s="135"/>
      <c r="T290" s="135"/>
      <c r="U290" s="135"/>
      <c r="V290" s="189"/>
      <c r="W290" s="135"/>
      <c r="X290" s="135"/>
      <c r="Y290" s="135"/>
      <c r="Z290" s="135"/>
      <c r="AA290" s="135"/>
      <c r="AB290" s="135"/>
      <c r="AC290" s="135"/>
      <c r="AD290" s="135"/>
    </row>
    <row r="291" customFormat="false" ht="15.75" hidden="false" customHeight="true" outlineLevel="0" collapsed="false">
      <c r="A291" s="135"/>
      <c r="B291" s="135"/>
      <c r="C291" s="135"/>
      <c r="D291" s="135"/>
      <c r="E291" s="182"/>
      <c r="F291" s="135"/>
      <c r="G291" s="135"/>
      <c r="H291" s="135"/>
      <c r="I291" s="135"/>
      <c r="J291" s="135"/>
      <c r="K291" s="135"/>
      <c r="L291" s="135"/>
      <c r="M291" s="182"/>
      <c r="N291" s="135"/>
      <c r="O291" s="135"/>
      <c r="P291" s="189"/>
      <c r="Q291" s="135"/>
      <c r="R291" s="135"/>
      <c r="S291" s="135"/>
      <c r="T291" s="135"/>
      <c r="U291" s="135"/>
      <c r="V291" s="189"/>
      <c r="W291" s="135"/>
      <c r="X291" s="135"/>
      <c r="Y291" s="135"/>
      <c r="Z291" s="135"/>
      <c r="AA291" s="135"/>
      <c r="AB291" s="135"/>
      <c r="AC291" s="135"/>
      <c r="AD291" s="135"/>
    </row>
    <row r="292" customFormat="false" ht="15.75" hidden="false" customHeight="true" outlineLevel="0" collapsed="false">
      <c r="A292" s="135"/>
      <c r="B292" s="135"/>
      <c r="C292" s="135"/>
      <c r="D292" s="135"/>
      <c r="E292" s="182"/>
      <c r="F292" s="135"/>
      <c r="G292" s="135"/>
      <c r="H292" s="135"/>
      <c r="I292" s="135"/>
      <c r="J292" s="135"/>
      <c r="K292" s="135"/>
      <c r="L292" s="135"/>
      <c r="M292" s="182"/>
      <c r="N292" s="135"/>
      <c r="O292" s="135"/>
      <c r="P292" s="189"/>
      <c r="Q292" s="135"/>
      <c r="R292" s="135"/>
      <c r="S292" s="135"/>
      <c r="T292" s="135"/>
      <c r="U292" s="135"/>
      <c r="V292" s="189"/>
      <c r="W292" s="135"/>
      <c r="X292" s="135"/>
      <c r="Y292" s="135"/>
      <c r="Z292" s="135"/>
      <c r="AA292" s="135"/>
      <c r="AB292" s="135"/>
      <c r="AC292" s="135"/>
      <c r="AD292" s="135"/>
    </row>
    <row r="293" customFormat="false" ht="15.75" hidden="false" customHeight="true" outlineLevel="0" collapsed="false">
      <c r="A293" s="135"/>
      <c r="B293" s="135"/>
      <c r="C293" s="135"/>
      <c r="D293" s="135"/>
      <c r="E293" s="182"/>
      <c r="F293" s="135"/>
      <c r="G293" s="135"/>
      <c r="H293" s="135"/>
      <c r="I293" s="135"/>
      <c r="J293" s="135"/>
      <c r="K293" s="135"/>
      <c r="L293" s="135"/>
      <c r="M293" s="182"/>
      <c r="N293" s="135"/>
      <c r="O293" s="135"/>
      <c r="P293" s="189"/>
      <c r="Q293" s="135"/>
      <c r="R293" s="135"/>
      <c r="S293" s="135"/>
      <c r="T293" s="135"/>
      <c r="U293" s="135"/>
      <c r="V293" s="189"/>
      <c r="W293" s="135"/>
      <c r="X293" s="135"/>
      <c r="Y293" s="135"/>
      <c r="Z293" s="135"/>
      <c r="AA293" s="135"/>
      <c r="AB293" s="135"/>
      <c r="AC293" s="135"/>
      <c r="AD293" s="135"/>
    </row>
    <row r="294" customFormat="false" ht="15.75" hidden="false" customHeight="true" outlineLevel="0" collapsed="false">
      <c r="A294" s="135"/>
      <c r="B294" s="135"/>
      <c r="C294" s="135"/>
      <c r="D294" s="135"/>
      <c r="E294" s="182"/>
      <c r="F294" s="135"/>
      <c r="G294" s="135"/>
      <c r="H294" s="135"/>
      <c r="I294" s="135"/>
      <c r="J294" s="135"/>
      <c r="K294" s="135"/>
      <c r="L294" s="135"/>
      <c r="M294" s="182"/>
      <c r="N294" s="135"/>
      <c r="O294" s="135"/>
      <c r="P294" s="189"/>
      <c r="Q294" s="135"/>
      <c r="R294" s="135"/>
      <c r="S294" s="135"/>
      <c r="T294" s="135"/>
      <c r="U294" s="135"/>
      <c r="V294" s="189"/>
      <c r="W294" s="135"/>
      <c r="X294" s="135"/>
      <c r="Y294" s="135"/>
      <c r="Z294" s="135"/>
      <c r="AA294" s="135"/>
      <c r="AB294" s="135"/>
      <c r="AC294" s="135"/>
      <c r="AD294" s="135"/>
    </row>
    <row r="295" customFormat="false" ht="15.75" hidden="false" customHeight="true" outlineLevel="0" collapsed="false">
      <c r="A295" s="135"/>
      <c r="B295" s="135"/>
      <c r="C295" s="135"/>
      <c r="D295" s="135"/>
      <c r="E295" s="182"/>
      <c r="F295" s="135"/>
      <c r="G295" s="135"/>
      <c r="H295" s="135"/>
      <c r="I295" s="135"/>
      <c r="J295" s="135"/>
      <c r="K295" s="135"/>
      <c r="L295" s="135"/>
      <c r="M295" s="182"/>
      <c r="N295" s="135"/>
      <c r="O295" s="135"/>
      <c r="P295" s="189"/>
      <c r="Q295" s="135"/>
      <c r="R295" s="135"/>
      <c r="S295" s="135"/>
      <c r="T295" s="135"/>
      <c r="U295" s="135"/>
      <c r="V295" s="189"/>
      <c r="W295" s="135"/>
      <c r="X295" s="135"/>
      <c r="Y295" s="135"/>
      <c r="Z295" s="135"/>
      <c r="AA295" s="135"/>
      <c r="AB295" s="135"/>
      <c r="AC295" s="135"/>
      <c r="AD295" s="135"/>
    </row>
    <row r="296" customFormat="false" ht="15.75" hidden="false" customHeight="true" outlineLevel="0" collapsed="false">
      <c r="A296" s="135"/>
      <c r="B296" s="135"/>
      <c r="C296" s="135"/>
      <c r="D296" s="135"/>
      <c r="E296" s="182"/>
      <c r="F296" s="135"/>
      <c r="G296" s="135"/>
      <c r="H296" s="135"/>
      <c r="I296" s="135"/>
      <c r="J296" s="135"/>
      <c r="K296" s="135"/>
      <c r="L296" s="135"/>
      <c r="M296" s="182"/>
      <c r="N296" s="135"/>
      <c r="O296" s="135"/>
      <c r="P296" s="189"/>
      <c r="Q296" s="135"/>
      <c r="R296" s="135"/>
      <c r="S296" s="135"/>
      <c r="T296" s="135"/>
      <c r="U296" s="135"/>
      <c r="V296" s="189"/>
      <c r="W296" s="135"/>
      <c r="X296" s="135"/>
      <c r="Y296" s="135"/>
      <c r="Z296" s="135"/>
      <c r="AA296" s="135"/>
      <c r="AB296" s="135"/>
      <c r="AC296" s="135"/>
      <c r="AD296" s="135"/>
    </row>
    <row r="297" customFormat="false" ht="15.75" hidden="false" customHeight="true" outlineLevel="0" collapsed="false">
      <c r="A297" s="135"/>
      <c r="B297" s="135"/>
      <c r="C297" s="135"/>
      <c r="D297" s="135"/>
      <c r="E297" s="182"/>
      <c r="F297" s="135"/>
      <c r="G297" s="135"/>
      <c r="H297" s="135"/>
      <c r="I297" s="135"/>
      <c r="J297" s="135"/>
      <c r="K297" s="135"/>
      <c r="L297" s="135"/>
      <c r="M297" s="182"/>
      <c r="N297" s="135"/>
      <c r="O297" s="135"/>
      <c r="P297" s="189"/>
      <c r="Q297" s="135"/>
      <c r="R297" s="135"/>
      <c r="S297" s="135"/>
      <c r="T297" s="135"/>
      <c r="U297" s="135"/>
      <c r="V297" s="189"/>
      <c r="W297" s="135"/>
      <c r="X297" s="135"/>
      <c r="Y297" s="135"/>
      <c r="Z297" s="135"/>
      <c r="AA297" s="135"/>
      <c r="AB297" s="135"/>
      <c r="AC297" s="135"/>
      <c r="AD297" s="135"/>
    </row>
    <row r="298" customFormat="false" ht="15.75" hidden="false" customHeight="true" outlineLevel="0" collapsed="false">
      <c r="A298" s="135"/>
      <c r="B298" s="135"/>
      <c r="C298" s="135"/>
      <c r="D298" s="135"/>
      <c r="E298" s="182"/>
      <c r="F298" s="135"/>
      <c r="G298" s="135"/>
      <c r="H298" s="135"/>
      <c r="I298" s="135"/>
      <c r="J298" s="135"/>
      <c r="K298" s="135"/>
      <c r="L298" s="135"/>
      <c r="M298" s="182"/>
      <c r="N298" s="135"/>
      <c r="O298" s="135"/>
      <c r="P298" s="189"/>
      <c r="Q298" s="135"/>
      <c r="R298" s="135"/>
      <c r="S298" s="135"/>
      <c r="T298" s="135"/>
      <c r="U298" s="135"/>
      <c r="V298" s="189"/>
      <c r="W298" s="135"/>
      <c r="X298" s="135"/>
      <c r="Y298" s="135"/>
      <c r="Z298" s="135"/>
      <c r="AA298" s="135"/>
      <c r="AB298" s="135"/>
      <c r="AC298" s="135"/>
      <c r="AD298" s="135"/>
    </row>
    <row r="299" customFormat="false" ht="15.75" hidden="false" customHeight="true" outlineLevel="0" collapsed="false">
      <c r="A299" s="135"/>
      <c r="B299" s="135"/>
      <c r="C299" s="135"/>
      <c r="D299" s="135"/>
      <c r="E299" s="182"/>
      <c r="F299" s="135"/>
      <c r="G299" s="135"/>
      <c r="H299" s="135"/>
      <c r="I299" s="135"/>
      <c r="J299" s="135"/>
      <c r="K299" s="135"/>
      <c r="L299" s="135"/>
      <c r="M299" s="182"/>
      <c r="N299" s="135"/>
      <c r="O299" s="135"/>
      <c r="P299" s="189"/>
      <c r="Q299" s="135"/>
      <c r="R299" s="135"/>
      <c r="S299" s="135"/>
      <c r="T299" s="135"/>
      <c r="U299" s="135"/>
      <c r="V299" s="189"/>
      <c r="W299" s="135"/>
      <c r="X299" s="135"/>
      <c r="Y299" s="135"/>
      <c r="Z299" s="135"/>
      <c r="AA299" s="135"/>
      <c r="AB299" s="135"/>
      <c r="AC299" s="135"/>
      <c r="AD299" s="135"/>
    </row>
    <row r="300" customFormat="false" ht="15.75" hidden="false" customHeight="true" outlineLevel="0" collapsed="false">
      <c r="A300" s="135"/>
      <c r="B300" s="135"/>
      <c r="C300" s="135"/>
      <c r="D300" s="135"/>
      <c r="E300" s="182"/>
      <c r="F300" s="135"/>
      <c r="G300" s="135"/>
      <c r="H300" s="135"/>
      <c r="I300" s="135"/>
      <c r="J300" s="135"/>
      <c r="K300" s="135"/>
      <c r="L300" s="135"/>
      <c r="M300" s="182"/>
      <c r="N300" s="135"/>
      <c r="O300" s="135"/>
      <c r="P300" s="189"/>
      <c r="Q300" s="135"/>
      <c r="R300" s="135"/>
      <c r="S300" s="135"/>
      <c r="T300" s="135"/>
      <c r="U300" s="135"/>
      <c r="V300" s="189"/>
      <c r="W300" s="135"/>
      <c r="X300" s="135"/>
      <c r="Y300" s="135"/>
      <c r="Z300" s="135"/>
      <c r="AA300" s="135"/>
      <c r="AB300" s="135"/>
      <c r="AC300" s="135"/>
      <c r="AD300" s="135"/>
    </row>
    <row r="301" customFormat="false" ht="15.75" hidden="false" customHeight="true" outlineLevel="0" collapsed="false">
      <c r="A301" s="135"/>
      <c r="B301" s="135"/>
      <c r="C301" s="135"/>
      <c r="D301" s="135"/>
      <c r="E301" s="182"/>
      <c r="F301" s="135"/>
      <c r="G301" s="135"/>
      <c r="H301" s="135"/>
      <c r="I301" s="135"/>
      <c r="J301" s="135"/>
      <c r="K301" s="135"/>
      <c r="L301" s="135"/>
      <c r="M301" s="182"/>
      <c r="N301" s="135"/>
      <c r="O301" s="135"/>
      <c r="P301" s="189"/>
      <c r="Q301" s="135"/>
      <c r="R301" s="135"/>
      <c r="S301" s="135"/>
      <c r="T301" s="135"/>
      <c r="U301" s="135"/>
      <c r="V301" s="189"/>
      <c r="W301" s="135"/>
      <c r="X301" s="135"/>
      <c r="Y301" s="135"/>
      <c r="Z301" s="135"/>
      <c r="AA301" s="135"/>
      <c r="AB301" s="135"/>
      <c r="AC301" s="135"/>
      <c r="AD301" s="135"/>
    </row>
    <row r="302" customFormat="false" ht="15.75" hidden="false" customHeight="true" outlineLevel="0" collapsed="false">
      <c r="A302" s="135"/>
      <c r="B302" s="135"/>
      <c r="C302" s="135"/>
      <c r="D302" s="135"/>
      <c r="E302" s="182"/>
      <c r="F302" s="135"/>
      <c r="G302" s="135"/>
      <c r="H302" s="135"/>
      <c r="I302" s="135"/>
      <c r="J302" s="135"/>
      <c r="K302" s="135"/>
      <c r="L302" s="135"/>
      <c r="M302" s="182"/>
      <c r="N302" s="135"/>
      <c r="O302" s="135"/>
      <c r="P302" s="189"/>
      <c r="Q302" s="135"/>
      <c r="R302" s="135"/>
      <c r="S302" s="135"/>
      <c r="T302" s="135"/>
      <c r="U302" s="135"/>
      <c r="V302" s="189"/>
      <c r="W302" s="135"/>
      <c r="X302" s="135"/>
      <c r="Y302" s="135"/>
      <c r="Z302" s="135"/>
      <c r="AA302" s="135"/>
      <c r="AB302" s="135"/>
      <c r="AC302" s="135"/>
      <c r="AD302" s="135"/>
    </row>
    <row r="303" customFormat="false" ht="15.75" hidden="false" customHeight="true" outlineLevel="0" collapsed="false">
      <c r="A303" s="135"/>
      <c r="B303" s="135"/>
      <c r="C303" s="135"/>
      <c r="D303" s="135"/>
      <c r="E303" s="182"/>
      <c r="F303" s="135"/>
      <c r="G303" s="135"/>
      <c r="H303" s="135"/>
      <c r="I303" s="135"/>
      <c r="J303" s="135"/>
      <c r="K303" s="135"/>
      <c r="L303" s="135"/>
      <c r="M303" s="182"/>
      <c r="N303" s="135"/>
      <c r="O303" s="135"/>
      <c r="P303" s="189"/>
      <c r="Q303" s="135"/>
      <c r="R303" s="135"/>
      <c r="S303" s="135"/>
      <c r="T303" s="135"/>
      <c r="U303" s="135"/>
      <c r="V303" s="189"/>
      <c r="W303" s="135"/>
      <c r="X303" s="135"/>
      <c r="Y303" s="135"/>
      <c r="Z303" s="135"/>
      <c r="AA303" s="135"/>
      <c r="AB303" s="135"/>
      <c r="AC303" s="135"/>
      <c r="AD303" s="135"/>
    </row>
    <row r="304" customFormat="false" ht="15.75" hidden="false" customHeight="true" outlineLevel="0" collapsed="false">
      <c r="A304" s="135"/>
      <c r="B304" s="135"/>
      <c r="C304" s="135"/>
      <c r="D304" s="135"/>
      <c r="E304" s="182"/>
      <c r="F304" s="135"/>
      <c r="G304" s="135"/>
      <c r="H304" s="135"/>
      <c r="I304" s="135"/>
      <c r="J304" s="135"/>
      <c r="K304" s="135"/>
      <c r="L304" s="135"/>
      <c r="M304" s="182"/>
      <c r="N304" s="135"/>
      <c r="O304" s="135"/>
      <c r="P304" s="189"/>
      <c r="Q304" s="135"/>
      <c r="R304" s="135"/>
      <c r="S304" s="135"/>
      <c r="T304" s="135"/>
      <c r="U304" s="135"/>
      <c r="V304" s="189"/>
      <c r="W304" s="135"/>
      <c r="X304" s="135"/>
      <c r="Y304" s="135"/>
      <c r="Z304" s="135"/>
      <c r="AA304" s="135"/>
      <c r="AB304" s="135"/>
      <c r="AC304" s="135"/>
      <c r="AD304" s="135"/>
    </row>
    <row r="305" customFormat="false" ht="15.75" hidden="false" customHeight="true" outlineLevel="0" collapsed="false">
      <c r="A305" s="135"/>
      <c r="B305" s="135"/>
      <c r="C305" s="135"/>
      <c r="D305" s="135"/>
      <c r="E305" s="182"/>
      <c r="F305" s="135"/>
      <c r="G305" s="135"/>
      <c r="H305" s="135"/>
      <c r="I305" s="135"/>
      <c r="J305" s="135"/>
      <c r="K305" s="135"/>
      <c r="L305" s="135"/>
      <c r="M305" s="182"/>
      <c r="N305" s="135"/>
      <c r="O305" s="135"/>
      <c r="P305" s="189"/>
      <c r="Q305" s="135"/>
      <c r="R305" s="135"/>
      <c r="S305" s="135"/>
      <c r="T305" s="135"/>
      <c r="U305" s="135"/>
      <c r="V305" s="189"/>
      <c r="W305" s="135"/>
      <c r="X305" s="135"/>
      <c r="Y305" s="135"/>
      <c r="Z305" s="135"/>
      <c r="AA305" s="135"/>
      <c r="AB305" s="135"/>
      <c r="AC305" s="135"/>
      <c r="AD305" s="135"/>
    </row>
    <row r="306" customFormat="false" ht="15.75" hidden="false" customHeight="true" outlineLevel="0" collapsed="false">
      <c r="A306" s="135"/>
      <c r="B306" s="135"/>
      <c r="C306" s="135"/>
      <c r="D306" s="135"/>
      <c r="E306" s="182"/>
      <c r="F306" s="135"/>
      <c r="G306" s="135"/>
      <c r="H306" s="135"/>
      <c r="I306" s="135"/>
      <c r="J306" s="135"/>
      <c r="K306" s="135"/>
      <c r="L306" s="135"/>
      <c r="M306" s="182"/>
      <c r="N306" s="135"/>
      <c r="O306" s="135"/>
      <c r="P306" s="189"/>
      <c r="Q306" s="135"/>
      <c r="R306" s="135"/>
      <c r="S306" s="135"/>
      <c r="T306" s="135"/>
      <c r="U306" s="135"/>
      <c r="V306" s="189"/>
      <c r="W306" s="135"/>
      <c r="X306" s="135"/>
      <c r="Y306" s="135"/>
      <c r="Z306" s="135"/>
      <c r="AA306" s="135"/>
      <c r="AB306" s="135"/>
      <c r="AC306" s="135"/>
      <c r="AD306" s="135"/>
    </row>
    <row r="307" customFormat="false" ht="15.75" hidden="false" customHeight="true" outlineLevel="0" collapsed="false">
      <c r="A307" s="135"/>
      <c r="B307" s="135"/>
      <c r="C307" s="135"/>
      <c r="D307" s="135"/>
      <c r="E307" s="182"/>
      <c r="F307" s="135"/>
      <c r="G307" s="135"/>
      <c r="H307" s="135"/>
      <c r="I307" s="135"/>
      <c r="J307" s="135"/>
      <c r="K307" s="135"/>
      <c r="L307" s="135"/>
      <c r="M307" s="182"/>
      <c r="N307" s="135"/>
      <c r="O307" s="135"/>
      <c r="P307" s="189"/>
      <c r="Q307" s="135"/>
      <c r="R307" s="135"/>
      <c r="S307" s="135"/>
      <c r="T307" s="135"/>
      <c r="U307" s="135"/>
      <c r="V307" s="189"/>
      <c r="W307" s="135"/>
      <c r="X307" s="135"/>
      <c r="Y307" s="135"/>
      <c r="Z307" s="135"/>
      <c r="AA307" s="135"/>
      <c r="AB307" s="135"/>
      <c r="AC307" s="135"/>
      <c r="AD307" s="135"/>
    </row>
    <row r="308" customFormat="false" ht="15.75" hidden="false" customHeight="true" outlineLevel="0" collapsed="false">
      <c r="A308" s="135"/>
      <c r="B308" s="135"/>
      <c r="C308" s="135"/>
      <c r="D308" s="135"/>
      <c r="E308" s="182"/>
      <c r="F308" s="135"/>
      <c r="G308" s="135"/>
      <c r="H308" s="135"/>
      <c r="I308" s="135"/>
      <c r="J308" s="135"/>
      <c r="K308" s="135"/>
      <c r="L308" s="135"/>
      <c r="M308" s="182"/>
      <c r="N308" s="135"/>
      <c r="O308" s="135"/>
      <c r="P308" s="189"/>
      <c r="Q308" s="135"/>
      <c r="R308" s="135"/>
      <c r="S308" s="135"/>
      <c r="T308" s="135"/>
      <c r="U308" s="135"/>
      <c r="V308" s="189"/>
      <c r="W308" s="135"/>
      <c r="X308" s="135"/>
      <c r="Y308" s="135"/>
      <c r="Z308" s="135"/>
      <c r="AA308" s="135"/>
      <c r="AB308" s="135"/>
      <c r="AC308" s="135"/>
      <c r="AD308" s="135"/>
    </row>
    <row r="309" customFormat="false" ht="15.75" hidden="false" customHeight="true" outlineLevel="0" collapsed="false">
      <c r="A309" s="135"/>
      <c r="B309" s="135"/>
      <c r="C309" s="135"/>
      <c r="D309" s="135"/>
      <c r="E309" s="182"/>
      <c r="F309" s="135"/>
      <c r="G309" s="135"/>
      <c r="H309" s="135"/>
      <c r="I309" s="135"/>
      <c r="J309" s="135"/>
      <c r="K309" s="135"/>
      <c r="L309" s="135"/>
      <c r="M309" s="182"/>
      <c r="N309" s="135"/>
      <c r="O309" s="135"/>
      <c r="P309" s="189"/>
      <c r="Q309" s="135"/>
      <c r="R309" s="135"/>
      <c r="S309" s="135"/>
      <c r="T309" s="135"/>
      <c r="U309" s="135"/>
      <c r="V309" s="189"/>
      <c r="W309" s="135"/>
      <c r="X309" s="135"/>
      <c r="Y309" s="135"/>
      <c r="Z309" s="135"/>
      <c r="AA309" s="135"/>
      <c r="AB309" s="135"/>
      <c r="AC309" s="135"/>
      <c r="AD309" s="135"/>
    </row>
    <row r="310" customFormat="false" ht="15.75" hidden="false" customHeight="true" outlineLevel="0" collapsed="false">
      <c r="A310" s="135"/>
      <c r="B310" s="135"/>
      <c r="C310" s="135"/>
      <c r="D310" s="135"/>
      <c r="E310" s="182"/>
      <c r="F310" s="135"/>
      <c r="G310" s="135"/>
      <c r="H310" s="135"/>
      <c r="I310" s="135"/>
      <c r="J310" s="135"/>
      <c r="K310" s="135"/>
      <c r="L310" s="135"/>
      <c r="M310" s="182"/>
      <c r="N310" s="135"/>
      <c r="O310" s="135"/>
      <c r="P310" s="189"/>
      <c r="Q310" s="135"/>
      <c r="R310" s="135"/>
      <c r="S310" s="135"/>
      <c r="T310" s="135"/>
      <c r="U310" s="135"/>
      <c r="V310" s="189"/>
      <c r="W310" s="135"/>
      <c r="X310" s="135"/>
      <c r="Y310" s="135"/>
      <c r="Z310" s="135"/>
      <c r="AA310" s="135"/>
      <c r="AB310" s="135"/>
      <c r="AC310" s="135"/>
      <c r="AD310" s="135"/>
    </row>
    <row r="311" customFormat="false" ht="15.75" hidden="false" customHeight="true" outlineLevel="0" collapsed="false">
      <c r="A311" s="135"/>
      <c r="B311" s="135"/>
      <c r="C311" s="135"/>
      <c r="D311" s="135"/>
      <c r="E311" s="182"/>
      <c r="F311" s="135"/>
      <c r="G311" s="135"/>
      <c r="H311" s="135"/>
      <c r="I311" s="135"/>
      <c r="J311" s="135"/>
      <c r="K311" s="135"/>
      <c r="L311" s="135"/>
      <c r="M311" s="182"/>
      <c r="N311" s="135"/>
      <c r="O311" s="135"/>
      <c r="P311" s="189"/>
      <c r="Q311" s="135"/>
      <c r="R311" s="135"/>
      <c r="S311" s="135"/>
      <c r="T311" s="135"/>
      <c r="U311" s="135"/>
      <c r="V311" s="189"/>
      <c r="W311" s="135"/>
      <c r="X311" s="135"/>
      <c r="Y311" s="135"/>
      <c r="Z311" s="135"/>
      <c r="AA311" s="135"/>
      <c r="AB311" s="135"/>
      <c r="AC311" s="135"/>
      <c r="AD311" s="135"/>
    </row>
    <row r="312" customFormat="false" ht="15.75" hidden="false" customHeight="true" outlineLevel="0" collapsed="false">
      <c r="A312" s="135"/>
      <c r="B312" s="135"/>
      <c r="C312" s="135"/>
      <c r="D312" s="135"/>
      <c r="E312" s="182"/>
      <c r="F312" s="135"/>
      <c r="G312" s="135"/>
      <c r="H312" s="135"/>
      <c r="I312" s="135"/>
      <c r="J312" s="135"/>
      <c r="K312" s="135"/>
      <c r="L312" s="135"/>
      <c r="M312" s="182"/>
      <c r="N312" s="135"/>
      <c r="O312" s="135"/>
      <c r="P312" s="189"/>
      <c r="Q312" s="135"/>
      <c r="R312" s="135"/>
      <c r="S312" s="135"/>
      <c r="T312" s="135"/>
      <c r="U312" s="135"/>
      <c r="V312" s="189"/>
      <c r="W312" s="135"/>
      <c r="X312" s="135"/>
      <c r="Y312" s="135"/>
      <c r="Z312" s="135"/>
      <c r="AA312" s="135"/>
      <c r="AB312" s="135"/>
      <c r="AC312" s="135"/>
      <c r="AD312" s="135"/>
    </row>
    <row r="313" customFormat="false" ht="15.75" hidden="false" customHeight="true" outlineLevel="0" collapsed="false">
      <c r="A313" s="135"/>
      <c r="B313" s="135"/>
      <c r="C313" s="135"/>
      <c r="D313" s="135"/>
      <c r="E313" s="182"/>
      <c r="F313" s="135"/>
      <c r="G313" s="135"/>
      <c r="H313" s="135"/>
      <c r="I313" s="135"/>
      <c r="J313" s="135"/>
      <c r="K313" s="135"/>
      <c r="L313" s="135"/>
      <c r="M313" s="182"/>
      <c r="N313" s="135"/>
      <c r="O313" s="135"/>
      <c r="P313" s="189"/>
      <c r="Q313" s="135"/>
      <c r="R313" s="135"/>
      <c r="S313" s="135"/>
      <c r="T313" s="135"/>
      <c r="U313" s="135"/>
      <c r="V313" s="189"/>
      <c r="W313" s="135"/>
      <c r="X313" s="135"/>
      <c r="Y313" s="135"/>
      <c r="Z313" s="135"/>
      <c r="AA313" s="135"/>
      <c r="AB313" s="135"/>
      <c r="AC313" s="135"/>
      <c r="AD313" s="135"/>
    </row>
    <row r="314" customFormat="false" ht="15.75" hidden="false" customHeight="true" outlineLevel="0" collapsed="false">
      <c r="A314" s="135"/>
      <c r="B314" s="135"/>
      <c r="C314" s="135"/>
      <c r="D314" s="135"/>
      <c r="E314" s="182"/>
      <c r="F314" s="135"/>
      <c r="G314" s="135"/>
      <c r="H314" s="135"/>
      <c r="I314" s="135"/>
      <c r="J314" s="135"/>
      <c r="K314" s="135"/>
      <c r="L314" s="135"/>
      <c r="M314" s="182"/>
      <c r="N314" s="135"/>
      <c r="O314" s="135"/>
      <c r="P314" s="189"/>
      <c r="Q314" s="135"/>
      <c r="R314" s="135"/>
      <c r="S314" s="135"/>
      <c r="T314" s="135"/>
      <c r="U314" s="135"/>
      <c r="V314" s="189"/>
      <c r="W314" s="135"/>
      <c r="X314" s="135"/>
      <c r="Y314" s="135"/>
      <c r="Z314" s="135"/>
      <c r="AA314" s="135"/>
      <c r="AB314" s="135"/>
      <c r="AC314" s="135"/>
      <c r="AD314" s="135"/>
    </row>
    <row r="315" customFormat="false" ht="15.75" hidden="false" customHeight="true" outlineLevel="0" collapsed="false">
      <c r="A315" s="135"/>
      <c r="B315" s="135"/>
      <c r="C315" s="135"/>
      <c r="D315" s="135"/>
      <c r="E315" s="182"/>
      <c r="F315" s="135"/>
      <c r="G315" s="135"/>
      <c r="H315" s="135"/>
      <c r="I315" s="135"/>
      <c r="J315" s="135"/>
      <c r="K315" s="135"/>
      <c r="L315" s="135"/>
      <c r="M315" s="182"/>
      <c r="N315" s="135"/>
      <c r="O315" s="135"/>
      <c r="P315" s="189"/>
      <c r="Q315" s="135"/>
      <c r="R315" s="135"/>
      <c r="S315" s="135"/>
      <c r="T315" s="135"/>
      <c r="U315" s="135"/>
      <c r="V315" s="189"/>
      <c r="W315" s="135"/>
      <c r="X315" s="135"/>
      <c r="Y315" s="135"/>
      <c r="Z315" s="135"/>
      <c r="AA315" s="135"/>
      <c r="AB315" s="135"/>
      <c r="AC315" s="135"/>
      <c r="AD315" s="135"/>
    </row>
    <row r="316" customFormat="false" ht="15.75" hidden="false" customHeight="true" outlineLevel="0" collapsed="false">
      <c r="A316" s="135"/>
      <c r="B316" s="135"/>
      <c r="C316" s="135"/>
      <c r="D316" s="135"/>
      <c r="E316" s="182"/>
      <c r="F316" s="135"/>
      <c r="G316" s="135"/>
      <c r="H316" s="135"/>
      <c r="I316" s="135"/>
      <c r="J316" s="135"/>
      <c r="K316" s="135"/>
      <c r="L316" s="135"/>
      <c r="M316" s="182"/>
      <c r="N316" s="135"/>
      <c r="O316" s="135"/>
      <c r="P316" s="189"/>
      <c r="Q316" s="135"/>
      <c r="R316" s="135"/>
      <c r="S316" s="135"/>
      <c r="T316" s="135"/>
      <c r="U316" s="135"/>
      <c r="V316" s="189"/>
      <c r="W316" s="135"/>
      <c r="X316" s="135"/>
      <c r="Y316" s="135"/>
      <c r="Z316" s="135"/>
      <c r="AA316" s="135"/>
      <c r="AB316" s="135"/>
      <c r="AC316" s="135"/>
      <c r="AD316" s="135"/>
    </row>
    <row r="317" customFormat="false" ht="15.75" hidden="false" customHeight="true" outlineLevel="0" collapsed="false">
      <c r="A317" s="135"/>
      <c r="B317" s="135"/>
      <c r="C317" s="135"/>
      <c r="D317" s="135"/>
      <c r="E317" s="182"/>
      <c r="F317" s="135"/>
      <c r="G317" s="135"/>
      <c r="H317" s="135"/>
      <c r="I317" s="135"/>
      <c r="J317" s="135"/>
      <c r="K317" s="135"/>
      <c r="L317" s="135"/>
      <c r="M317" s="182"/>
      <c r="N317" s="135"/>
      <c r="O317" s="135"/>
      <c r="P317" s="189"/>
      <c r="Q317" s="135"/>
      <c r="R317" s="135"/>
      <c r="S317" s="135"/>
      <c r="T317" s="135"/>
      <c r="U317" s="135"/>
      <c r="V317" s="189"/>
      <c r="W317" s="135"/>
      <c r="X317" s="135"/>
      <c r="Y317" s="135"/>
      <c r="Z317" s="135"/>
      <c r="AA317" s="135"/>
      <c r="AB317" s="135"/>
      <c r="AC317" s="135"/>
      <c r="AD317" s="135"/>
    </row>
    <row r="318" customFormat="false" ht="15.75" hidden="false" customHeight="true" outlineLevel="0" collapsed="false">
      <c r="A318" s="135"/>
      <c r="B318" s="135"/>
      <c r="C318" s="135"/>
      <c r="D318" s="135"/>
      <c r="E318" s="182"/>
      <c r="F318" s="135"/>
      <c r="G318" s="135"/>
      <c r="H318" s="135"/>
      <c r="I318" s="135"/>
      <c r="J318" s="135"/>
      <c r="K318" s="135"/>
      <c r="L318" s="135"/>
      <c r="M318" s="182"/>
      <c r="N318" s="135"/>
      <c r="O318" s="135"/>
      <c r="P318" s="189"/>
      <c r="Q318" s="135"/>
      <c r="R318" s="135"/>
      <c r="S318" s="135"/>
      <c r="T318" s="135"/>
      <c r="U318" s="135"/>
      <c r="V318" s="189"/>
      <c r="W318" s="135"/>
      <c r="X318" s="135"/>
      <c r="Y318" s="135"/>
      <c r="Z318" s="135"/>
      <c r="AA318" s="135"/>
      <c r="AB318" s="135"/>
      <c r="AC318" s="135"/>
      <c r="AD318" s="135"/>
    </row>
    <row r="319" customFormat="false" ht="15.75" hidden="false" customHeight="true" outlineLevel="0" collapsed="false">
      <c r="A319" s="135"/>
      <c r="B319" s="135"/>
      <c r="C319" s="135"/>
      <c r="D319" s="135"/>
      <c r="E319" s="182"/>
      <c r="F319" s="135"/>
      <c r="G319" s="135"/>
      <c r="H319" s="135"/>
      <c r="I319" s="135"/>
      <c r="J319" s="135"/>
      <c r="K319" s="135"/>
      <c r="L319" s="135"/>
      <c r="M319" s="182"/>
      <c r="N319" s="135"/>
      <c r="O319" s="135"/>
      <c r="P319" s="189"/>
      <c r="Q319" s="135"/>
      <c r="R319" s="135"/>
      <c r="S319" s="135"/>
      <c r="T319" s="135"/>
      <c r="U319" s="135"/>
      <c r="V319" s="189"/>
      <c r="W319" s="135"/>
      <c r="X319" s="135"/>
      <c r="Y319" s="135"/>
      <c r="Z319" s="135"/>
      <c r="AA319" s="135"/>
      <c r="AB319" s="135"/>
      <c r="AC319" s="135"/>
      <c r="AD319" s="135"/>
    </row>
    <row r="320" customFormat="false" ht="15.75" hidden="false" customHeight="true" outlineLevel="0" collapsed="false">
      <c r="A320" s="135"/>
      <c r="B320" s="135"/>
      <c r="C320" s="135"/>
      <c r="D320" s="135"/>
      <c r="E320" s="182"/>
      <c r="F320" s="135"/>
      <c r="G320" s="135"/>
      <c r="H320" s="135"/>
      <c r="I320" s="135"/>
      <c r="J320" s="135"/>
      <c r="K320" s="135"/>
      <c r="L320" s="135"/>
      <c r="M320" s="182"/>
      <c r="N320" s="135"/>
      <c r="O320" s="135"/>
      <c r="P320" s="189"/>
      <c r="Q320" s="135"/>
      <c r="R320" s="135"/>
      <c r="S320" s="135"/>
      <c r="T320" s="135"/>
      <c r="U320" s="135"/>
      <c r="V320" s="189"/>
      <c r="W320" s="135"/>
      <c r="X320" s="135"/>
      <c r="Y320" s="135"/>
      <c r="Z320" s="135"/>
      <c r="AA320" s="135"/>
      <c r="AB320" s="135"/>
      <c r="AC320" s="135"/>
      <c r="AD320" s="135"/>
    </row>
    <row r="321" customFormat="false" ht="15.75" hidden="false" customHeight="true" outlineLevel="0" collapsed="false">
      <c r="A321" s="135"/>
      <c r="B321" s="135"/>
      <c r="C321" s="135"/>
      <c r="D321" s="135"/>
      <c r="E321" s="182"/>
      <c r="F321" s="135"/>
      <c r="G321" s="135"/>
      <c r="H321" s="135"/>
      <c r="I321" s="135"/>
      <c r="J321" s="135"/>
      <c r="K321" s="135"/>
      <c r="L321" s="135"/>
      <c r="M321" s="182"/>
      <c r="N321" s="135"/>
      <c r="O321" s="135"/>
      <c r="P321" s="189"/>
      <c r="Q321" s="135"/>
      <c r="R321" s="135"/>
      <c r="S321" s="135"/>
      <c r="T321" s="135"/>
      <c r="U321" s="135"/>
      <c r="V321" s="189"/>
      <c r="W321" s="135"/>
      <c r="X321" s="135"/>
      <c r="Y321" s="135"/>
      <c r="Z321" s="135"/>
      <c r="AA321" s="135"/>
      <c r="AB321" s="135"/>
      <c r="AC321" s="135"/>
      <c r="AD321" s="135"/>
    </row>
    <row r="322" customFormat="false" ht="15.75" hidden="false" customHeight="true" outlineLevel="0" collapsed="false">
      <c r="A322" s="135"/>
      <c r="B322" s="135"/>
      <c r="C322" s="135"/>
      <c r="D322" s="135"/>
      <c r="E322" s="182"/>
      <c r="F322" s="135"/>
      <c r="G322" s="135"/>
      <c r="H322" s="135"/>
      <c r="I322" s="135"/>
      <c r="J322" s="135"/>
      <c r="K322" s="135"/>
      <c r="L322" s="135"/>
      <c r="M322" s="182"/>
      <c r="N322" s="135"/>
      <c r="O322" s="135"/>
      <c r="P322" s="189"/>
      <c r="Q322" s="135"/>
      <c r="R322" s="135"/>
      <c r="S322" s="135"/>
      <c r="T322" s="135"/>
      <c r="U322" s="135"/>
      <c r="V322" s="189"/>
      <c r="W322" s="135"/>
      <c r="X322" s="135"/>
      <c r="Y322" s="135"/>
      <c r="Z322" s="135"/>
      <c r="AA322" s="135"/>
      <c r="AB322" s="135"/>
      <c r="AC322" s="135"/>
      <c r="AD322" s="135"/>
    </row>
    <row r="323" customFormat="false" ht="15.75" hidden="false" customHeight="true" outlineLevel="0" collapsed="false">
      <c r="A323" s="135"/>
      <c r="B323" s="135"/>
      <c r="C323" s="135"/>
      <c r="D323" s="135"/>
      <c r="E323" s="182"/>
      <c r="F323" s="135"/>
      <c r="G323" s="135"/>
      <c r="H323" s="135"/>
      <c r="I323" s="135"/>
      <c r="J323" s="135"/>
      <c r="K323" s="135"/>
      <c r="L323" s="135"/>
      <c r="M323" s="182"/>
      <c r="N323" s="135"/>
      <c r="O323" s="135"/>
      <c r="P323" s="189"/>
      <c r="Q323" s="135"/>
      <c r="R323" s="135"/>
      <c r="S323" s="135"/>
      <c r="T323" s="135"/>
      <c r="U323" s="135"/>
      <c r="V323" s="189"/>
      <c r="W323" s="135"/>
      <c r="X323" s="135"/>
      <c r="Y323" s="135"/>
      <c r="Z323" s="135"/>
      <c r="AA323" s="135"/>
      <c r="AB323" s="135"/>
      <c r="AC323" s="135"/>
      <c r="AD323" s="135"/>
    </row>
    <row r="324" customFormat="false" ht="15.75" hidden="false" customHeight="true" outlineLevel="0" collapsed="false">
      <c r="A324" s="135"/>
      <c r="B324" s="135"/>
      <c r="C324" s="135"/>
      <c r="D324" s="135"/>
      <c r="E324" s="182"/>
      <c r="F324" s="135"/>
      <c r="G324" s="135"/>
      <c r="H324" s="135"/>
      <c r="I324" s="135"/>
      <c r="J324" s="135"/>
      <c r="K324" s="135"/>
      <c r="L324" s="135"/>
      <c r="M324" s="182"/>
      <c r="N324" s="135"/>
      <c r="O324" s="135"/>
      <c r="P324" s="189"/>
      <c r="Q324" s="135"/>
      <c r="R324" s="135"/>
      <c r="S324" s="135"/>
      <c r="T324" s="135"/>
      <c r="U324" s="135"/>
      <c r="V324" s="189"/>
      <c r="W324" s="135"/>
      <c r="X324" s="135"/>
      <c r="Y324" s="135"/>
      <c r="Z324" s="135"/>
      <c r="AA324" s="135"/>
      <c r="AB324" s="135"/>
      <c r="AC324" s="135"/>
      <c r="AD324" s="135"/>
    </row>
    <row r="325" customFormat="false" ht="15.75" hidden="false" customHeight="true" outlineLevel="0" collapsed="false">
      <c r="A325" s="135"/>
      <c r="B325" s="135"/>
      <c r="C325" s="135"/>
      <c r="D325" s="135"/>
      <c r="E325" s="182"/>
      <c r="F325" s="135"/>
      <c r="G325" s="135"/>
      <c r="H325" s="135"/>
      <c r="I325" s="135"/>
      <c r="J325" s="135"/>
      <c r="K325" s="135"/>
      <c r="L325" s="135"/>
      <c r="M325" s="182"/>
      <c r="N325" s="135"/>
      <c r="O325" s="135"/>
      <c r="P325" s="189"/>
      <c r="Q325" s="135"/>
      <c r="R325" s="135"/>
      <c r="S325" s="135"/>
      <c r="T325" s="135"/>
      <c r="U325" s="135"/>
      <c r="V325" s="189"/>
      <c r="W325" s="135"/>
      <c r="X325" s="135"/>
      <c r="Y325" s="135"/>
      <c r="Z325" s="135"/>
      <c r="AA325" s="135"/>
      <c r="AB325" s="135"/>
      <c r="AC325" s="135"/>
      <c r="AD325" s="135"/>
    </row>
    <row r="326" customFormat="false" ht="15.75" hidden="false" customHeight="true" outlineLevel="0" collapsed="false">
      <c r="A326" s="135"/>
      <c r="B326" s="135"/>
      <c r="C326" s="135"/>
      <c r="D326" s="135"/>
      <c r="E326" s="182"/>
      <c r="F326" s="135"/>
      <c r="G326" s="135"/>
      <c r="H326" s="135"/>
      <c r="I326" s="135"/>
      <c r="J326" s="135"/>
      <c r="K326" s="135"/>
      <c r="L326" s="135"/>
      <c r="M326" s="182"/>
      <c r="N326" s="135"/>
      <c r="O326" s="135"/>
      <c r="P326" s="189"/>
      <c r="Q326" s="135"/>
      <c r="R326" s="135"/>
      <c r="S326" s="135"/>
      <c r="T326" s="135"/>
      <c r="U326" s="135"/>
      <c r="V326" s="189"/>
      <c r="W326" s="135"/>
      <c r="X326" s="135"/>
      <c r="Y326" s="135"/>
      <c r="Z326" s="135"/>
      <c r="AA326" s="135"/>
      <c r="AB326" s="135"/>
      <c r="AC326" s="135"/>
      <c r="AD326" s="135"/>
    </row>
    <row r="327" customFormat="false" ht="15.75" hidden="false" customHeight="true" outlineLevel="0" collapsed="false">
      <c r="A327" s="135"/>
      <c r="B327" s="135"/>
      <c r="C327" s="135"/>
      <c r="D327" s="135"/>
      <c r="E327" s="182"/>
      <c r="F327" s="135"/>
      <c r="G327" s="135"/>
      <c r="H327" s="135"/>
      <c r="I327" s="135"/>
      <c r="J327" s="135"/>
      <c r="K327" s="135"/>
      <c r="L327" s="135"/>
      <c r="M327" s="182"/>
      <c r="N327" s="135"/>
      <c r="O327" s="135"/>
      <c r="P327" s="189"/>
      <c r="Q327" s="135"/>
      <c r="R327" s="135"/>
      <c r="S327" s="135"/>
      <c r="T327" s="135"/>
      <c r="U327" s="135"/>
      <c r="V327" s="189"/>
      <c r="W327" s="135"/>
      <c r="X327" s="135"/>
      <c r="Y327" s="135"/>
      <c r="Z327" s="135"/>
      <c r="AA327" s="135"/>
      <c r="AB327" s="135"/>
      <c r="AC327" s="135"/>
      <c r="AD327" s="135"/>
    </row>
    <row r="328" customFormat="false" ht="15.75" hidden="false" customHeight="true" outlineLevel="0" collapsed="false">
      <c r="A328" s="135"/>
      <c r="B328" s="135"/>
      <c r="C328" s="135"/>
      <c r="D328" s="135"/>
      <c r="E328" s="182"/>
      <c r="F328" s="135"/>
      <c r="G328" s="135"/>
      <c r="H328" s="135"/>
      <c r="I328" s="135"/>
      <c r="J328" s="135"/>
      <c r="K328" s="135"/>
      <c r="L328" s="135"/>
      <c r="M328" s="182"/>
      <c r="N328" s="135"/>
      <c r="O328" s="135"/>
      <c r="P328" s="189"/>
      <c r="Q328" s="135"/>
      <c r="R328" s="135"/>
      <c r="S328" s="135"/>
      <c r="T328" s="135"/>
      <c r="U328" s="135"/>
      <c r="V328" s="189"/>
      <c r="W328" s="135"/>
      <c r="X328" s="135"/>
      <c r="Y328" s="135"/>
      <c r="Z328" s="135"/>
      <c r="AA328" s="135"/>
      <c r="AB328" s="135"/>
      <c r="AC328" s="135"/>
      <c r="AD328" s="135"/>
    </row>
    <row r="329" customFormat="false" ht="15.75" hidden="false" customHeight="true" outlineLevel="0" collapsed="false">
      <c r="A329" s="135"/>
      <c r="B329" s="135"/>
      <c r="C329" s="135"/>
      <c r="D329" s="135"/>
      <c r="E329" s="182"/>
      <c r="F329" s="135"/>
      <c r="G329" s="135"/>
      <c r="H329" s="135"/>
      <c r="I329" s="135"/>
      <c r="J329" s="135"/>
      <c r="K329" s="135"/>
      <c r="L329" s="135"/>
      <c r="M329" s="182"/>
      <c r="N329" s="135"/>
      <c r="O329" s="135"/>
      <c r="P329" s="189"/>
      <c r="Q329" s="135"/>
      <c r="R329" s="135"/>
      <c r="S329" s="135"/>
      <c r="T329" s="135"/>
      <c r="U329" s="135"/>
      <c r="V329" s="189"/>
      <c r="W329" s="135"/>
      <c r="X329" s="135"/>
      <c r="Y329" s="135"/>
      <c r="Z329" s="135"/>
      <c r="AA329" s="135"/>
      <c r="AB329" s="135"/>
      <c r="AC329" s="135"/>
      <c r="AD329" s="135"/>
    </row>
    <row r="330" customFormat="false" ht="15.75" hidden="false" customHeight="true" outlineLevel="0" collapsed="false">
      <c r="A330" s="135"/>
      <c r="B330" s="135"/>
      <c r="C330" s="135"/>
      <c r="D330" s="135"/>
      <c r="E330" s="182"/>
      <c r="F330" s="135"/>
      <c r="G330" s="135"/>
      <c r="H330" s="135"/>
      <c r="I330" s="135"/>
      <c r="J330" s="135"/>
      <c r="K330" s="135"/>
      <c r="L330" s="135"/>
      <c r="M330" s="182"/>
      <c r="N330" s="135"/>
      <c r="O330" s="135"/>
      <c r="P330" s="189"/>
      <c r="Q330" s="135"/>
      <c r="R330" s="135"/>
      <c r="S330" s="135"/>
      <c r="T330" s="135"/>
      <c r="U330" s="135"/>
      <c r="V330" s="189"/>
      <c r="W330" s="135"/>
      <c r="X330" s="135"/>
      <c r="Y330" s="135"/>
      <c r="Z330" s="135"/>
      <c r="AA330" s="135"/>
      <c r="AB330" s="135"/>
      <c r="AC330" s="135"/>
      <c r="AD330" s="135"/>
    </row>
    <row r="331" customFormat="false" ht="15.75" hidden="false" customHeight="true" outlineLevel="0" collapsed="false">
      <c r="A331" s="135"/>
      <c r="B331" s="135"/>
      <c r="C331" s="135"/>
      <c r="D331" s="135"/>
      <c r="E331" s="182"/>
      <c r="F331" s="135"/>
      <c r="G331" s="135"/>
      <c r="H331" s="135"/>
      <c r="I331" s="135"/>
      <c r="J331" s="135"/>
      <c r="K331" s="135"/>
      <c r="L331" s="135"/>
      <c r="M331" s="182"/>
      <c r="N331" s="135"/>
      <c r="O331" s="135"/>
      <c r="P331" s="189"/>
      <c r="Q331" s="135"/>
      <c r="R331" s="135"/>
      <c r="S331" s="135"/>
      <c r="T331" s="135"/>
      <c r="U331" s="135"/>
      <c r="V331" s="189"/>
      <c r="W331" s="135"/>
      <c r="X331" s="135"/>
      <c r="Y331" s="135"/>
      <c r="Z331" s="135"/>
      <c r="AA331" s="135"/>
      <c r="AB331" s="135"/>
      <c r="AC331" s="135"/>
      <c r="AD331" s="135"/>
    </row>
    <row r="332" customFormat="false" ht="15.75" hidden="false" customHeight="true" outlineLevel="0" collapsed="false">
      <c r="A332" s="135"/>
      <c r="B332" s="135"/>
      <c r="C332" s="135"/>
      <c r="D332" s="135"/>
      <c r="E332" s="182"/>
      <c r="F332" s="135"/>
      <c r="G332" s="135"/>
      <c r="H332" s="135"/>
      <c r="I332" s="135"/>
      <c r="J332" s="135"/>
      <c r="K332" s="135"/>
      <c r="L332" s="135"/>
      <c r="M332" s="182"/>
      <c r="N332" s="135"/>
      <c r="O332" s="135"/>
      <c r="P332" s="189"/>
      <c r="Q332" s="135"/>
      <c r="R332" s="135"/>
      <c r="S332" s="135"/>
      <c r="T332" s="135"/>
      <c r="U332" s="135"/>
      <c r="V332" s="189"/>
      <c r="W332" s="135"/>
      <c r="X332" s="135"/>
      <c r="Y332" s="135"/>
      <c r="Z332" s="135"/>
      <c r="AA332" s="135"/>
      <c r="AB332" s="135"/>
      <c r="AC332" s="135"/>
      <c r="AD332" s="135"/>
    </row>
    <row r="333" customFormat="false" ht="15.75" hidden="false" customHeight="true" outlineLevel="0" collapsed="false">
      <c r="A333" s="135"/>
      <c r="B333" s="135"/>
      <c r="C333" s="135"/>
      <c r="D333" s="135"/>
      <c r="E333" s="182"/>
      <c r="F333" s="135"/>
      <c r="G333" s="135"/>
      <c r="H333" s="135"/>
      <c r="I333" s="135"/>
      <c r="J333" s="135"/>
      <c r="K333" s="135"/>
      <c r="L333" s="135"/>
      <c r="M333" s="182"/>
      <c r="N333" s="135"/>
      <c r="O333" s="135"/>
      <c r="P333" s="189"/>
      <c r="Q333" s="135"/>
      <c r="R333" s="135"/>
      <c r="S333" s="135"/>
      <c r="T333" s="135"/>
      <c r="U333" s="135"/>
      <c r="V333" s="189"/>
      <c r="W333" s="135"/>
      <c r="X333" s="135"/>
      <c r="Y333" s="135"/>
      <c r="Z333" s="135"/>
      <c r="AA333" s="135"/>
      <c r="AB333" s="135"/>
      <c r="AC333" s="135"/>
      <c r="AD333" s="135"/>
    </row>
    <row r="334" customFormat="false" ht="15.75" hidden="false" customHeight="true" outlineLevel="0" collapsed="false">
      <c r="A334" s="135"/>
      <c r="B334" s="135"/>
      <c r="C334" s="135"/>
      <c r="D334" s="135"/>
      <c r="E334" s="182"/>
      <c r="F334" s="135"/>
      <c r="G334" s="135"/>
      <c r="H334" s="135"/>
      <c r="I334" s="135"/>
      <c r="J334" s="135"/>
      <c r="K334" s="135"/>
      <c r="L334" s="135"/>
      <c r="M334" s="182"/>
      <c r="N334" s="135"/>
      <c r="O334" s="135"/>
      <c r="P334" s="189"/>
      <c r="Q334" s="135"/>
      <c r="R334" s="135"/>
      <c r="S334" s="135"/>
      <c r="T334" s="135"/>
      <c r="U334" s="135"/>
      <c r="V334" s="189"/>
      <c r="W334" s="135"/>
      <c r="X334" s="135"/>
      <c r="Y334" s="135"/>
      <c r="Z334" s="135"/>
      <c r="AA334" s="135"/>
      <c r="AB334" s="135"/>
      <c r="AC334" s="135"/>
      <c r="AD334" s="135"/>
    </row>
    <row r="335" customFormat="false" ht="15.75" hidden="false" customHeight="true" outlineLevel="0" collapsed="false">
      <c r="A335" s="135"/>
      <c r="B335" s="135"/>
      <c r="C335" s="135"/>
      <c r="D335" s="135"/>
      <c r="E335" s="182"/>
      <c r="F335" s="135"/>
      <c r="G335" s="135"/>
      <c r="H335" s="135"/>
      <c r="I335" s="135"/>
      <c r="J335" s="135"/>
      <c r="K335" s="135"/>
      <c r="L335" s="135"/>
      <c r="M335" s="182"/>
      <c r="N335" s="135"/>
      <c r="O335" s="135"/>
      <c r="P335" s="189"/>
      <c r="Q335" s="135"/>
      <c r="R335" s="135"/>
      <c r="S335" s="135"/>
      <c r="T335" s="135"/>
      <c r="U335" s="135"/>
      <c r="V335" s="189"/>
      <c r="W335" s="135"/>
      <c r="X335" s="135"/>
      <c r="Y335" s="135"/>
      <c r="Z335" s="135"/>
      <c r="AA335" s="135"/>
      <c r="AB335" s="135"/>
      <c r="AC335" s="135"/>
      <c r="AD335" s="135"/>
    </row>
    <row r="336" customFormat="false" ht="15.75" hidden="false" customHeight="true" outlineLevel="0" collapsed="false">
      <c r="A336" s="135"/>
      <c r="B336" s="135"/>
      <c r="C336" s="135"/>
      <c r="D336" s="135"/>
      <c r="E336" s="182"/>
      <c r="F336" s="135"/>
      <c r="G336" s="135"/>
      <c r="H336" s="135"/>
      <c r="I336" s="135"/>
      <c r="J336" s="135"/>
      <c r="K336" s="135"/>
      <c r="L336" s="135"/>
      <c r="M336" s="182"/>
      <c r="N336" s="135"/>
      <c r="O336" s="135"/>
      <c r="P336" s="189"/>
      <c r="Q336" s="135"/>
      <c r="R336" s="135"/>
      <c r="S336" s="135"/>
      <c r="T336" s="135"/>
      <c r="U336" s="135"/>
      <c r="V336" s="189"/>
      <c r="W336" s="135"/>
      <c r="X336" s="135"/>
      <c r="Y336" s="135"/>
      <c r="Z336" s="135"/>
      <c r="AA336" s="135"/>
      <c r="AB336" s="135"/>
      <c r="AC336" s="135"/>
      <c r="AD336" s="135"/>
    </row>
    <row r="337" customFormat="false" ht="15.75" hidden="false" customHeight="true" outlineLevel="0" collapsed="false">
      <c r="A337" s="135"/>
      <c r="B337" s="135"/>
      <c r="C337" s="135"/>
      <c r="D337" s="135"/>
      <c r="E337" s="182"/>
      <c r="F337" s="135"/>
      <c r="G337" s="135"/>
      <c r="H337" s="135"/>
      <c r="I337" s="135"/>
      <c r="J337" s="135"/>
      <c r="K337" s="135"/>
      <c r="L337" s="135"/>
      <c r="M337" s="182"/>
      <c r="N337" s="135"/>
      <c r="O337" s="135"/>
      <c r="P337" s="189"/>
      <c r="Q337" s="135"/>
      <c r="R337" s="135"/>
      <c r="S337" s="135"/>
      <c r="T337" s="135"/>
      <c r="U337" s="135"/>
      <c r="V337" s="189"/>
      <c r="W337" s="135"/>
      <c r="X337" s="135"/>
      <c r="Y337" s="135"/>
      <c r="Z337" s="135"/>
      <c r="AA337" s="135"/>
      <c r="AB337" s="135"/>
      <c r="AC337" s="135"/>
      <c r="AD337" s="135"/>
    </row>
    <row r="338" customFormat="false" ht="15.75" hidden="false" customHeight="true" outlineLevel="0" collapsed="false">
      <c r="A338" s="135"/>
      <c r="B338" s="135"/>
      <c r="C338" s="135"/>
      <c r="D338" s="135"/>
      <c r="E338" s="182"/>
      <c r="F338" s="135"/>
      <c r="G338" s="135"/>
      <c r="H338" s="135"/>
      <c r="I338" s="135"/>
      <c r="J338" s="135"/>
      <c r="K338" s="135"/>
      <c r="L338" s="135"/>
      <c r="M338" s="182"/>
      <c r="N338" s="135"/>
      <c r="O338" s="135"/>
      <c r="P338" s="189"/>
      <c r="Q338" s="135"/>
      <c r="R338" s="135"/>
      <c r="S338" s="135"/>
      <c r="T338" s="135"/>
      <c r="U338" s="135"/>
      <c r="V338" s="189"/>
      <c r="W338" s="135"/>
      <c r="X338" s="135"/>
      <c r="Y338" s="135"/>
      <c r="Z338" s="135"/>
      <c r="AA338" s="135"/>
      <c r="AB338" s="135"/>
      <c r="AC338" s="135"/>
      <c r="AD338" s="135"/>
    </row>
    <row r="339" customFormat="false" ht="15.75" hidden="false" customHeight="true" outlineLevel="0" collapsed="false">
      <c r="A339" s="135"/>
      <c r="B339" s="135"/>
      <c r="C339" s="135"/>
      <c r="D339" s="135"/>
      <c r="E339" s="182"/>
      <c r="F339" s="135"/>
      <c r="G339" s="135"/>
      <c r="H339" s="135"/>
      <c r="I339" s="135"/>
      <c r="J339" s="135"/>
      <c r="K339" s="135"/>
      <c r="L339" s="135"/>
      <c r="M339" s="182"/>
      <c r="N339" s="135"/>
      <c r="O339" s="135"/>
      <c r="P339" s="189"/>
      <c r="Q339" s="135"/>
      <c r="R339" s="135"/>
      <c r="S339" s="135"/>
      <c r="T339" s="135"/>
      <c r="U339" s="135"/>
      <c r="V339" s="189"/>
      <c r="W339" s="135"/>
      <c r="X339" s="135"/>
      <c r="Y339" s="135"/>
      <c r="Z339" s="135"/>
      <c r="AA339" s="135"/>
      <c r="AB339" s="135"/>
      <c r="AC339" s="135"/>
      <c r="AD339" s="135"/>
    </row>
    <row r="340" customFormat="false" ht="15.75" hidden="false" customHeight="true" outlineLevel="0" collapsed="false">
      <c r="A340" s="135"/>
      <c r="B340" s="135"/>
      <c r="C340" s="135"/>
      <c r="D340" s="135"/>
      <c r="E340" s="182"/>
      <c r="F340" s="135"/>
      <c r="G340" s="135"/>
      <c r="H340" s="135"/>
      <c r="I340" s="135"/>
      <c r="J340" s="135"/>
      <c r="K340" s="135"/>
      <c r="L340" s="135"/>
      <c r="M340" s="182"/>
      <c r="N340" s="135"/>
      <c r="O340" s="135"/>
      <c r="P340" s="189"/>
      <c r="Q340" s="135"/>
      <c r="R340" s="135"/>
      <c r="S340" s="135"/>
      <c r="T340" s="135"/>
      <c r="U340" s="135"/>
      <c r="V340" s="189"/>
      <c r="W340" s="135"/>
      <c r="X340" s="135"/>
      <c r="Y340" s="135"/>
      <c r="Z340" s="135"/>
      <c r="AA340" s="135"/>
      <c r="AB340" s="135"/>
      <c r="AC340" s="135"/>
      <c r="AD340" s="135"/>
    </row>
    <row r="341" customFormat="false" ht="15.75" hidden="false" customHeight="true" outlineLevel="0" collapsed="false">
      <c r="A341" s="135"/>
      <c r="B341" s="135"/>
      <c r="C341" s="135"/>
      <c r="D341" s="135"/>
      <c r="E341" s="182"/>
      <c r="F341" s="135"/>
      <c r="G341" s="135"/>
      <c r="H341" s="135"/>
      <c r="I341" s="135"/>
      <c r="J341" s="135"/>
      <c r="K341" s="135"/>
      <c r="L341" s="135"/>
      <c r="M341" s="182"/>
      <c r="N341" s="135"/>
      <c r="O341" s="135"/>
      <c r="P341" s="189"/>
      <c r="Q341" s="135"/>
      <c r="R341" s="135"/>
      <c r="S341" s="135"/>
      <c r="T341" s="135"/>
      <c r="U341" s="135"/>
      <c r="V341" s="189"/>
      <c r="W341" s="135"/>
      <c r="X341" s="135"/>
      <c r="Y341" s="135"/>
      <c r="Z341" s="135"/>
      <c r="AA341" s="135"/>
      <c r="AB341" s="135"/>
      <c r="AC341" s="135"/>
      <c r="AD341" s="135"/>
    </row>
    <row r="342" customFormat="false" ht="15.75" hidden="false" customHeight="true" outlineLevel="0" collapsed="false">
      <c r="A342" s="135"/>
      <c r="B342" s="135"/>
      <c r="C342" s="135"/>
      <c r="D342" s="135"/>
      <c r="E342" s="182"/>
      <c r="F342" s="135"/>
      <c r="G342" s="135"/>
      <c r="H342" s="135"/>
      <c r="I342" s="135"/>
      <c r="J342" s="135"/>
      <c r="K342" s="135"/>
      <c r="L342" s="135"/>
      <c r="M342" s="182"/>
      <c r="N342" s="135"/>
      <c r="O342" s="135"/>
      <c r="P342" s="189"/>
      <c r="Q342" s="135"/>
      <c r="R342" s="135"/>
      <c r="S342" s="135"/>
      <c r="T342" s="135"/>
      <c r="U342" s="135"/>
      <c r="V342" s="189"/>
      <c r="W342" s="135"/>
      <c r="X342" s="135"/>
      <c r="Y342" s="135"/>
      <c r="Z342" s="135"/>
      <c r="AA342" s="135"/>
      <c r="AB342" s="135"/>
      <c r="AC342" s="135"/>
      <c r="AD342" s="135"/>
    </row>
    <row r="343" customFormat="false" ht="15.75" hidden="false" customHeight="true" outlineLevel="0" collapsed="false">
      <c r="A343" s="135"/>
      <c r="B343" s="135"/>
      <c r="C343" s="135"/>
      <c r="D343" s="135"/>
      <c r="E343" s="182"/>
      <c r="F343" s="135"/>
      <c r="G343" s="135"/>
      <c r="H343" s="135"/>
      <c r="I343" s="135"/>
      <c r="J343" s="135"/>
      <c r="K343" s="135"/>
      <c r="L343" s="135"/>
      <c r="M343" s="182"/>
      <c r="N343" s="135"/>
      <c r="O343" s="135"/>
      <c r="P343" s="189"/>
      <c r="Q343" s="135"/>
      <c r="R343" s="135"/>
      <c r="S343" s="135"/>
      <c r="T343" s="135"/>
      <c r="U343" s="135"/>
      <c r="V343" s="189"/>
      <c r="W343" s="135"/>
      <c r="X343" s="135"/>
      <c r="Y343" s="135"/>
      <c r="Z343" s="135"/>
      <c r="AA343" s="135"/>
      <c r="AB343" s="135"/>
      <c r="AC343" s="135"/>
      <c r="AD343" s="135"/>
    </row>
    <row r="344" customFormat="false" ht="15.75" hidden="false" customHeight="true" outlineLevel="0" collapsed="false">
      <c r="A344" s="135"/>
      <c r="B344" s="135"/>
      <c r="C344" s="135"/>
      <c r="D344" s="135"/>
      <c r="E344" s="182"/>
      <c r="F344" s="135"/>
      <c r="G344" s="135"/>
      <c r="H344" s="135"/>
      <c r="I344" s="135"/>
      <c r="J344" s="135"/>
      <c r="K344" s="135"/>
      <c r="L344" s="135"/>
      <c r="M344" s="182"/>
      <c r="N344" s="135"/>
      <c r="O344" s="135"/>
      <c r="P344" s="189"/>
      <c r="Q344" s="135"/>
      <c r="R344" s="135"/>
      <c r="S344" s="135"/>
      <c r="T344" s="135"/>
      <c r="U344" s="135"/>
      <c r="V344" s="189"/>
      <c r="W344" s="135"/>
      <c r="X344" s="135"/>
      <c r="Y344" s="135"/>
      <c r="Z344" s="135"/>
      <c r="AA344" s="135"/>
      <c r="AB344" s="135"/>
      <c r="AC344" s="135"/>
      <c r="AD344" s="135"/>
    </row>
    <row r="345" customFormat="false" ht="15.75" hidden="false" customHeight="true" outlineLevel="0" collapsed="false">
      <c r="A345" s="135"/>
      <c r="B345" s="135"/>
      <c r="C345" s="135"/>
      <c r="D345" s="135"/>
      <c r="E345" s="182"/>
      <c r="F345" s="135"/>
      <c r="G345" s="135"/>
      <c r="H345" s="135"/>
      <c r="I345" s="135"/>
      <c r="J345" s="135"/>
      <c r="K345" s="135"/>
      <c r="L345" s="135"/>
      <c r="M345" s="182"/>
      <c r="N345" s="135"/>
      <c r="O345" s="135"/>
      <c r="P345" s="189"/>
      <c r="Q345" s="135"/>
      <c r="R345" s="135"/>
      <c r="S345" s="135"/>
      <c r="T345" s="135"/>
      <c r="U345" s="135"/>
      <c r="V345" s="189"/>
      <c r="W345" s="135"/>
      <c r="X345" s="135"/>
      <c r="Y345" s="135"/>
      <c r="Z345" s="135"/>
      <c r="AA345" s="135"/>
      <c r="AB345" s="135"/>
      <c r="AC345" s="135"/>
      <c r="AD345" s="135"/>
    </row>
    <row r="346" customFormat="false" ht="15.75" hidden="false" customHeight="true" outlineLevel="0" collapsed="false">
      <c r="A346" s="135"/>
      <c r="B346" s="135"/>
      <c r="C346" s="135"/>
      <c r="D346" s="135"/>
      <c r="E346" s="182"/>
      <c r="F346" s="135"/>
      <c r="G346" s="135"/>
      <c r="H346" s="135"/>
      <c r="I346" s="135"/>
      <c r="J346" s="135"/>
      <c r="K346" s="135"/>
      <c r="L346" s="135"/>
      <c r="M346" s="182"/>
      <c r="N346" s="135"/>
      <c r="O346" s="135"/>
      <c r="P346" s="189"/>
      <c r="Q346" s="135"/>
      <c r="R346" s="135"/>
      <c r="S346" s="135"/>
      <c r="T346" s="135"/>
      <c r="U346" s="135"/>
      <c r="V346" s="189"/>
      <c r="W346" s="135"/>
      <c r="X346" s="135"/>
      <c r="Y346" s="135"/>
      <c r="Z346" s="135"/>
      <c r="AA346" s="135"/>
      <c r="AB346" s="135"/>
      <c r="AC346" s="135"/>
      <c r="AD346" s="135"/>
    </row>
    <row r="347" customFormat="false" ht="15.75" hidden="false" customHeight="true" outlineLevel="0" collapsed="false">
      <c r="A347" s="135"/>
      <c r="B347" s="135"/>
      <c r="C347" s="135"/>
      <c r="D347" s="135"/>
      <c r="E347" s="182"/>
      <c r="F347" s="135"/>
      <c r="G347" s="135"/>
      <c r="H347" s="135"/>
      <c r="I347" s="135"/>
      <c r="J347" s="135"/>
      <c r="K347" s="135"/>
      <c r="L347" s="135"/>
      <c r="M347" s="182"/>
      <c r="N347" s="135"/>
      <c r="O347" s="135"/>
      <c r="P347" s="189"/>
      <c r="Q347" s="135"/>
      <c r="R347" s="135"/>
      <c r="S347" s="135"/>
      <c r="T347" s="135"/>
      <c r="U347" s="135"/>
      <c r="V347" s="189"/>
      <c r="W347" s="135"/>
      <c r="X347" s="135"/>
      <c r="Y347" s="135"/>
      <c r="Z347" s="135"/>
      <c r="AA347" s="135"/>
      <c r="AB347" s="135"/>
      <c r="AC347" s="135"/>
      <c r="AD347" s="135"/>
    </row>
    <row r="348" customFormat="false" ht="15.75" hidden="false" customHeight="true" outlineLevel="0" collapsed="false">
      <c r="A348" s="135"/>
      <c r="B348" s="135"/>
      <c r="C348" s="135"/>
      <c r="D348" s="135"/>
      <c r="E348" s="182"/>
      <c r="F348" s="135"/>
      <c r="G348" s="135"/>
      <c r="H348" s="135"/>
      <c r="I348" s="135"/>
      <c r="J348" s="135"/>
      <c r="K348" s="135"/>
      <c r="L348" s="135"/>
      <c r="M348" s="182"/>
      <c r="N348" s="135"/>
      <c r="O348" s="135"/>
      <c r="P348" s="189"/>
      <c r="Q348" s="135"/>
      <c r="R348" s="135"/>
      <c r="S348" s="135"/>
      <c r="T348" s="135"/>
      <c r="U348" s="135"/>
      <c r="V348" s="189"/>
      <c r="W348" s="135"/>
      <c r="X348" s="135"/>
      <c r="Y348" s="135"/>
      <c r="Z348" s="135"/>
      <c r="AA348" s="135"/>
      <c r="AB348" s="135"/>
      <c r="AC348" s="135"/>
      <c r="AD348" s="135"/>
    </row>
    <row r="349" customFormat="false" ht="15.75" hidden="false" customHeight="true" outlineLevel="0" collapsed="false">
      <c r="A349" s="135"/>
      <c r="B349" s="135"/>
      <c r="C349" s="135"/>
      <c r="D349" s="135"/>
      <c r="E349" s="182"/>
      <c r="F349" s="135"/>
      <c r="G349" s="135"/>
      <c r="H349" s="135"/>
      <c r="I349" s="135"/>
      <c r="J349" s="135"/>
      <c r="K349" s="135"/>
      <c r="L349" s="135"/>
      <c r="M349" s="182"/>
      <c r="N349" s="135"/>
      <c r="O349" s="135"/>
      <c r="P349" s="189"/>
      <c r="Q349" s="135"/>
      <c r="R349" s="135"/>
      <c r="S349" s="135"/>
      <c r="T349" s="135"/>
      <c r="U349" s="135"/>
      <c r="V349" s="189"/>
      <c r="W349" s="135"/>
      <c r="X349" s="135"/>
      <c r="Y349" s="135"/>
      <c r="Z349" s="135"/>
      <c r="AA349" s="135"/>
      <c r="AB349" s="135"/>
      <c r="AC349" s="135"/>
      <c r="AD349" s="135"/>
    </row>
    <row r="350" customFormat="false" ht="15.75" hidden="false" customHeight="true" outlineLevel="0" collapsed="false">
      <c r="A350" s="135"/>
      <c r="B350" s="135"/>
      <c r="C350" s="135"/>
      <c r="D350" s="135"/>
      <c r="E350" s="182"/>
      <c r="F350" s="135"/>
      <c r="G350" s="135"/>
      <c r="H350" s="135"/>
      <c r="I350" s="135"/>
      <c r="J350" s="135"/>
      <c r="K350" s="135"/>
      <c r="L350" s="135"/>
      <c r="M350" s="182"/>
      <c r="N350" s="135"/>
      <c r="O350" s="135"/>
      <c r="P350" s="189"/>
      <c r="Q350" s="135"/>
      <c r="R350" s="135"/>
      <c r="S350" s="135"/>
      <c r="T350" s="135"/>
      <c r="U350" s="135"/>
      <c r="V350" s="189"/>
      <c r="W350" s="135"/>
      <c r="X350" s="135"/>
      <c r="Y350" s="135"/>
      <c r="Z350" s="135"/>
      <c r="AA350" s="135"/>
      <c r="AB350" s="135"/>
      <c r="AC350" s="135"/>
      <c r="AD350" s="135"/>
    </row>
    <row r="351" customFormat="false" ht="15.75" hidden="false" customHeight="true" outlineLevel="0" collapsed="false">
      <c r="A351" s="135"/>
      <c r="B351" s="135"/>
      <c r="C351" s="135"/>
      <c r="D351" s="135"/>
      <c r="E351" s="182"/>
      <c r="F351" s="135"/>
      <c r="G351" s="135"/>
      <c r="H351" s="135"/>
      <c r="I351" s="135"/>
      <c r="J351" s="135"/>
      <c r="K351" s="135"/>
      <c r="L351" s="135"/>
      <c r="M351" s="182"/>
      <c r="N351" s="135"/>
      <c r="O351" s="135"/>
      <c r="P351" s="189"/>
      <c r="Q351" s="135"/>
      <c r="R351" s="135"/>
      <c r="S351" s="135"/>
      <c r="T351" s="135"/>
      <c r="U351" s="135"/>
      <c r="V351" s="189"/>
      <c r="W351" s="135"/>
      <c r="X351" s="135"/>
      <c r="Y351" s="135"/>
      <c r="Z351" s="135"/>
      <c r="AA351" s="135"/>
      <c r="AB351" s="135"/>
      <c r="AC351" s="135"/>
      <c r="AD351" s="135"/>
    </row>
    <row r="352" customFormat="false" ht="15.75" hidden="false" customHeight="true" outlineLevel="0" collapsed="false">
      <c r="A352" s="135"/>
      <c r="B352" s="135"/>
      <c r="C352" s="135"/>
      <c r="D352" s="135"/>
      <c r="E352" s="182"/>
      <c r="F352" s="135"/>
      <c r="G352" s="135"/>
      <c r="H352" s="135"/>
      <c r="I352" s="135"/>
      <c r="J352" s="135"/>
      <c r="K352" s="135"/>
      <c r="L352" s="135"/>
      <c r="M352" s="182"/>
      <c r="N352" s="135"/>
      <c r="O352" s="135"/>
      <c r="P352" s="189"/>
      <c r="Q352" s="135"/>
      <c r="R352" s="135"/>
      <c r="S352" s="135"/>
      <c r="T352" s="135"/>
      <c r="U352" s="135"/>
      <c r="V352" s="189"/>
      <c r="W352" s="135"/>
      <c r="X352" s="135"/>
      <c r="Y352" s="135"/>
      <c r="Z352" s="135"/>
      <c r="AA352" s="135"/>
      <c r="AB352" s="135"/>
      <c r="AC352" s="135"/>
      <c r="AD352" s="135"/>
    </row>
    <row r="353" customFormat="false" ht="15.75" hidden="false" customHeight="true" outlineLevel="0" collapsed="false">
      <c r="A353" s="135"/>
      <c r="B353" s="135"/>
      <c r="C353" s="135"/>
      <c r="D353" s="135"/>
      <c r="E353" s="182"/>
      <c r="F353" s="135"/>
      <c r="G353" s="135"/>
      <c r="H353" s="135"/>
      <c r="I353" s="135"/>
      <c r="J353" s="135"/>
      <c r="K353" s="135"/>
      <c r="L353" s="135"/>
      <c r="M353" s="182"/>
      <c r="N353" s="135"/>
      <c r="O353" s="135"/>
      <c r="P353" s="189"/>
      <c r="Q353" s="135"/>
      <c r="R353" s="135"/>
      <c r="S353" s="135"/>
      <c r="T353" s="135"/>
      <c r="U353" s="135"/>
      <c r="V353" s="189"/>
      <c r="W353" s="135"/>
      <c r="X353" s="135"/>
      <c r="Y353" s="135"/>
      <c r="Z353" s="135"/>
      <c r="AA353" s="135"/>
      <c r="AB353" s="135"/>
      <c r="AC353" s="135"/>
      <c r="AD353" s="135"/>
    </row>
    <row r="354" customFormat="false" ht="15.75" hidden="false" customHeight="true" outlineLevel="0" collapsed="false">
      <c r="A354" s="135"/>
      <c r="B354" s="135"/>
      <c r="C354" s="135"/>
      <c r="D354" s="135"/>
      <c r="E354" s="182"/>
      <c r="F354" s="135"/>
      <c r="G354" s="135"/>
      <c r="H354" s="135"/>
      <c r="I354" s="135"/>
      <c r="J354" s="135"/>
      <c r="K354" s="135"/>
      <c r="L354" s="135"/>
      <c r="M354" s="182"/>
      <c r="N354" s="135"/>
      <c r="O354" s="135"/>
      <c r="P354" s="189"/>
      <c r="Q354" s="135"/>
      <c r="R354" s="135"/>
      <c r="S354" s="135"/>
      <c r="T354" s="135"/>
      <c r="U354" s="135"/>
      <c r="V354" s="189"/>
      <c r="W354" s="135"/>
      <c r="X354" s="135"/>
      <c r="Y354" s="135"/>
      <c r="Z354" s="135"/>
      <c r="AA354" s="135"/>
      <c r="AB354" s="135"/>
      <c r="AC354" s="135"/>
      <c r="AD354" s="135"/>
    </row>
    <row r="355" customFormat="false" ht="15.75" hidden="false" customHeight="true" outlineLevel="0" collapsed="false">
      <c r="A355" s="135"/>
      <c r="B355" s="135"/>
      <c r="C355" s="135"/>
      <c r="D355" s="135"/>
      <c r="E355" s="182"/>
      <c r="F355" s="135"/>
      <c r="G355" s="135"/>
      <c r="H355" s="135"/>
      <c r="I355" s="135"/>
      <c r="J355" s="135"/>
      <c r="K355" s="135"/>
      <c r="L355" s="135"/>
      <c r="M355" s="182"/>
      <c r="N355" s="135"/>
      <c r="O355" s="135"/>
      <c r="P355" s="189"/>
      <c r="Q355" s="135"/>
      <c r="R355" s="135"/>
      <c r="S355" s="135"/>
      <c r="T355" s="135"/>
      <c r="U355" s="135"/>
      <c r="V355" s="189"/>
      <c r="W355" s="135"/>
      <c r="X355" s="135"/>
      <c r="Y355" s="135"/>
      <c r="Z355" s="135"/>
      <c r="AA355" s="135"/>
      <c r="AB355" s="135"/>
      <c r="AC355" s="135"/>
      <c r="AD355" s="135"/>
    </row>
    <row r="356" customFormat="false" ht="15.75" hidden="false" customHeight="true" outlineLevel="0" collapsed="false">
      <c r="A356" s="135"/>
      <c r="B356" s="135"/>
      <c r="C356" s="135"/>
      <c r="D356" s="135"/>
      <c r="E356" s="182"/>
      <c r="F356" s="135"/>
      <c r="G356" s="135"/>
      <c r="H356" s="135"/>
      <c r="I356" s="135"/>
      <c r="J356" s="135"/>
      <c r="K356" s="135"/>
      <c r="L356" s="135"/>
      <c r="M356" s="182"/>
      <c r="N356" s="135"/>
      <c r="O356" s="135"/>
      <c r="P356" s="189"/>
      <c r="Q356" s="135"/>
      <c r="R356" s="135"/>
      <c r="S356" s="135"/>
      <c r="T356" s="135"/>
      <c r="U356" s="135"/>
      <c r="V356" s="189"/>
      <c r="W356" s="135"/>
      <c r="X356" s="135"/>
      <c r="Y356" s="135"/>
      <c r="Z356" s="135"/>
      <c r="AA356" s="135"/>
      <c r="AB356" s="135"/>
      <c r="AC356" s="135"/>
      <c r="AD356" s="135"/>
    </row>
    <row r="357" customFormat="false" ht="15.75" hidden="false" customHeight="true" outlineLevel="0" collapsed="false">
      <c r="A357" s="135"/>
      <c r="B357" s="135"/>
      <c r="C357" s="135"/>
      <c r="D357" s="135"/>
      <c r="E357" s="182"/>
      <c r="F357" s="135"/>
      <c r="G357" s="135"/>
      <c r="H357" s="135"/>
      <c r="I357" s="135"/>
      <c r="J357" s="135"/>
      <c r="K357" s="135"/>
      <c r="L357" s="135"/>
      <c r="M357" s="182"/>
      <c r="N357" s="135"/>
      <c r="O357" s="135"/>
      <c r="P357" s="189"/>
      <c r="Q357" s="135"/>
      <c r="R357" s="135"/>
      <c r="S357" s="135"/>
      <c r="T357" s="135"/>
      <c r="U357" s="135"/>
      <c r="V357" s="189"/>
      <c r="W357" s="135"/>
      <c r="X357" s="135"/>
      <c r="Y357" s="135"/>
      <c r="Z357" s="135"/>
      <c r="AA357" s="135"/>
      <c r="AB357" s="135"/>
      <c r="AC357" s="135"/>
      <c r="AD357" s="135"/>
    </row>
    <row r="358" customFormat="false" ht="15.75" hidden="false" customHeight="true" outlineLevel="0" collapsed="false">
      <c r="A358" s="135"/>
      <c r="B358" s="135"/>
      <c r="C358" s="135"/>
      <c r="D358" s="135"/>
      <c r="E358" s="182"/>
      <c r="F358" s="135"/>
      <c r="G358" s="135"/>
      <c r="H358" s="135"/>
      <c r="I358" s="135"/>
      <c r="J358" s="135"/>
      <c r="K358" s="135"/>
      <c r="L358" s="135"/>
      <c r="M358" s="182"/>
      <c r="N358" s="135"/>
      <c r="O358" s="135"/>
      <c r="P358" s="189"/>
      <c r="Q358" s="135"/>
      <c r="R358" s="135"/>
      <c r="S358" s="135"/>
      <c r="T358" s="135"/>
      <c r="U358" s="135"/>
      <c r="V358" s="189"/>
      <c r="W358" s="135"/>
      <c r="X358" s="135"/>
      <c r="Y358" s="135"/>
      <c r="Z358" s="135"/>
      <c r="AA358" s="135"/>
      <c r="AB358" s="135"/>
      <c r="AC358" s="135"/>
      <c r="AD358" s="135"/>
    </row>
    <row r="359" customFormat="false" ht="15.75" hidden="false" customHeight="true" outlineLevel="0" collapsed="false">
      <c r="A359" s="135"/>
      <c r="B359" s="135"/>
      <c r="C359" s="135"/>
      <c r="D359" s="135"/>
      <c r="E359" s="182"/>
      <c r="F359" s="135"/>
      <c r="G359" s="135"/>
      <c r="H359" s="135"/>
      <c r="I359" s="135"/>
      <c r="J359" s="135"/>
      <c r="K359" s="135"/>
      <c r="L359" s="135"/>
      <c r="M359" s="182"/>
      <c r="N359" s="135"/>
      <c r="O359" s="135"/>
      <c r="P359" s="189"/>
      <c r="Q359" s="135"/>
      <c r="R359" s="135"/>
      <c r="S359" s="135"/>
      <c r="T359" s="135"/>
      <c r="U359" s="135"/>
      <c r="V359" s="189"/>
      <c r="W359" s="135"/>
      <c r="X359" s="135"/>
      <c r="Y359" s="135"/>
      <c r="Z359" s="135"/>
      <c r="AA359" s="135"/>
      <c r="AB359" s="135"/>
      <c r="AC359" s="135"/>
      <c r="AD359" s="135"/>
    </row>
    <row r="360" customFormat="false" ht="15.75" hidden="false" customHeight="true" outlineLevel="0" collapsed="false">
      <c r="A360" s="135"/>
      <c r="B360" s="135"/>
      <c r="C360" s="135"/>
      <c r="D360" s="135"/>
      <c r="E360" s="182"/>
      <c r="F360" s="135"/>
      <c r="G360" s="135"/>
      <c r="H360" s="135"/>
      <c r="I360" s="135"/>
      <c r="J360" s="135"/>
      <c r="K360" s="135"/>
      <c r="L360" s="135"/>
      <c r="M360" s="182"/>
      <c r="N360" s="135"/>
      <c r="O360" s="135"/>
      <c r="P360" s="189"/>
      <c r="Q360" s="135"/>
      <c r="R360" s="135"/>
      <c r="S360" s="135"/>
      <c r="T360" s="135"/>
      <c r="U360" s="135"/>
      <c r="V360" s="189"/>
      <c r="W360" s="135"/>
      <c r="X360" s="135"/>
      <c r="Y360" s="135"/>
      <c r="Z360" s="135"/>
      <c r="AA360" s="135"/>
      <c r="AB360" s="135"/>
      <c r="AC360" s="135"/>
      <c r="AD360" s="135"/>
    </row>
    <row r="361" customFormat="false" ht="15.75" hidden="false" customHeight="true" outlineLevel="0" collapsed="false">
      <c r="A361" s="135"/>
      <c r="B361" s="135"/>
      <c r="C361" s="135"/>
      <c r="D361" s="135"/>
      <c r="E361" s="182"/>
      <c r="F361" s="135"/>
      <c r="G361" s="135"/>
      <c r="H361" s="135"/>
      <c r="I361" s="135"/>
      <c r="J361" s="135"/>
      <c r="K361" s="135"/>
      <c r="L361" s="135"/>
      <c r="M361" s="182"/>
      <c r="N361" s="135"/>
      <c r="O361" s="135"/>
      <c r="P361" s="189"/>
      <c r="Q361" s="135"/>
      <c r="R361" s="135"/>
      <c r="S361" s="135"/>
      <c r="T361" s="135"/>
      <c r="U361" s="135"/>
      <c r="V361" s="189"/>
      <c r="W361" s="135"/>
      <c r="X361" s="135"/>
      <c r="Y361" s="135"/>
      <c r="Z361" s="135"/>
      <c r="AA361" s="135"/>
      <c r="AB361" s="135"/>
      <c r="AC361" s="135"/>
      <c r="AD361" s="135"/>
    </row>
    <row r="362" customFormat="false" ht="15.75" hidden="false" customHeight="true" outlineLevel="0" collapsed="false">
      <c r="A362" s="135"/>
      <c r="B362" s="135"/>
      <c r="C362" s="135"/>
      <c r="D362" s="135"/>
      <c r="E362" s="182"/>
      <c r="F362" s="135"/>
      <c r="G362" s="135"/>
      <c r="H362" s="135"/>
      <c r="I362" s="135"/>
      <c r="J362" s="135"/>
      <c r="K362" s="135"/>
      <c r="L362" s="135"/>
      <c r="M362" s="182"/>
      <c r="N362" s="135"/>
      <c r="O362" s="135"/>
      <c r="P362" s="189"/>
      <c r="Q362" s="135"/>
      <c r="R362" s="135"/>
      <c r="S362" s="135"/>
      <c r="T362" s="135"/>
      <c r="U362" s="135"/>
      <c r="V362" s="189"/>
      <c r="W362" s="135"/>
      <c r="X362" s="135"/>
      <c r="Y362" s="135"/>
      <c r="Z362" s="135"/>
      <c r="AA362" s="135"/>
      <c r="AB362" s="135"/>
      <c r="AC362" s="135"/>
      <c r="AD362" s="135"/>
    </row>
    <row r="363" customFormat="false" ht="15.75" hidden="false" customHeight="true" outlineLevel="0" collapsed="false">
      <c r="A363" s="135"/>
      <c r="B363" s="135"/>
      <c r="C363" s="135"/>
      <c r="D363" s="135"/>
      <c r="E363" s="182"/>
      <c r="F363" s="135"/>
      <c r="G363" s="135"/>
      <c r="H363" s="135"/>
      <c r="I363" s="135"/>
      <c r="J363" s="135"/>
      <c r="K363" s="135"/>
      <c r="L363" s="135"/>
      <c r="M363" s="182"/>
      <c r="N363" s="135"/>
      <c r="O363" s="135"/>
      <c r="P363" s="189"/>
      <c r="Q363" s="135"/>
      <c r="R363" s="135"/>
      <c r="S363" s="135"/>
      <c r="T363" s="135"/>
      <c r="U363" s="135"/>
      <c r="V363" s="189"/>
      <c r="W363" s="135"/>
      <c r="X363" s="135"/>
      <c r="Y363" s="135"/>
      <c r="Z363" s="135"/>
      <c r="AA363" s="135"/>
      <c r="AB363" s="135"/>
      <c r="AC363" s="135"/>
      <c r="AD363" s="135"/>
    </row>
    <row r="364" customFormat="false" ht="15.75" hidden="false" customHeight="true" outlineLevel="0" collapsed="false">
      <c r="A364" s="135"/>
      <c r="B364" s="135"/>
      <c r="C364" s="135"/>
      <c r="D364" s="135"/>
      <c r="E364" s="182"/>
      <c r="F364" s="135"/>
      <c r="G364" s="135"/>
      <c r="H364" s="135"/>
      <c r="I364" s="135"/>
      <c r="J364" s="135"/>
      <c r="K364" s="135"/>
      <c r="L364" s="135"/>
      <c r="M364" s="182"/>
      <c r="N364" s="135"/>
      <c r="O364" s="135"/>
      <c r="P364" s="189"/>
      <c r="Q364" s="135"/>
      <c r="R364" s="135"/>
      <c r="S364" s="135"/>
      <c r="T364" s="135"/>
      <c r="U364" s="135"/>
      <c r="V364" s="189"/>
      <c r="W364" s="135"/>
      <c r="X364" s="135"/>
      <c r="Y364" s="135"/>
      <c r="Z364" s="135"/>
      <c r="AA364" s="135"/>
      <c r="AB364" s="135"/>
      <c r="AC364" s="135"/>
      <c r="AD364" s="135"/>
    </row>
    <row r="365" customFormat="false" ht="15.75" hidden="false" customHeight="true" outlineLevel="0" collapsed="false">
      <c r="A365" s="135"/>
      <c r="B365" s="135"/>
      <c r="C365" s="135"/>
      <c r="D365" s="135"/>
      <c r="E365" s="182"/>
      <c r="F365" s="135"/>
      <c r="G365" s="135"/>
      <c r="H365" s="135"/>
      <c r="I365" s="135"/>
      <c r="J365" s="135"/>
      <c r="K365" s="135"/>
      <c r="L365" s="135"/>
      <c r="M365" s="182"/>
      <c r="N365" s="135"/>
      <c r="O365" s="135"/>
      <c r="P365" s="189"/>
      <c r="Q365" s="135"/>
      <c r="R365" s="135"/>
      <c r="S365" s="135"/>
      <c r="T365" s="135"/>
      <c r="U365" s="135"/>
      <c r="V365" s="189"/>
      <c r="W365" s="135"/>
      <c r="X365" s="135"/>
      <c r="Y365" s="135"/>
      <c r="Z365" s="135"/>
      <c r="AA365" s="135"/>
      <c r="AB365" s="135"/>
      <c r="AC365" s="135"/>
      <c r="AD365" s="135"/>
    </row>
    <row r="366" customFormat="false" ht="15.75" hidden="false" customHeight="true" outlineLevel="0" collapsed="false">
      <c r="A366" s="135"/>
      <c r="B366" s="135"/>
      <c r="C366" s="135"/>
      <c r="D366" s="135"/>
      <c r="E366" s="182"/>
      <c r="F366" s="135"/>
      <c r="G366" s="135"/>
      <c r="H366" s="135"/>
      <c r="I366" s="135"/>
      <c r="J366" s="135"/>
      <c r="K366" s="135"/>
      <c r="L366" s="135"/>
      <c r="M366" s="182"/>
      <c r="N366" s="135"/>
      <c r="O366" s="135"/>
      <c r="P366" s="189"/>
      <c r="Q366" s="135"/>
      <c r="R366" s="135"/>
      <c r="S366" s="135"/>
      <c r="T366" s="135"/>
      <c r="U366" s="135"/>
      <c r="V366" s="189"/>
      <c r="W366" s="135"/>
      <c r="X366" s="135"/>
      <c r="Y366" s="135"/>
      <c r="Z366" s="135"/>
      <c r="AA366" s="135"/>
      <c r="AB366" s="135"/>
      <c r="AC366" s="135"/>
      <c r="AD366" s="135"/>
    </row>
    <row r="367" customFormat="false" ht="15.75" hidden="false" customHeight="true" outlineLevel="0" collapsed="false">
      <c r="A367" s="135"/>
      <c r="B367" s="135"/>
      <c r="C367" s="135"/>
      <c r="D367" s="135"/>
      <c r="E367" s="182"/>
      <c r="F367" s="135"/>
      <c r="G367" s="135"/>
      <c r="H367" s="135"/>
      <c r="I367" s="135"/>
      <c r="J367" s="135"/>
      <c r="K367" s="135"/>
      <c r="L367" s="135"/>
      <c r="M367" s="182"/>
      <c r="N367" s="135"/>
      <c r="O367" s="135"/>
      <c r="P367" s="189"/>
      <c r="Q367" s="135"/>
      <c r="R367" s="135"/>
      <c r="S367" s="135"/>
      <c r="T367" s="135"/>
      <c r="U367" s="135"/>
      <c r="V367" s="189"/>
      <c r="W367" s="135"/>
      <c r="X367" s="135"/>
      <c r="Y367" s="135"/>
      <c r="Z367" s="135"/>
      <c r="AA367" s="135"/>
      <c r="AB367" s="135"/>
      <c r="AC367" s="135"/>
      <c r="AD367" s="135"/>
    </row>
    <row r="368" customFormat="false" ht="15.75" hidden="false" customHeight="true" outlineLevel="0" collapsed="false">
      <c r="A368" s="135"/>
      <c r="B368" s="135"/>
      <c r="C368" s="135"/>
      <c r="D368" s="135"/>
      <c r="E368" s="182"/>
      <c r="F368" s="135"/>
      <c r="G368" s="135"/>
      <c r="H368" s="135"/>
      <c r="I368" s="135"/>
      <c r="J368" s="135"/>
      <c r="K368" s="135"/>
      <c r="L368" s="135"/>
      <c r="M368" s="182"/>
      <c r="N368" s="135"/>
      <c r="O368" s="135"/>
      <c r="P368" s="189"/>
      <c r="Q368" s="135"/>
      <c r="R368" s="135"/>
      <c r="S368" s="135"/>
      <c r="T368" s="135"/>
      <c r="U368" s="135"/>
      <c r="V368" s="189"/>
      <c r="W368" s="135"/>
      <c r="X368" s="135"/>
      <c r="Y368" s="135"/>
      <c r="Z368" s="135"/>
      <c r="AA368" s="135"/>
      <c r="AB368" s="135"/>
      <c r="AC368" s="135"/>
      <c r="AD368" s="135"/>
    </row>
    <row r="369" customFormat="false" ht="15.75" hidden="false" customHeight="true" outlineLevel="0" collapsed="false">
      <c r="A369" s="135"/>
      <c r="B369" s="135"/>
      <c r="C369" s="135"/>
      <c r="D369" s="135"/>
      <c r="E369" s="182"/>
      <c r="F369" s="135"/>
      <c r="G369" s="135"/>
      <c r="H369" s="135"/>
      <c r="I369" s="135"/>
      <c r="J369" s="135"/>
      <c r="K369" s="135"/>
      <c r="L369" s="135"/>
      <c r="M369" s="182"/>
      <c r="N369" s="135"/>
      <c r="O369" s="135"/>
      <c r="P369" s="189"/>
      <c r="Q369" s="135"/>
      <c r="R369" s="135"/>
      <c r="S369" s="135"/>
      <c r="T369" s="135"/>
      <c r="U369" s="135"/>
      <c r="V369" s="189"/>
      <c r="W369" s="135"/>
      <c r="X369" s="135"/>
      <c r="Y369" s="135"/>
      <c r="Z369" s="135"/>
      <c r="AA369" s="135"/>
      <c r="AB369" s="135"/>
      <c r="AC369" s="135"/>
      <c r="AD369" s="135"/>
    </row>
    <row r="370" customFormat="false" ht="15.75" hidden="false" customHeight="true" outlineLevel="0" collapsed="false">
      <c r="A370" s="135"/>
      <c r="B370" s="135"/>
      <c r="C370" s="135"/>
      <c r="D370" s="135"/>
      <c r="E370" s="182"/>
      <c r="F370" s="135"/>
      <c r="G370" s="135"/>
      <c r="H370" s="135"/>
      <c r="I370" s="135"/>
      <c r="J370" s="135"/>
      <c r="K370" s="135"/>
      <c r="L370" s="135"/>
      <c r="M370" s="182"/>
      <c r="N370" s="135"/>
      <c r="O370" s="135"/>
      <c r="P370" s="189"/>
      <c r="Q370" s="135"/>
      <c r="R370" s="135"/>
      <c r="S370" s="135"/>
      <c r="T370" s="135"/>
      <c r="U370" s="135"/>
      <c r="V370" s="189"/>
      <c r="W370" s="135"/>
      <c r="X370" s="135"/>
      <c r="Y370" s="135"/>
      <c r="Z370" s="135"/>
      <c r="AA370" s="135"/>
      <c r="AB370" s="135"/>
      <c r="AC370" s="135"/>
      <c r="AD370" s="135"/>
    </row>
    <row r="371" customFormat="false" ht="15.75" hidden="false" customHeight="true" outlineLevel="0" collapsed="false">
      <c r="A371" s="135"/>
      <c r="B371" s="135"/>
      <c r="C371" s="135"/>
      <c r="D371" s="135"/>
      <c r="E371" s="182"/>
      <c r="F371" s="135"/>
      <c r="G371" s="135"/>
      <c r="H371" s="135"/>
      <c r="I371" s="135"/>
      <c r="J371" s="135"/>
      <c r="K371" s="135"/>
      <c r="L371" s="135"/>
      <c r="M371" s="182"/>
      <c r="N371" s="135"/>
      <c r="O371" s="135"/>
      <c r="P371" s="189"/>
      <c r="Q371" s="135"/>
      <c r="R371" s="135"/>
      <c r="S371" s="135"/>
      <c r="T371" s="135"/>
      <c r="U371" s="135"/>
      <c r="V371" s="189"/>
      <c r="W371" s="135"/>
      <c r="X371" s="135"/>
      <c r="Y371" s="135"/>
      <c r="Z371" s="135"/>
      <c r="AA371" s="135"/>
      <c r="AB371" s="135"/>
      <c r="AC371" s="135"/>
      <c r="AD371" s="135"/>
    </row>
    <row r="372" customFormat="false" ht="15.75" hidden="false" customHeight="true" outlineLevel="0" collapsed="false">
      <c r="A372" s="135"/>
      <c r="B372" s="135"/>
      <c r="C372" s="135"/>
      <c r="D372" s="135"/>
      <c r="E372" s="182"/>
      <c r="F372" s="135"/>
      <c r="G372" s="135"/>
      <c r="H372" s="135"/>
      <c r="I372" s="135"/>
      <c r="J372" s="135"/>
      <c r="K372" s="135"/>
      <c r="L372" s="135"/>
      <c r="M372" s="182"/>
      <c r="N372" s="135"/>
      <c r="O372" s="135"/>
      <c r="P372" s="189"/>
      <c r="Q372" s="135"/>
      <c r="R372" s="135"/>
      <c r="S372" s="135"/>
      <c r="T372" s="135"/>
      <c r="U372" s="135"/>
      <c r="V372" s="189"/>
      <c r="W372" s="135"/>
      <c r="X372" s="135"/>
      <c r="Y372" s="135"/>
      <c r="Z372" s="135"/>
      <c r="AA372" s="135"/>
      <c r="AB372" s="135"/>
      <c r="AC372" s="135"/>
      <c r="AD372" s="135"/>
    </row>
    <row r="373" customFormat="false" ht="15.75" hidden="false" customHeight="true" outlineLevel="0" collapsed="false">
      <c r="A373" s="135"/>
      <c r="B373" s="135"/>
      <c r="C373" s="135"/>
      <c r="D373" s="135"/>
      <c r="E373" s="182"/>
      <c r="F373" s="135"/>
      <c r="G373" s="135"/>
      <c r="H373" s="135"/>
      <c r="I373" s="135"/>
      <c r="J373" s="135"/>
      <c r="K373" s="135"/>
      <c r="L373" s="135"/>
      <c r="M373" s="182"/>
      <c r="N373" s="135"/>
      <c r="O373" s="135"/>
      <c r="P373" s="189"/>
      <c r="Q373" s="135"/>
      <c r="R373" s="135"/>
      <c r="S373" s="135"/>
      <c r="T373" s="135"/>
      <c r="U373" s="135"/>
      <c r="V373" s="189"/>
      <c r="W373" s="135"/>
      <c r="X373" s="135"/>
      <c r="Y373" s="135"/>
      <c r="Z373" s="135"/>
      <c r="AA373" s="135"/>
      <c r="AB373" s="135"/>
      <c r="AC373" s="135"/>
      <c r="AD373" s="135"/>
    </row>
    <row r="374" customFormat="false" ht="15.75" hidden="false" customHeight="true" outlineLevel="0" collapsed="false">
      <c r="A374" s="135"/>
      <c r="B374" s="135"/>
      <c r="C374" s="135"/>
      <c r="D374" s="135"/>
      <c r="E374" s="182"/>
      <c r="F374" s="135"/>
      <c r="G374" s="135"/>
      <c r="H374" s="135"/>
      <c r="I374" s="135"/>
      <c r="J374" s="135"/>
      <c r="K374" s="135"/>
      <c r="L374" s="135"/>
      <c r="M374" s="182"/>
      <c r="N374" s="135"/>
      <c r="O374" s="135"/>
      <c r="P374" s="189"/>
      <c r="Q374" s="135"/>
      <c r="R374" s="135"/>
      <c r="S374" s="135"/>
      <c r="T374" s="135"/>
      <c r="U374" s="135"/>
      <c r="V374" s="189"/>
      <c r="W374" s="135"/>
      <c r="X374" s="135"/>
      <c r="Y374" s="135"/>
      <c r="Z374" s="135"/>
      <c r="AA374" s="135"/>
      <c r="AB374" s="135"/>
      <c r="AC374" s="135"/>
      <c r="AD374" s="135"/>
    </row>
    <row r="375" customFormat="false" ht="15.75" hidden="false" customHeight="true" outlineLevel="0" collapsed="false">
      <c r="A375" s="135"/>
      <c r="B375" s="135"/>
      <c r="C375" s="135"/>
      <c r="D375" s="135"/>
      <c r="E375" s="182"/>
      <c r="F375" s="135"/>
      <c r="G375" s="135"/>
      <c r="H375" s="135"/>
      <c r="I375" s="135"/>
      <c r="J375" s="135"/>
      <c r="K375" s="135"/>
      <c r="L375" s="135"/>
      <c r="M375" s="182"/>
      <c r="N375" s="135"/>
      <c r="O375" s="135"/>
      <c r="P375" s="189"/>
      <c r="Q375" s="135"/>
      <c r="R375" s="135"/>
      <c r="S375" s="135"/>
      <c r="T375" s="135"/>
      <c r="U375" s="135"/>
      <c r="V375" s="189"/>
      <c r="W375" s="135"/>
      <c r="X375" s="135"/>
      <c r="Y375" s="135"/>
      <c r="Z375" s="135"/>
      <c r="AA375" s="135"/>
      <c r="AB375" s="135"/>
      <c r="AC375" s="135"/>
      <c r="AD375" s="135"/>
    </row>
    <row r="376" customFormat="false" ht="15.75" hidden="false" customHeight="true" outlineLevel="0" collapsed="false">
      <c r="A376" s="135"/>
      <c r="B376" s="135"/>
      <c r="C376" s="135"/>
      <c r="D376" s="135"/>
      <c r="E376" s="182"/>
      <c r="F376" s="135"/>
      <c r="G376" s="135"/>
      <c r="H376" s="135"/>
      <c r="I376" s="135"/>
      <c r="J376" s="135"/>
      <c r="K376" s="135"/>
      <c r="L376" s="135"/>
      <c r="M376" s="182"/>
      <c r="N376" s="135"/>
      <c r="O376" s="135"/>
      <c r="P376" s="189"/>
      <c r="Q376" s="135"/>
      <c r="R376" s="135"/>
      <c r="S376" s="135"/>
      <c r="T376" s="135"/>
      <c r="U376" s="135"/>
      <c r="V376" s="189"/>
      <c r="W376" s="135"/>
      <c r="X376" s="135"/>
      <c r="Y376" s="135"/>
      <c r="Z376" s="135"/>
      <c r="AA376" s="135"/>
      <c r="AB376" s="135"/>
      <c r="AC376" s="135"/>
      <c r="AD376" s="135"/>
    </row>
    <row r="377" customFormat="false" ht="15.75" hidden="false" customHeight="true" outlineLevel="0" collapsed="false">
      <c r="A377" s="135"/>
      <c r="B377" s="135"/>
      <c r="C377" s="135"/>
      <c r="D377" s="135"/>
      <c r="E377" s="182"/>
      <c r="F377" s="135"/>
      <c r="G377" s="135"/>
      <c r="H377" s="135"/>
      <c r="I377" s="135"/>
      <c r="J377" s="135"/>
      <c r="K377" s="135"/>
      <c r="L377" s="135"/>
      <c r="M377" s="182"/>
      <c r="N377" s="135"/>
      <c r="O377" s="135"/>
      <c r="P377" s="189"/>
      <c r="Q377" s="135"/>
      <c r="R377" s="135"/>
      <c r="S377" s="135"/>
      <c r="T377" s="135"/>
      <c r="U377" s="135"/>
      <c r="V377" s="189"/>
      <c r="W377" s="135"/>
      <c r="X377" s="135"/>
      <c r="Y377" s="135"/>
      <c r="Z377" s="135"/>
      <c r="AA377" s="135"/>
      <c r="AB377" s="135"/>
      <c r="AC377" s="135"/>
      <c r="AD377" s="135"/>
    </row>
    <row r="378" customFormat="false" ht="15.75" hidden="false" customHeight="true" outlineLevel="0" collapsed="false">
      <c r="A378" s="135"/>
      <c r="B378" s="135"/>
      <c r="C378" s="135"/>
      <c r="D378" s="135"/>
      <c r="E378" s="182"/>
      <c r="F378" s="135"/>
      <c r="G378" s="135"/>
      <c r="H378" s="135"/>
      <c r="I378" s="135"/>
      <c r="J378" s="135"/>
      <c r="K378" s="135"/>
      <c r="L378" s="135"/>
      <c r="M378" s="182"/>
      <c r="N378" s="135"/>
      <c r="O378" s="135"/>
      <c r="P378" s="189"/>
      <c r="Q378" s="135"/>
      <c r="R378" s="135"/>
      <c r="S378" s="135"/>
      <c r="T378" s="135"/>
      <c r="U378" s="135"/>
      <c r="V378" s="189"/>
      <c r="W378" s="135"/>
      <c r="X378" s="135"/>
      <c r="Y378" s="135"/>
      <c r="Z378" s="135"/>
      <c r="AA378" s="135"/>
      <c r="AB378" s="135"/>
      <c r="AC378" s="135"/>
      <c r="AD378" s="135"/>
    </row>
    <row r="379" customFormat="false" ht="15.75" hidden="false" customHeight="true" outlineLevel="0" collapsed="false">
      <c r="A379" s="135"/>
      <c r="B379" s="135"/>
      <c r="C379" s="135"/>
      <c r="D379" s="135"/>
      <c r="E379" s="182"/>
      <c r="F379" s="135"/>
      <c r="G379" s="135"/>
      <c r="H379" s="135"/>
      <c r="I379" s="135"/>
      <c r="J379" s="135"/>
      <c r="K379" s="135"/>
      <c r="L379" s="135"/>
      <c r="M379" s="182"/>
      <c r="N379" s="135"/>
      <c r="O379" s="135"/>
      <c r="P379" s="189"/>
      <c r="Q379" s="135"/>
      <c r="R379" s="135"/>
      <c r="S379" s="135"/>
      <c r="T379" s="135"/>
      <c r="U379" s="135"/>
      <c r="V379" s="189"/>
      <c r="W379" s="135"/>
      <c r="X379" s="135"/>
      <c r="Y379" s="135"/>
      <c r="Z379" s="135"/>
      <c r="AA379" s="135"/>
      <c r="AB379" s="135"/>
      <c r="AC379" s="135"/>
      <c r="AD379" s="135"/>
    </row>
    <row r="380" customFormat="false" ht="15.75" hidden="false" customHeight="true" outlineLevel="0" collapsed="false">
      <c r="A380" s="135"/>
      <c r="B380" s="135"/>
      <c r="C380" s="135"/>
      <c r="D380" s="135"/>
      <c r="E380" s="182"/>
      <c r="F380" s="135"/>
      <c r="G380" s="135"/>
      <c r="H380" s="135"/>
      <c r="I380" s="135"/>
      <c r="J380" s="135"/>
      <c r="K380" s="135"/>
      <c r="L380" s="135"/>
      <c r="M380" s="182"/>
      <c r="N380" s="135"/>
      <c r="O380" s="135"/>
      <c r="P380" s="189"/>
      <c r="Q380" s="135"/>
      <c r="R380" s="135"/>
      <c r="S380" s="135"/>
      <c r="T380" s="135"/>
      <c r="U380" s="135"/>
      <c r="V380" s="189"/>
      <c r="W380" s="135"/>
      <c r="X380" s="135"/>
      <c r="Y380" s="135"/>
      <c r="Z380" s="135"/>
      <c r="AA380" s="135"/>
      <c r="AB380" s="135"/>
      <c r="AC380" s="135"/>
      <c r="AD380" s="135"/>
    </row>
    <row r="381" customFormat="false" ht="15.75" hidden="false" customHeight="true" outlineLevel="0" collapsed="false">
      <c r="A381" s="135"/>
      <c r="B381" s="135"/>
      <c r="C381" s="135"/>
      <c r="D381" s="135"/>
      <c r="E381" s="182"/>
      <c r="F381" s="135"/>
      <c r="G381" s="135"/>
      <c r="H381" s="135"/>
      <c r="I381" s="135"/>
      <c r="J381" s="135"/>
      <c r="K381" s="135"/>
      <c r="L381" s="135"/>
      <c r="M381" s="182"/>
      <c r="N381" s="135"/>
      <c r="O381" s="135"/>
      <c r="P381" s="189"/>
      <c r="Q381" s="135"/>
      <c r="R381" s="135"/>
      <c r="S381" s="135"/>
      <c r="T381" s="135"/>
      <c r="U381" s="135"/>
      <c r="V381" s="189"/>
      <c r="W381" s="135"/>
      <c r="X381" s="135"/>
      <c r="Y381" s="135"/>
      <c r="Z381" s="135"/>
      <c r="AA381" s="135"/>
      <c r="AB381" s="135"/>
      <c r="AC381" s="135"/>
      <c r="AD381" s="135"/>
    </row>
    <row r="382" customFormat="false" ht="15.75" hidden="false" customHeight="true" outlineLevel="0" collapsed="false">
      <c r="A382" s="135"/>
      <c r="B382" s="135"/>
      <c r="C382" s="135"/>
      <c r="D382" s="135"/>
      <c r="E382" s="182"/>
      <c r="F382" s="135"/>
      <c r="G382" s="135"/>
      <c r="H382" s="135"/>
      <c r="I382" s="135"/>
      <c r="J382" s="135"/>
      <c r="K382" s="135"/>
      <c r="L382" s="135"/>
      <c r="M382" s="182"/>
      <c r="N382" s="135"/>
      <c r="O382" s="135"/>
      <c r="P382" s="189"/>
      <c r="Q382" s="135"/>
      <c r="R382" s="135"/>
      <c r="S382" s="135"/>
      <c r="T382" s="135"/>
      <c r="U382" s="135"/>
      <c r="V382" s="189"/>
      <c r="W382" s="135"/>
      <c r="X382" s="135"/>
      <c r="Y382" s="135"/>
      <c r="Z382" s="135"/>
      <c r="AA382" s="135"/>
      <c r="AB382" s="135"/>
      <c r="AC382" s="135"/>
      <c r="AD382" s="135"/>
    </row>
    <row r="383" customFormat="false" ht="15.75" hidden="false" customHeight="true" outlineLevel="0" collapsed="false">
      <c r="A383" s="135"/>
      <c r="B383" s="135"/>
      <c r="C383" s="135"/>
      <c r="D383" s="135"/>
      <c r="E383" s="182"/>
      <c r="F383" s="135"/>
      <c r="G383" s="135"/>
      <c r="H383" s="135"/>
      <c r="I383" s="135"/>
      <c r="J383" s="135"/>
      <c r="K383" s="135"/>
      <c r="L383" s="135"/>
      <c r="M383" s="182"/>
      <c r="N383" s="135"/>
      <c r="O383" s="135"/>
      <c r="P383" s="189"/>
      <c r="Q383" s="135"/>
      <c r="R383" s="135"/>
      <c r="S383" s="135"/>
      <c r="T383" s="135"/>
      <c r="U383" s="135"/>
      <c r="V383" s="189"/>
      <c r="W383" s="135"/>
      <c r="X383" s="135"/>
      <c r="Y383" s="135"/>
      <c r="Z383" s="135"/>
      <c r="AA383" s="135"/>
      <c r="AB383" s="135"/>
      <c r="AC383" s="135"/>
      <c r="AD383" s="135"/>
    </row>
    <row r="384" customFormat="false" ht="15.75" hidden="false" customHeight="true" outlineLevel="0" collapsed="false">
      <c r="A384" s="135"/>
      <c r="B384" s="135"/>
      <c r="C384" s="135"/>
      <c r="D384" s="135"/>
      <c r="E384" s="182"/>
      <c r="F384" s="135"/>
      <c r="G384" s="135"/>
      <c r="H384" s="135"/>
      <c r="I384" s="135"/>
      <c r="J384" s="135"/>
      <c r="K384" s="135"/>
      <c r="L384" s="135"/>
      <c r="M384" s="182"/>
      <c r="N384" s="135"/>
      <c r="O384" s="135"/>
      <c r="P384" s="189"/>
      <c r="Q384" s="135"/>
      <c r="R384" s="135"/>
      <c r="S384" s="135"/>
      <c r="T384" s="135"/>
      <c r="U384" s="135"/>
      <c r="V384" s="189"/>
      <c r="W384" s="135"/>
      <c r="X384" s="135"/>
      <c r="Y384" s="135"/>
      <c r="Z384" s="135"/>
      <c r="AA384" s="135"/>
      <c r="AB384" s="135"/>
      <c r="AC384" s="135"/>
      <c r="AD384" s="135"/>
    </row>
    <row r="385" customFormat="false" ht="15.75" hidden="false" customHeight="true" outlineLevel="0" collapsed="false">
      <c r="A385" s="135"/>
      <c r="B385" s="135"/>
      <c r="C385" s="135"/>
      <c r="D385" s="135"/>
      <c r="E385" s="182"/>
      <c r="F385" s="135"/>
      <c r="G385" s="135"/>
      <c r="H385" s="135"/>
      <c r="I385" s="135"/>
      <c r="J385" s="135"/>
      <c r="K385" s="135"/>
      <c r="L385" s="135"/>
      <c r="M385" s="182"/>
      <c r="N385" s="135"/>
      <c r="O385" s="135"/>
      <c r="P385" s="189"/>
      <c r="Q385" s="135"/>
      <c r="R385" s="135"/>
      <c r="S385" s="135"/>
      <c r="T385" s="135"/>
      <c r="U385" s="135"/>
      <c r="V385" s="189"/>
      <c r="W385" s="135"/>
      <c r="X385" s="135"/>
      <c r="Y385" s="135"/>
      <c r="Z385" s="135"/>
      <c r="AA385" s="135"/>
      <c r="AB385" s="135"/>
      <c r="AC385" s="135"/>
      <c r="AD385" s="135"/>
    </row>
    <row r="386" customFormat="false" ht="15.75" hidden="false" customHeight="true" outlineLevel="0" collapsed="false">
      <c r="A386" s="135"/>
      <c r="B386" s="135"/>
      <c r="C386" s="135"/>
      <c r="D386" s="135"/>
      <c r="E386" s="182"/>
      <c r="F386" s="135"/>
      <c r="G386" s="135"/>
      <c r="H386" s="135"/>
      <c r="I386" s="135"/>
      <c r="J386" s="135"/>
      <c r="K386" s="135"/>
      <c r="L386" s="135"/>
      <c r="M386" s="182"/>
      <c r="N386" s="135"/>
      <c r="O386" s="135"/>
      <c r="P386" s="189"/>
      <c r="Q386" s="135"/>
      <c r="R386" s="135"/>
      <c r="S386" s="135"/>
      <c r="T386" s="135"/>
      <c r="U386" s="135"/>
      <c r="V386" s="189"/>
      <c r="W386" s="135"/>
      <c r="X386" s="135"/>
      <c r="Y386" s="135"/>
      <c r="Z386" s="135"/>
      <c r="AA386" s="135"/>
      <c r="AB386" s="135"/>
      <c r="AC386" s="135"/>
      <c r="AD386" s="135"/>
    </row>
    <row r="387" customFormat="false" ht="15.75" hidden="false" customHeight="true" outlineLevel="0" collapsed="false">
      <c r="A387" s="135"/>
      <c r="B387" s="135"/>
      <c r="C387" s="135"/>
      <c r="D387" s="135"/>
      <c r="E387" s="182"/>
      <c r="F387" s="135"/>
      <c r="G387" s="135"/>
      <c r="H387" s="135"/>
      <c r="I387" s="135"/>
      <c r="J387" s="135"/>
      <c r="K387" s="135"/>
      <c r="L387" s="135"/>
      <c r="M387" s="182"/>
      <c r="N387" s="135"/>
      <c r="O387" s="135"/>
      <c r="P387" s="189"/>
      <c r="Q387" s="135"/>
      <c r="R387" s="135"/>
      <c r="S387" s="135"/>
      <c r="T387" s="135"/>
      <c r="U387" s="135"/>
      <c r="V387" s="189"/>
      <c r="W387" s="135"/>
      <c r="X387" s="135"/>
      <c r="Y387" s="135"/>
      <c r="Z387" s="135"/>
      <c r="AA387" s="135"/>
      <c r="AB387" s="135"/>
      <c r="AC387" s="135"/>
      <c r="AD387" s="135"/>
    </row>
    <row r="388" customFormat="false" ht="15.75" hidden="false" customHeight="true" outlineLevel="0" collapsed="false">
      <c r="A388" s="135"/>
      <c r="B388" s="135"/>
      <c r="C388" s="135"/>
      <c r="D388" s="135"/>
      <c r="E388" s="182"/>
      <c r="F388" s="135"/>
      <c r="G388" s="135"/>
      <c r="H388" s="135"/>
      <c r="I388" s="135"/>
      <c r="J388" s="135"/>
      <c r="K388" s="135"/>
      <c r="L388" s="135"/>
      <c r="M388" s="182"/>
      <c r="N388" s="135"/>
      <c r="O388" s="135"/>
      <c r="P388" s="189"/>
      <c r="Q388" s="135"/>
      <c r="R388" s="135"/>
      <c r="S388" s="135"/>
      <c r="T388" s="135"/>
      <c r="U388" s="135"/>
      <c r="V388" s="189"/>
      <c r="W388" s="135"/>
      <c r="X388" s="135"/>
      <c r="Y388" s="135"/>
      <c r="Z388" s="135"/>
      <c r="AA388" s="135"/>
      <c r="AB388" s="135"/>
      <c r="AC388" s="135"/>
      <c r="AD388" s="135"/>
    </row>
    <row r="389" customFormat="false" ht="15.75" hidden="false" customHeight="true" outlineLevel="0" collapsed="false">
      <c r="A389" s="135"/>
      <c r="B389" s="135"/>
      <c r="C389" s="135"/>
      <c r="D389" s="135"/>
      <c r="E389" s="182"/>
      <c r="F389" s="135"/>
      <c r="G389" s="135"/>
      <c r="H389" s="135"/>
      <c r="I389" s="135"/>
      <c r="J389" s="135"/>
      <c r="K389" s="135"/>
      <c r="L389" s="135"/>
      <c r="M389" s="182"/>
      <c r="N389" s="135"/>
      <c r="O389" s="135"/>
      <c r="P389" s="189"/>
      <c r="Q389" s="135"/>
      <c r="R389" s="135"/>
      <c r="S389" s="135"/>
      <c r="T389" s="135"/>
      <c r="U389" s="135"/>
      <c r="V389" s="189"/>
      <c r="W389" s="135"/>
      <c r="X389" s="135"/>
      <c r="Y389" s="135"/>
      <c r="Z389" s="135"/>
      <c r="AA389" s="135"/>
      <c r="AB389" s="135"/>
      <c r="AC389" s="135"/>
      <c r="AD389" s="135"/>
    </row>
    <row r="390" customFormat="false" ht="15.75" hidden="false" customHeight="true" outlineLevel="0" collapsed="false">
      <c r="A390" s="135"/>
      <c r="B390" s="135"/>
      <c r="C390" s="135"/>
      <c r="D390" s="135"/>
      <c r="E390" s="182"/>
      <c r="F390" s="135"/>
      <c r="G390" s="135"/>
      <c r="H390" s="135"/>
      <c r="I390" s="135"/>
      <c r="J390" s="135"/>
      <c r="K390" s="135"/>
      <c r="L390" s="135"/>
      <c r="M390" s="182"/>
      <c r="N390" s="135"/>
      <c r="O390" s="135"/>
      <c r="P390" s="189"/>
      <c r="Q390" s="135"/>
      <c r="R390" s="135"/>
      <c r="S390" s="135"/>
      <c r="T390" s="135"/>
      <c r="U390" s="135"/>
      <c r="V390" s="189"/>
      <c r="W390" s="135"/>
      <c r="X390" s="135"/>
      <c r="Y390" s="135"/>
      <c r="Z390" s="135"/>
      <c r="AA390" s="135"/>
      <c r="AB390" s="135"/>
      <c r="AC390" s="135"/>
      <c r="AD390" s="135"/>
    </row>
    <row r="391" customFormat="false" ht="15.75" hidden="false" customHeight="true" outlineLevel="0" collapsed="false">
      <c r="A391" s="135"/>
      <c r="B391" s="135"/>
      <c r="C391" s="135"/>
      <c r="D391" s="135"/>
      <c r="E391" s="182"/>
      <c r="F391" s="135"/>
      <c r="G391" s="135"/>
      <c r="H391" s="135"/>
      <c r="I391" s="135"/>
      <c r="J391" s="135"/>
      <c r="K391" s="135"/>
      <c r="L391" s="135"/>
      <c r="M391" s="182"/>
      <c r="N391" s="135"/>
      <c r="O391" s="135"/>
      <c r="P391" s="189"/>
      <c r="Q391" s="135"/>
      <c r="R391" s="135"/>
      <c r="S391" s="135"/>
      <c r="T391" s="135"/>
      <c r="U391" s="135"/>
      <c r="V391" s="189"/>
      <c r="W391" s="135"/>
      <c r="X391" s="135"/>
      <c r="Y391" s="135"/>
      <c r="Z391" s="135"/>
      <c r="AA391" s="135"/>
      <c r="AB391" s="135"/>
      <c r="AC391" s="135"/>
      <c r="AD391" s="135"/>
    </row>
    <row r="392" customFormat="false" ht="15.75" hidden="false" customHeight="true" outlineLevel="0" collapsed="false">
      <c r="A392" s="135"/>
      <c r="B392" s="135"/>
      <c r="C392" s="135"/>
      <c r="D392" s="135"/>
      <c r="E392" s="182"/>
      <c r="F392" s="135"/>
      <c r="G392" s="135"/>
      <c r="H392" s="135"/>
      <c r="I392" s="135"/>
      <c r="J392" s="135"/>
      <c r="K392" s="135"/>
      <c r="L392" s="135"/>
      <c r="M392" s="182"/>
      <c r="N392" s="135"/>
      <c r="O392" s="135"/>
      <c r="P392" s="189"/>
      <c r="Q392" s="135"/>
      <c r="R392" s="135"/>
      <c r="S392" s="135"/>
      <c r="T392" s="135"/>
      <c r="U392" s="135"/>
      <c r="V392" s="189"/>
      <c r="W392" s="135"/>
      <c r="X392" s="135"/>
      <c r="Y392" s="135"/>
      <c r="Z392" s="135"/>
      <c r="AA392" s="135"/>
      <c r="AB392" s="135"/>
      <c r="AC392" s="135"/>
      <c r="AD392" s="135"/>
    </row>
    <row r="393" customFormat="false" ht="15.75" hidden="false" customHeight="true" outlineLevel="0" collapsed="false">
      <c r="A393" s="135"/>
      <c r="B393" s="135"/>
      <c r="C393" s="135"/>
      <c r="D393" s="135"/>
      <c r="E393" s="182"/>
      <c r="F393" s="135"/>
      <c r="G393" s="135"/>
      <c r="H393" s="135"/>
      <c r="I393" s="135"/>
      <c r="J393" s="135"/>
      <c r="K393" s="135"/>
      <c r="L393" s="135"/>
      <c r="M393" s="182"/>
      <c r="N393" s="135"/>
      <c r="O393" s="135"/>
      <c r="P393" s="189"/>
      <c r="Q393" s="135"/>
      <c r="R393" s="135"/>
      <c r="S393" s="135"/>
      <c r="T393" s="135"/>
      <c r="U393" s="135"/>
      <c r="V393" s="189"/>
      <c r="W393" s="135"/>
      <c r="X393" s="135"/>
      <c r="Y393" s="135"/>
      <c r="Z393" s="135"/>
      <c r="AA393" s="135"/>
      <c r="AB393" s="135"/>
      <c r="AC393" s="135"/>
      <c r="AD393" s="135"/>
    </row>
    <row r="394" customFormat="false" ht="15.75" hidden="false" customHeight="true" outlineLevel="0" collapsed="false">
      <c r="A394" s="135"/>
      <c r="B394" s="135"/>
      <c r="C394" s="135"/>
      <c r="D394" s="135"/>
      <c r="E394" s="182"/>
      <c r="F394" s="135"/>
      <c r="G394" s="135"/>
      <c r="H394" s="135"/>
      <c r="I394" s="135"/>
      <c r="J394" s="135"/>
      <c r="K394" s="135"/>
      <c r="L394" s="135"/>
      <c r="M394" s="182"/>
      <c r="N394" s="135"/>
      <c r="O394" s="135"/>
      <c r="P394" s="189"/>
      <c r="Q394" s="135"/>
      <c r="R394" s="135"/>
      <c r="S394" s="135"/>
      <c r="T394" s="135"/>
      <c r="U394" s="135"/>
      <c r="V394" s="189"/>
      <c r="W394" s="135"/>
      <c r="X394" s="135"/>
      <c r="Y394" s="135"/>
      <c r="Z394" s="135"/>
      <c r="AA394" s="135"/>
      <c r="AB394" s="135"/>
      <c r="AC394" s="135"/>
      <c r="AD394" s="135"/>
    </row>
    <row r="395" customFormat="false" ht="15.75" hidden="false" customHeight="true" outlineLevel="0" collapsed="false">
      <c r="A395" s="135"/>
      <c r="B395" s="135"/>
      <c r="C395" s="135"/>
      <c r="D395" s="135"/>
      <c r="E395" s="182"/>
      <c r="F395" s="135"/>
      <c r="G395" s="135"/>
      <c r="H395" s="135"/>
      <c r="I395" s="135"/>
      <c r="J395" s="135"/>
      <c r="K395" s="135"/>
      <c r="L395" s="135"/>
      <c r="M395" s="182"/>
      <c r="N395" s="135"/>
      <c r="O395" s="135"/>
      <c r="P395" s="189"/>
      <c r="Q395" s="135"/>
      <c r="R395" s="135"/>
      <c r="S395" s="135"/>
      <c r="T395" s="135"/>
      <c r="U395" s="135"/>
      <c r="V395" s="189"/>
      <c r="W395" s="135"/>
      <c r="X395" s="135"/>
      <c r="Y395" s="135"/>
      <c r="Z395" s="135"/>
      <c r="AA395" s="135"/>
      <c r="AB395" s="135"/>
      <c r="AC395" s="135"/>
      <c r="AD395" s="135"/>
    </row>
    <row r="396" customFormat="false" ht="15.75" hidden="false" customHeight="true" outlineLevel="0" collapsed="false">
      <c r="A396" s="135"/>
      <c r="B396" s="135"/>
      <c r="C396" s="135"/>
      <c r="D396" s="135"/>
      <c r="E396" s="182"/>
      <c r="F396" s="135"/>
      <c r="G396" s="135"/>
      <c r="H396" s="135"/>
      <c r="I396" s="135"/>
      <c r="J396" s="135"/>
      <c r="K396" s="135"/>
      <c r="L396" s="135"/>
      <c r="M396" s="182"/>
      <c r="N396" s="135"/>
      <c r="O396" s="135"/>
      <c r="P396" s="189"/>
      <c r="Q396" s="135"/>
      <c r="R396" s="135"/>
      <c r="S396" s="135"/>
      <c r="T396" s="135"/>
      <c r="U396" s="135"/>
      <c r="V396" s="189"/>
      <c r="W396" s="135"/>
      <c r="X396" s="135"/>
      <c r="Y396" s="135"/>
      <c r="Z396" s="135"/>
      <c r="AA396" s="135"/>
      <c r="AB396" s="135"/>
      <c r="AC396" s="135"/>
      <c r="AD396" s="135"/>
    </row>
    <row r="397" customFormat="false" ht="15.75" hidden="false" customHeight="true" outlineLevel="0" collapsed="false">
      <c r="A397" s="135"/>
      <c r="B397" s="135"/>
      <c r="C397" s="135"/>
      <c r="D397" s="135"/>
      <c r="E397" s="182"/>
      <c r="F397" s="135"/>
      <c r="G397" s="135"/>
      <c r="H397" s="135"/>
      <c r="I397" s="135"/>
      <c r="J397" s="135"/>
      <c r="K397" s="135"/>
      <c r="L397" s="135"/>
      <c r="M397" s="182"/>
      <c r="N397" s="135"/>
      <c r="O397" s="135"/>
      <c r="P397" s="189"/>
      <c r="Q397" s="135"/>
      <c r="R397" s="135"/>
      <c r="S397" s="135"/>
      <c r="T397" s="135"/>
      <c r="U397" s="135"/>
      <c r="V397" s="189"/>
      <c r="W397" s="135"/>
      <c r="X397" s="135"/>
      <c r="Y397" s="135"/>
      <c r="Z397" s="135"/>
      <c r="AA397" s="135"/>
      <c r="AB397" s="135"/>
      <c r="AC397" s="135"/>
      <c r="AD397" s="135"/>
    </row>
    <row r="398" customFormat="false" ht="15.75" hidden="false" customHeight="true" outlineLevel="0" collapsed="false">
      <c r="A398" s="135"/>
      <c r="B398" s="135"/>
      <c r="C398" s="135"/>
      <c r="D398" s="135"/>
      <c r="E398" s="182"/>
      <c r="F398" s="135"/>
      <c r="G398" s="135"/>
      <c r="H398" s="135"/>
      <c r="I398" s="135"/>
      <c r="J398" s="135"/>
      <c r="K398" s="135"/>
      <c r="L398" s="135"/>
      <c r="M398" s="182"/>
      <c r="N398" s="135"/>
      <c r="O398" s="135"/>
      <c r="P398" s="189"/>
      <c r="Q398" s="135"/>
      <c r="R398" s="135"/>
      <c r="S398" s="135"/>
      <c r="T398" s="135"/>
      <c r="U398" s="135"/>
      <c r="V398" s="189"/>
      <c r="W398" s="135"/>
      <c r="X398" s="135"/>
      <c r="Y398" s="135"/>
      <c r="Z398" s="135"/>
      <c r="AA398" s="135"/>
      <c r="AB398" s="135"/>
      <c r="AC398" s="135"/>
      <c r="AD398" s="135"/>
    </row>
    <row r="399" customFormat="false" ht="15.75" hidden="false" customHeight="true" outlineLevel="0" collapsed="false">
      <c r="A399" s="135"/>
      <c r="B399" s="135"/>
      <c r="C399" s="135"/>
      <c r="D399" s="135"/>
      <c r="E399" s="182"/>
      <c r="F399" s="135"/>
      <c r="G399" s="135"/>
      <c r="H399" s="135"/>
      <c r="I399" s="135"/>
      <c r="J399" s="135"/>
      <c r="K399" s="135"/>
      <c r="L399" s="135"/>
      <c r="M399" s="182"/>
      <c r="N399" s="135"/>
      <c r="O399" s="135"/>
      <c r="P399" s="189"/>
      <c r="Q399" s="135"/>
      <c r="R399" s="135"/>
      <c r="S399" s="135"/>
      <c r="T399" s="135"/>
      <c r="U399" s="135"/>
      <c r="V399" s="189"/>
      <c r="W399" s="135"/>
      <c r="X399" s="135"/>
      <c r="Y399" s="135"/>
      <c r="Z399" s="135"/>
      <c r="AA399" s="135"/>
      <c r="AB399" s="135"/>
      <c r="AC399" s="135"/>
      <c r="AD399" s="135"/>
    </row>
    <row r="400" customFormat="false" ht="15.75" hidden="false" customHeight="true" outlineLevel="0" collapsed="false">
      <c r="A400" s="135"/>
      <c r="B400" s="135"/>
      <c r="C400" s="135"/>
      <c r="D400" s="135"/>
      <c r="E400" s="182"/>
      <c r="F400" s="135"/>
      <c r="G400" s="135"/>
      <c r="H400" s="135"/>
      <c r="I400" s="135"/>
      <c r="J400" s="135"/>
      <c r="K400" s="135"/>
      <c r="L400" s="135"/>
      <c r="M400" s="182"/>
      <c r="N400" s="135"/>
      <c r="O400" s="135"/>
      <c r="P400" s="189"/>
      <c r="Q400" s="135"/>
      <c r="R400" s="135"/>
      <c r="S400" s="135"/>
      <c r="T400" s="135"/>
      <c r="U400" s="135"/>
      <c r="V400" s="189"/>
      <c r="W400" s="135"/>
      <c r="X400" s="135"/>
      <c r="Y400" s="135"/>
      <c r="Z400" s="135"/>
      <c r="AA400" s="135"/>
      <c r="AB400" s="135"/>
      <c r="AC400" s="135"/>
      <c r="AD400" s="135"/>
    </row>
    <row r="401" customFormat="false" ht="15.75" hidden="false" customHeight="true" outlineLevel="0" collapsed="false">
      <c r="A401" s="135"/>
      <c r="B401" s="135"/>
      <c r="C401" s="135"/>
      <c r="D401" s="135"/>
      <c r="E401" s="182"/>
      <c r="F401" s="135"/>
      <c r="G401" s="135"/>
      <c r="H401" s="135"/>
      <c r="I401" s="135"/>
      <c r="J401" s="135"/>
      <c r="K401" s="135"/>
      <c r="L401" s="135"/>
      <c r="M401" s="182"/>
      <c r="N401" s="135"/>
      <c r="O401" s="135"/>
      <c r="P401" s="189"/>
      <c r="Q401" s="135"/>
      <c r="R401" s="135"/>
      <c r="S401" s="135"/>
      <c r="T401" s="135"/>
      <c r="U401" s="135"/>
      <c r="V401" s="189"/>
      <c r="W401" s="135"/>
      <c r="X401" s="135"/>
      <c r="Y401" s="135"/>
      <c r="Z401" s="135"/>
      <c r="AA401" s="135"/>
      <c r="AB401" s="135"/>
      <c r="AC401" s="135"/>
      <c r="AD401" s="135"/>
    </row>
    <row r="402" customFormat="false" ht="15.75" hidden="false" customHeight="true" outlineLevel="0" collapsed="false">
      <c r="A402" s="135"/>
      <c r="B402" s="135"/>
      <c r="C402" s="135"/>
      <c r="D402" s="135"/>
      <c r="E402" s="182"/>
      <c r="F402" s="135"/>
      <c r="G402" s="135"/>
      <c r="H402" s="135"/>
      <c r="I402" s="135"/>
      <c r="J402" s="135"/>
      <c r="K402" s="135"/>
      <c r="L402" s="135"/>
      <c r="M402" s="182"/>
      <c r="N402" s="135"/>
      <c r="O402" s="135"/>
      <c r="P402" s="189"/>
      <c r="Q402" s="135"/>
      <c r="R402" s="135"/>
      <c r="S402" s="135"/>
      <c r="T402" s="135"/>
      <c r="U402" s="135"/>
      <c r="V402" s="189"/>
      <c r="W402" s="135"/>
      <c r="X402" s="135"/>
      <c r="Y402" s="135"/>
      <c r="Z402" s="135"/>
      <c r="AA402" s="135"/>
      <c r="AB402" s="135"/>
      <c r="AC402" s="135"/>
      <c r="AD402" s="135"/>
    </row>
    <row r="403" customFormat="false" ht="15.75" hidden="false" customHeight="true" outlineLevel="0" collapsed="false">
      <c r="A403" s="135"/>
      <c r="B403" s="135"/>
      <c r="C403" s="135"/>
      <c r="D403" s="135"/>
      <c r="E403" s="182"/>
      <c r="F403" s="135"/>
      <c r="G403" s="135"/>
      <c r="H403" s="135"/>
      <c r="I403" s="135"/>
      <c r="J403" s="135"/>
      <c r="K403" s="135"/>
      <c r="L403" s="135"/>
      <c r="M403" s="182"/>
      <c r="N403" s="135"/>
      <c r="O403" s="135"/>
      <c r="P403" s="189"/>
      <c r="Q403" s="135"/>
      <c r="R403" s="135"/>
      <c r="S403" s="135"/>
      <c r="T403" s="135"/>
      <c r="U403" s="135"/>
      <c r="V403" s="189"/>
      <c r="W403" s="135"/>
      <c r="X403" s="135"/>
      <c r="Y403" s="135"/>
      <c r="Z403" s="135"/>
      <c r="AA403" s="135"/>
      <c r="AB403" s="135"/>
      <c r="AC403" s="135"/>
      <c r="AD403" s="135"/>
    </row>
    <row r="404" customFormat="false" ht="15.75" hidden="false" customHeight="true" outlineLevel="0" collapsed="false">
      <c r="A404" s="135"/>
      <c r="B404" s="135"/>
      <c r="C404" s="135"/>
      <c r="D404" s="135"/>
      <c r="E404" s="182"/>
      <c r="F404" s="135"/>
      <c r="G404" s="135"/>
      <c r="H404" s="135"/>
      <c r="I404" s="135"/>
      <c r="J404" s="135"/>
      <c r="K404" s="135"/>
      <c r="L404" s="135"/>
      <c r="M404" s="182"/>
      <c r="N404" s="135"/>
      <c r="O404" s="135"/>
      <c r="P404" s="189"/>
      <c r="Q404" s="135"/>
      <c r="R404" s="135"/>
      <c r="S404" s="135"/>
      <c r="T404" s="135"/>
      <c r="U404" s="135"/>
      <c r="V404" s="189"/>
      <c r="W404" s="135"/>
      <c r="X404" s="135"/>
      <c r="Y404" s="135"/>
      <c r="Z404" s="135"/>
      <c r="AA404" s="135"/>
      <c r="AB404" s="135"/>
      <c r="AC404" s="135"/>
      <c r="AD404" s="135"/>
    </row>
    <row r="405" customFormat="false" ht="15.75" hidden="false" customHeight="true" outlineLevel="0" collapsed="false">
      <c r="A405" s="135"/>
      <c r="B405" s="135"/>
      <c r="C405" s="135"/>
      <c r="D405" s="135"/>
      <c r="E405" s="182"/>
      <c r="F405" s="135"/>
      <c r="G405" s="135"/>
      <c r="H405" s="135"/>
      <c r="I405" s="135"/>
      <c r="J405" s="135"/>
      <c r="K405" s="135"/>
      <c r="L405" s="135"/>
      <c r="M405" s="182"/>
      <c r="N405" s="135"/>
      <c r="O405" s="135"/>
      <c r="P405" s="189"/>
      <c r="Q405" s="135"/>
      <c r="R405" s="135"/>
      <c r="S405" s="135"/>
      <c r="T405" s="135"/>
      <c r="U405" s="135"/>
      <c r="V405" s="189"/>
      <c r="W405" s="135"/>
      <c r="X405" s="135"/>
      <c r="Y405" s="135"/>
      <c r="Z405" s="135"/>
      <c r="AA405" s="135"/>
      <c r="AB405" s="135"/>
      <c r="AC405" s="135"/>
      <c r="AD405" s="135"/>
    </row>
    <row r="406" customFormat="false" ht="15.75" hidden="false" customHeight="true" outlineLevel="0" collapsed="false">
      <c r="A406" s="135"/>
      <c r="B406" s="135"/>
      <c r="C406" s="135"/>
      <c r="D406" s="135"/>
      <c r="E406" s="182"/>
      <c r="F406" s="135"/>
      <c r="G406" s="135"/>
      <c r="H406" s="135"/>
      <c r="I406" s="135"/>
      <c r="J406" s="135"/>
      <c r="K406" s="135"/>
      <c r="L406" s="135"/>
      <c r="M406" s="182"/>
      <c r="N406" s="135"/>
      <c r="O406" s="135"/>
      <c r="P406" s="189"/>
      <c r="Q406" s="135"/>
      <c r="R406" s="135"/>
      <c r="S406" s="135"/>
      <c r="T406" s="135"/>
      <c r="U406" s="135"/>
      <c r="V406" s="189"/>
      <c r="W406" s="135"/>
      <c r="X406" s="135"/>
      <c r="Y406" s="135"/>
      <c r="Z406" s="135"/>
      <c r="AA406" s="135"/>
      <c r="AB406" s="135"/>
      <c r="AC406" s="135"/>
      <c r="AD406" s="135"/>
    </row>
    <row r="407" customFormat="false" ht="15.75" hidden="false" customHeight="true" outlineLevel="0" collapsed="false">
      <c r="A407" s="135"/>
      <c r="B407" s="135"/>
      <c r="C407" s="135"/>
      <c r="D407" s="135"/>
      <c r="E407" s="182"/>
      <c r="F407" s="135"/>
      <c r="G407" s="135"/>
      <c r="H407" s="135"/>
      <c r="I407" s="135"/>
      <c r="J407" s="135"/>
      <c r="K407" s="135"/>
      <c r="L407" s="135"/>
      <c r="M407" s="182"/>
      <c r="N407" s="135"/>
      <c r="O407" s="135"/>
      <c r="P407" s="189"/>
      <c r="Q407" s="135"/>
      <c r="R407" s="135"/>
      <c r="S407" s="135"/>
      <c r="T407" s="135"/>
      <c r="U407" s="135"/>
      <c r="V407" s="189"/>
      <c r="W407" s="135"/>
      <c r="X407" s="135"/>
      <c r="Y407" s="135"/>
      <c r="Z407" s="135"/>
      <c r="AA407" s="135"/>
      <c r="AB407" s="135"/>
      <c r="AC407" s="135"/>
      <c r="AD407" s="135"/>
    </row>
    <row r="408" customFormat="false" ht="15.75" hidden="false" customHeight="true" outlineLevel="0" collapsed="false">
      <c r="A408" s="135"/>
      <c r="B408" s="135"/>
      <c r="C408" s="135"/>
      <c r="D408" s="135"/>
      <c r="E408" s="182"/>
      <c r="F408" s="135"/>
      <c r="G408" s="135"/>
      <c r="H408" s="135"/>
      <c r="I408" s="135"/>
      <c r="J408" s="135"/>
      <c r="K408" s="135"/>
      <c r="L408" s="135"/>
      <c r="M408" s="182"/>
      <c r="N408" s="135"/>
      <c r="O408" s="135"/>
      <c r="P408" s="189"/>
      <c r="Q408" s="135"/>
      <c r="R408" s="135"/>
      <c r="S408" s="135"/>
      <c r="T408" s="135"/>
      <c r="U408" s="135"/>
      <c r="V408" s="189"/>
      <c r="W408" s="135"/>
      <c r="X408" s="135"/>
      <c r="Y408" s="135"/>
      <c r="Z408" s="135"/>
      <c r="AA408" s="135"/>
      <c r="AB408" s="135"/>
      <c r="AC408" s="135"/>
      <c r="AD408" s="135"/>
    </row>
    <row r="409" customFormat="false" ht="15.75" hidden="false" customHeight="true" outlineLevel="0" collapsed="false">
      <c r="A409" s="135"/>
      <c r="B409" s="135"/>
      <c r="C409" s="135"/>
      <c r="D409" s="135"/>
      <c r="E409" s="182"/>
      <c r="F409" s="135"/>
      <c r="G409" s="135"/>
      <c r="H409" s="135"/>
      <c r="I409" s="135"/>
      <c r="J409" s="135"/>
      <c r="K409" s="135"/>
      <c r="L409" s="135"/>
      <c r="M409" s="182"/>
      <c r="N409" s="135"/>
      <c r="O409" s="135"/>
      <c r="P409" s="189"/>
      <c r="Q409" s="135"/>
      <c r="R409" s="135"/>
      <c r="S409" s="135"/>
      <c r="T409" s="135"/>
      <c r="U409" s="135"/>
      <c r="V409" s="189"/>
      <c r="W409" s="135"/>
      <c r="X409" s="135"/>
      <c r="Y409" s="135"/>
      <c r="Z409" s="135"/>
      <c r="AA409" s="135"/>
      <c r="AB409" s="135"/>
      <c r="AC409" s="135"/>
      <c r="AD409" s="135"/>
    </row>
    <row r="410" customFormat="false" ht="15.75" hidden="false" customHeight="true" outlineLevel="0" collapsed="false">
      <c r="A410" s="135"/>
      <c r="B410" s="135"/>
      <c r="C410" s="135"/>
      <c r="D410" s="135"/>
      <c r="E410" s="182"/>
      <c r="F410" s="135"/>
      <c r="G410" s="135"/>
      <c r="H410" s="135"/>
      <c r="I410" s="135"/>
      <c r="J410" s="135"/>
      <c r="K410" s="135"/>
      <c r="L410" s="135"/>
      <c r="M410" s="182"/>
      <c r="N410" s="135"/>
      <c r="O410" s="135"/>
      <c r="P410" s="189"/>
      <c r="Q410" s="135"/>
      <c r="R410" s="135"/>
      <c r="S410" s="135"/>
      <c r="T410" s="135"/>
      <c r="U410" s="135"/>
      <c r="V410" s="189"/>
      <c r="W410" s="135"/>
      <c r="X410" s="135"/>
      <c r="Y410" s="135"/>
      <c r="Z410" s="135"/>
      <c r="AA410" s="135"/>
      <c r="AB410" s="135"/>
      <c r="AC410" s="135"/>
      <c r="AD410" s="135"/>
    </row>
    <row r="411" customFormat="false" ht="15.75" hidden="false" customHeight="true" outlineLevel="0" collapsed="false">
      <c r="A411" s="135"/>
      <c r="B411" s="135"/>
      <c r="C411" s="135"/>
      <c r="D411" s="135"/>
      <c r="E411" s="182"/>
      <c r="F411" s="135"/>
      <c r="G411" s="135"/>
      <c r="H411" s="135"/>
      <c r="I411" s="135"/>
      <c r="J411" s="135"/>
      <c r="K411" s="135"/>
      <c r="L411" s="135"/>
      <c r="M411" s="182"/>
      <c r="N411" s="135"/>
      <c r="O411" s="135"/>
      <c r="P411" s="189"/>
      <c r="Q411" s="135"/>
      <c r="R411" s="135"/>
      <c r="S411" s="135"/>
      <c r="T411" s="135"/>
      <c r="U411" s="135"/>
      <c r="V411" s="189"/>
      <c r="W411" s="135"/>
      <c r="X411" s="135"/>
      <c r="Y411" s="135"/>
      <c r="Z411" s="135"/>
      <c r="AA411" s="135"/>
      <c r="AB411" s="135"/>
      <c r="AC411" s="135"/>
      <c r="AD411" s="135"/>
    </row>
    <row r="412" customFormat="false" ht="15.75" hidden="false" customHeight="true" outlineLevel="0" collapsed="false">
      <c r="A412" s="135"/>
      <c r="B412" s="135"/>
      <c r="C412" s="135"/>
      <c r="D412" s="135"/>
      <c r="E412" s="182"/>
      <c r="F412" s="135"/>
      <c r="G412" s="135"/>
      <c r="H412" s="135"/>
      <c r="I412" s="135"/>
      <c r="J412" s="135"/>
      <c r="K412" s="135"/>
      <c r="L412" s="135"/>
      <c r="M412" s="182"/>
      <c r="N412" s="135"/>
      <c r="O412" s="135"/>
      <c r="P412" s="189"/>
      <c r="Q412" s="135"/>
      <c r="R412" s="135"/>
      <c r="S412" s="135"/>
      <c r="T412" s="135"/>
      <c r="U412" s="135"/>
      <c r="V412" s="189"/>
      <c r="W412" s="135"/>
      <c r="X412" s="135"/>
      <c r="Y412" s="135"/>
      <c r="Z412" s="135"/>
      <c r="AA412" s="135"/>
      <c r="AB412" s="135"/>
      <c r="AC412" s="135"/>
      <c r="AD412" s="135"/>
    </row>
    <row r="413" customFormat="false" ht="15.75" hidden="false" customHeight="true" outlineLevel="0" collapsed="false">
      <c r="A413" s="135"/>
      <c r="B413" s="135"/>
      <c r="C413" s="135"/>
      <c r="D413" s="135"/>
      <c r="E413" s="182"/>
      <c r="F413" s="135"/>
      <c r="G413" s="135"/>
      <c r="H413" s="135"/>
      <c r="I413" s="135"/>
      <c r="J413" s="135"/>
      <c r="K413" s="135"/>
      <c r="L413" s="135"/>
      <c r="M413" s="182"/>
      <c r="N413" s="135"/>
      <c r="O413" s="135"/>
      <c r="P413" s="189"/>
      <c r="Q413" s="135"/>
      <c r="R413" s="135"/>
      <c r="S413" s="135"/>
      <c r="T413" s="135"/>
      <c r="U413" s="135"/>
      <c r="V413" s="189"/>
      <c r="W413" s="135"/>
      <c r="X413" s="135"/>
      <c r="Y413" s="135"/>
      <c r="Z413" s="135"/>
      <c r="AA413" s="135"/>
      <c r="AB413" s="135"/>
      <c r="AC413" s="135"/>
      <c r="AD413" s="135"/>
    </row>
    <row r="414" customFormat="false" ht="15.75" hidden="false" customHeight="true" outlineLevel="0" collapsed="false">
      <c r="A414" s="135"/>
      <c r="B414" s="135"/>
      <c r="C414" s="135"/>
      <c r="D414" s="135"/>
      <c r="E414" s="182"/>
      <c r="F414" s="135"/>
      <c r="G414" s="135"/>
      <c r="H414" s="135"/>
      <c r="I414" s="135"/>
      <c r="J414" s="135"/>
      <c r="K414" s="135"/>
      <c r="L414" s="135"/>
      <c r="M414" s="182"/>
      <c r="N414" s="135"/>
      <c r="O414" s="135"/>
      <c r="P414" s="189"/>
      <c r="Q414" s="135"/>
      <c r="R414" s="135"/>
      <c r="S414" s="135"/>
      <c r="T414" s="135"/>
      <c r="U414" s="135"/>
      <c r="V414" s="189"/>
      <c r="W414" s="135"/>
      <c r="X414" s="135"/>
      <c r="Y414" s="135"/>
      <c r="Z414" s="135"/>
      <c r="AA414" s="135"/>
      <c r="AB414" s="135"/>
      <c r="AC414" s="135"/>
      <c r="AD414" s="135"/>
    </row>
    <row r="415" customFormat="false" ht="15.75" hidden="false" customHeight="true" outlineLevel="0" collapsed="false">
      <c r="A415" s="135"/>
      <c r="B415" s="135"/>
      <c r="C415" s="135"/>
      <c r="D415" s="135"/>
      <c r="E415" s="182"/>
      <c r="F415" s="135"/>
      <c r="G415" s="135"/>
      <c r="H415" s="135"/>
      <c r="I415" s="135"/>
      <c r="J415" s="135"/>
      <c r="K415" s="135"/>
      <c r="L415" s="135"/>
      <c r="M415" s="182"/>
      <c r="N415" s="135"/>
      <c r="O415" s="135"/>
      <c r="P415" s="189"/>
      <c r="Q415" s="135"/>
      <c r="R415" s="135"/>
      <c r="S415" s="135"/>
      <c r="T415" s="135"/>
      <c r="U415" s="135"/>
      <c r="V415" s="189"/>
      <c r="W415" s="135"/>
      <c r="X415" s="135"/>
      <c r="Y415" s="135"/>
      <c r="Z415" s="135"/>
      <c r="AA415" s="135"/>
      <c r="AB415" s="135"/>
      <c r="AC415" s="135"/>
      <c r="AD415" s="135"/>
    </row>
    <row r="416" customFormat="false" ht="15.75" hidden="false" customHeight="true" outlineLevel="0" collapsed="false">
      <c r="A416" s="135"/>
      <c r="B416" s="135"/>
      <c r="C416" s="135"/>
      <c r="D416" s="135"/>
      <c r="E416" s="182"/>
      <c r="F416" s="135"/>
      <c r="G416" s="135"/>
      <c r="H416" s="135"/>
      <c r="I416" s="135"/>
      <c r="J416" s="135"/>
      <c r="K416" s="135"/>
      <c r="L416" s="135"/>
      <c r="M416" s="182"/>
      <c r="N416" s="135"/>
      <c r="O416" s="135"/>
      <c r="P416" s="189"/>
      <c r="Q416" s="135"/>
      <c r="R416" s="135"/>
      <c r="S416" s="135"/>
      <c r="T416" s="135"/>
      <c r="U416" s="135"/>
      <c r="V416" s="189"/>
      <c r="W416" s="135"/>
      <c r="X416" s="135"/>
      <c r="Y416" s="135"/>
      <c r="Z416" s="135"/>
      <c r="AA416" s="135"/>
      <c r="AB416" s="135"/>
      <c r="AC416" s="135"/>
      <c r="AD416" s="135"/>
    </row>
    <row r="417" customFormat="false" ht="15.75" hidden="false" customHeight="true" outlineLevel="0" collapsed="false">
      <c r="A417" s="135"/>
      <c r="B417" s="135"/>
      <c r="C417" s="135"/>
      <c r="D417" s="135"/>
      <c r="E417" s="182"/>
      <c r="F417" s="135"/>
      <c r="G417" s="135"/>
      <c r="H417" s="135"/>
      <c r="I417" s="135"/>
      <c r="J417" s="135"/>
      <c r="K417" s="135"/>
      <c r="L417" s="135"/>
      <c r="M417" s="182"/>
      <c r="N417" s="135"/>
      <c r="O417" s="135"/>
      <c r="P417" s="189"/>
      <c r="Q417" s="135"/>
      <c r="R417" s="135"/>
      <c r="S417" s="135"/>
      <c r="T417" s="135"/>
      <c r="U417" s="135"/>
      <c r="V417" s="189"/>
      <c r="W417" s="135"/>
      <c r="X417" s="135"/>
      <c r="Y417" s="135"/>
      <c r="Z417" s="135"/>
      <c r="AA417" s="135"/>
      <c r="AB417" s="135"/>
      <c r="AC417" s="135"/>
      <c r="AD417" s="135"/>
    </row>
    <row r="418" customFormat="false" ht="15.75" hidden="false" customHeight="true" outlineLevel="0" collapsed="false">
      <c r="A418" s="135"/>
      <c r="B418" s="135"/>
      <c r="C418" s="135"/>
      <c r="D418" s="135"/>
      <c r="E418" s="182"/>
      <c r="F418" s="135"/>
      <c r="G418" s="135"/>
      <c r="H418" s="135"/>
      <c r="I418" s="135"/>
      <c r="J418" s="135"/>
      <c r="K418" s="135"/>
      <c r="L418" s="135"/>
      <c r="M418" s="182"/>
      <c r="N418" s="135"/>
      <c r="O418" s="135"/>
      <c r="P418" s="189"/>
      <c r="Q418" s="135"/>
      <c r="R418" s="135"/>
      <c r="S418" s="135"/>
      <c r="T418" s="135"/>
      <c r="U418" s="135"/>
      <c r="V418" s="189"/>
      <c r="W418" s="135"/>
      <c r="X418" s="135"/>
      <c r="Y418" s="135"/>
      <c r="Z418" s="135"/>
      <c r="AA418" s="135"/>
      <c r="AB418" s="135"/>
      <c r="AC418" s="135"/>
      <c r="AD418" s="135"/>
    </row>
    <row r="419" customFormat="false" ht="15.75" hidden="false" customHeight="true" outlineLevel="0" collapsed="false">
      <c r="A419" s="135"/>
      <c r="B419" s="135"/>
      <c r="C419" s="135"/>
      <c r="D419" s="135"/>
      <c r="E419" s="182"/>
      <c r="F419" s="135"/>
      <c r="G419" s="135"/>
      <c r="H419" s="135"/>
      <c r="I419" s="135"/>
      <c r="J419" s="135"/>
      <c r="K419" s="135"/>
      <c r="L419" s="135"/>
      <c r="M419" s="182"/>
      <c r="N419" s="135"/>
      <c r="O419" s="135"/>
      <c r="P419" s="189"/>
      <c r="Q419" s="135"/>
      <c r="R419" s="135"/>
      <c r="S419" s="135"/>
      <c r="T419" s="135"/>
      <c r="U419" s="135"/>
      <c r="V419" s="189"/>
      <c r="W419" s="135"/>
      <c r="X419" s="135"/>
      <c r="Y419" s="135"/>
      <c r="Z419" s="135"/>
      <c r="AA419" s="135"/>
      <c r="AB419" s="135"/>
      <c r="AC419" s="135"/>
      <c r="AD419" s="135"/>
    </row>
    <row r="420" customFormat="false" ht="15.75" hidden="false" customHeight="true" outlineLevel="0" collapsed="false">
      <c r="A420" s="135"/>
      <c r="B420" s="135"/>
      <c r="C420" s="135"/>
      <c r="D420" s="135"/>
      <c r="E420" s="182"/>
      <c r="F420" s="135"/>
      <c r="G420" s="135"/>
      <c r="H420" s="135"/>
      <c r="I420" s="135"/>
      <c r="J420" s="135"/>
      <c r="K420" s="135"/>
      <c r="L420" s="135"/>
      <c r="M420" s="182"/>
      <c r="N420" s="135"/>
      <c r="O420" s="135"/>
      <c r="P420" s="189"/>
      <c r="Q420" s="135"/>
      <c r="R420" s="135"/>
      <c r="S420" s="135"/>
      <c r="T420" s="135"/>
      <c r="U420" s="135"/>
      <c r="V420" s="189"/>
      <c r="W420" s="135"/>
      <c r="X420" s="135"/>
      <c r="Y420" s="135"/>
      <c r="Z420" s="135"/>
      <c r="AA420" s="135"/>
      <c r="AB420" s="135"/>
      <c r="AC420" s="135"/>
      <c r="AD420" s="135"/>
    </row>
    <row r="421" customFormat="false" ht="15.75" hidden="false" customHeight="true" outlineLevel="0" collapsed="false">
      <c r="A421" s="135"/>
      <c r="B421" s="135"/>
      <c r="C421" s="135"/>
      <c r="D421" s="135"/>
      <c r="E421" s="182"/>
      <c r="F421" s="135"/>
      <c r="G421" s="135"/>
      <c r="H421" s="135"/>
      <c r="I421" s="135"/>
      <c r="J421" s="135"/>
      <c r="K421" s="135"/>
      <c r="L421" s="135"/>
      <c r="M421" s="182"/>
      <c r="N421" s="135"/>
      <c r="O421" s="135"/>
      <c r="P421" s="189"/>
      <c r="Q421" s="135"/>
      <c r="R421" s="135"/>
      <c r="S421" s="135"/>
      <c r="T421" s="135"/>
      <c r="U421" s="135"/>
      <c r="V421" s="189"/>
      <c r="W421" s="135"/>
      <c r="X421" s="135"/>
      <c r="Y421" s="135"/>
      <c r="Z421" s="135"/>
      <c r="AA421" s="135"/>
      <c r="AB421" s="135"/>
      <c r="AC421" s="135"/>
      <c r="AD421" s="135"/>
    </row>
    <row r="422" customFormat="false" ht="15.75" hidden="false" customHeight="true" outlineLevel="0" collapsed="false">
      <c r="A422" s="135"/>
      <c r="B422" s="135"/>
      <c r="C422" s="135"/>
      <c r="D422" s="135"/>
      <c r="E422" s="182"/>
      <c r="F422" s="135"/>
      <c r="G422" s="135"/>
      <c r="H422" s="135"/>
      <c r="I422" s="135"/>
      <c r="J422" s="135"/>
      <c r="K422" s="135"/>
      <c r="L422" s="135"/>
      <c r="M422" s="182"/>
      <c r="N422" s="135"/>
      <c r="O422" s="135"/>
      <c r="P422" s="189"/>
      <c r="Q422" s="135"/>
      <c r="R422" s="135"/>
      <c r="S422" s="135"/>
      <c r="T422" s="135"/>
      <c r="U422" s="135"/>
      <c r="V422" s="189"/>
      <c r="W422" s="135"/>
      <c r="X422" s="135"/>
      <c r="Y422" s="135"/>
      <c r="Z422" s="135"/>
      <c r="AA422" s="135"/>
      <c r="AB422" s="135"/>
      <c r="AC422" s="135"/>
      <c r="AD422" s="135"/>
    </row>
    <row r="423" customFormat="false" ht="15.75" hidden="false" customHeight="true" outlineLevel="0" collapsed="false">
      <c r="A423" s="135"/>
      <c r="B423" s="135"/>
      <c r="C423" s="135"/>
      <c r="D423" s="135"/>
      <c r="E423" s="182"/>
      <c r="F423" s="135"/>
      <c r="G423" s="135"/>
      <c r="H423" s="135"/>
      <c r="I423" s="135"/>
      <c r="J423" s="135"/>
      <c r="K423" s="135"/>
      <c r="L423" s="135"/>
      <c r="M423" s="182"/>
      <c r="N423" s="135"/>
      <c r="O423" s="135"/>
      <c r="P423" s="189"/>
      <c r="Q423" s="135"/>
      <c r="R423" s="135"/>
      <c r="S423" s="135"/>
      <c r="T423" s="135"/>
      <c r="U423" s="135"/>
      <c r="V423" s="189"/>
      <c r="W423" s="135"/>
      <c r="X423" s="135"/>
      <c r="Y423" s="135"/>
      <c r="Z423" s="135"/>
      <c r="AA423" s="135"/>
      <c r="AB423" s="135"/>
      <c r="AC423" s="135"/>
      <c r="AD423" s="135"/>
    </row>
    <row r="424" customFormat="false" ht="15.75" hidden="false" customHeight="true" outlineLevel="0" collapsed="false">
      <c r="A424" s="135"/>
      <c r="B424" s="135"/>
      <c r="C424" s="135"/>
      <c r="D424" s="135"/>
      <c r="E424" s="182"/>
      <c r="F424" s="135"/>
      <c r="G424" s="135"/>
      <c r="H424" s="135"/>
      <c r="I424" s="135"/>
      <c r="J424" s="135"/>
      <c r="K424" s="135"/>
      <c r="L424" s="135"/>
      <c r="M424" s="182"/>
      <c r="N424" s="135"/>
      <c r="O424" s="135"/>
      <c r="P424" s="189"/>
      <c r="Q424" s="135"/>
      <c r="R424" s="135"/>
      <c r="S424" s="135"/>
      <c r="T424" s="135"/>
      <c r="U424" s="135"/>
      <c r="V424" s="189"/>
      <c r="W424" s="135"/>
      <c r="X424" s="135"/>
      <c r="Y424" s="135"/>
      <c r="Z424" s="135"/>
      <c r="AA424" s="135"/>
      <c r="AB424" s="135"/>
      <c r="AC424" s="135"/>
      <c r="AD424" s="135"/>
    </row>
    <row r="425" customFormat="false" ht="15.75" hidden="false" customHeight="true" outlineLevel="0" collapsed="false">
      <c r="A425" s="135"/>
      <c r="B425" s="135"/>
      <c r="C425" s="135"/>
      <c r="D425" s="135"/>
      <c r="E425" s="182"/>
      <c r="F425" s="135"/>
      <c r="G425" s="135"/>
      <c r="H425" s="135"/>
      <c r="I425" s="135"/>
      <c r="J425" s="135"/>
      <c r="K425" s="135"/>
      <c r="L425" s="135"/>
      <c r="M425" s="182"/>
      <c r="N425" s="135"/>
      <c r="O425" s="135"/>
      <c r="P425" s="189"/>
      <c r="Q425" s="135"/>
      <c r="R425" s="135"/>
      <c r="S425" s="135"/>
      <c r="T425" s="135"/>
      <c r="U425" s="135"/>
      <c r="V425" s="189"/>
      <c r="W425" s="135"/>
      <c r="X425" s="135"/>
      <c r="Y425" s="135"/>
      <c r="Z425" s="135"/>
      <c r="AA425" s="135"/>
      <c r="AB425" s="135"/>
      <c r="AC425" s="135"/>
      <c r="AD425" s="135"/>
    </row>
    <row r="426" customFormat="false" ht="15.75" hidden="false" customHeight="true" outlineLevel="0" collapsed="false">
      <c r="A426" s="135"/>
      <c r="B426" s="135"/>
      <c r="C426" s="135"/>
      <c r="D426" s="135"/>
      <c r="E426" s="182"/>
      <c r="F426" s="135"/>
      <c r="G426" s="135"/>
      <c r="H426" s="135"/>
      <c r="I426" s="135"/>
      <c r="J426" s="135"/>
      <c r="K426" s="135"/>
      <c r="L426" s="135"/>
      <c r="M426" s="182"/>
      <c r="N426" s="135"/>
      <c r="O426" s="135"/>
      <c r="P426" s="189"/>
      <c r="Q426" s="135"/>
      <c r="R426" s="135"/>
      <c r="S426" s="135"/>
      <c r="T426" s="135"/>
      <c r="U426" s="135"/>
      <c r="V426" s="189"/>
      <c r="W426" s="135"/>
      <c r="X426" s="135"/>
      <c r="Y426" s="135"/>
      <c r="Z426" s="135"/>
      <c r="AA426" s="135"/>
      <c r="AB426" s="135"/>
      <c r="AC426" s="135"/>
      <c r="AD426" s="135"/>
    </row>
    <row r="427" customFormat="false" ht="15.75" hidden="false" customHeight="true" outlineLevel="0" collapsed="false">
      <c r="A427" s="135"/>
      <c r="B427" s="135"/>
      <c r="C427" s="135"/>
      <c r="D427" s="135"/>
      <c r="E427" s="182"/>
      <c r="F427" s="135"/>
      <c r="G427" s="135"/>
      <c r="H427" s="135"/>
      <c r="I427" s="135"/>
      <c r="J427" s="135"/>
      <c r="K427" s="135"/>
      <c r="L427" s="135"/>
      <c r="M427" s="182"/>
      <c r="N427" s="135"/>
      <c r="O427" s="135"/>
      <c r="P427" s="189"/>
      <c r="Q427" s="135"/>
      <c r="R427" s="135"/>
      <c r="S427" s="135"/>
      <c r="T427" s="135"/>
      <c r="U427" s="135"/>
      <c r="V427" s="189"/>
      <c r="W427" s="135"/>
      <c r="X427" s="135"/>
      <c r="Y427" s="135"/>
      <c r="Z427" s="135"/>
      <c r="AA427" s="135"/>
      <c r="AB427" s="135"/>
      <c r="AC427" s="135"/>
      <c r="AD427" s="135"/>
    </row>
    <row r="428" customFormat="false" ht="15.75" hidden="false" customHeight="true" outlineLevel="0" collapsed="false">
      <c r="A428" s="135"/>
      <c r="B428" s="135"/>
      <c r="C428" s="135"/>
      <c r="D428" s="135"/>
      <c r="E428" s="182"/>
      <c r="F428" s="135"/>
      <c r="G428" s="135"/>
      <c r="H428" s="135"/>
      <c r="I428" s="135"/>
      <c r="J428" s="135"/>
      <c r="K428" s="135"/>
      <c r="L428" s="135"/>
      <c r="M428" s="182"/>
      <c r="N428" s="135"/>
      <c r="O428" s="135"/>
      <c r="P428" s="189"/>
      <c r="Q428" s="135"/>
      <c r="R428" s="135"/>
      <c r="S428" s="135"/>
      <c r="T428" s="135"/>
      <c r="U428" s="135"/>
      <c r="V428" s="189"/>
      <c r="W428" s="135"/>
      <c r="X428" s="135"/>
      <c r="Y428" s="135"/>
      <c r="Z428" s="135"/>
      <c r="AA428" s="135"/>
      <c r="AB428" s="135"/>
      <c r="AC428" s="135"/>
      <c r="AD428" s="135"/>
    </row>
    <row r="429" customFormat="false" ht="15.75" hidden="false" customHeight="true" outlineLevel="0" collapsed="false">
      <c r="A429" s="135"/>
      <c r="B429" s="135"/>
      <c r="C429" s="135"/>
      <c r="D429" s="135"/>
      <c r="E429" s="182"/>
      <c r="F429" s="135"/>
      <c r="G429" s="135"/>
      <c r="H429" s="135"/>
      <c r="I429" s="135"/>
      <c r="J429" s="135"/>
      <c r="K429" s="135"/>
      <c r="L429" s="135"/>
      <c r="M429" s="182"/>
      <c r="N429" s="135"/>
      <c r="O429" s="135"/>
      <c r="P429" s="189"/>
      <c r="Q429" s="135"/>
      <c r="R429" s="135"/>
      <c r="S429" s="135"/>
      <c r="T429" s="135"/>
      <c r="U429" s="135"/>
      <c r="V429" s="189"/>
      <c r="W429" s="135"/>
      <c r="X429" s="135"/>
      <c r="Y429" s="135"/>
      <c r="Z429" s="135"/>
      <c r="AA429" s="135"/>
      <c r="AB429" s="135"/>
      <c r="AC429" s="135"/>
      <c r="AD429" s="135"/>
    </row>
    <row r="430" customFormat="false" ht="15.75" hidden="false" customHeight="true" outlineLevel="0" collapsed="false">
      <c r="A430" s="135"/>
      <c r="B430" s="135"/>
      <c r="C430" s="135"/>
      <c r="D430" s="135"/>
      <c r="E430" s="182"/>
      <c r="F430" s="135"/>
      <c r="G430" s="135"/>
      <c r="H430" s="135"/>
      <c r="I430" s="135"/>
      <c r="J430" s="135"/>
      <c r="K430" s="135"/>
      <c r="L430" s="135"/>
      <c r="M430" s="182"/>
      <c r="N430" s="135"/>
      <c r="O430" s="135"/>
      <c r="P430" s="189"/>
      <c r="Q430" s="135"/>
      <c r="R430" s="135"/>
      <c r="S430" s="135"/>
      <c r="T430" s="135"/>
      <c r="U430" s="135"/>
      <c r="V430" s="189"/>
      <c r="W430" s="135"/>
      <c r="X430" s="135"/>
      <c r="Y430" s="135"/>
      <c r="Z430" s="135"/>
      <c r="AA430" s="135"/>
      <c r="AB430" s="135"/>
      <c r="AC430" s="135"/>
      <c r="AD430" s="135"/>
    </row>
    <row r="431" customFormat="false" ht="15.75" hidden="false" customHeight="true" outlineLevel="0" collapsed="false">
      <c r="A431" s="135"/>
      <c r="B431" s="135"/>
      <c r="C431" s="135"/>
      <c r="D431" s="135"/>
      <c r="E431" s="182"/>
      <c r="F431" s="135"/>
      <c r="G431" s="135"/>
      <c r="H431" s="135"/>
      <c r="I431" s="135"/>
      <c r="J431" s="135"/>
      <c r="K431" s="135"/>
      <c r="L431" s="135"/>
      <c r="M431" s="182"/>
      <c r="N431" s="135"/>
      <c r="O431" s="135"/>
      <c r="P431" s="189"/>
      <c r="Q431" s="135"/>
      <c r="R431" s="135"/>
      <c r="S431" s="135"/>
      <c r="T431" s="135"/>
      <c r="U431" s="135"/>
      <c r="V431" s="189"/>
      <c r="W431" s="135"/>
      <c r="X431" s="135"/>
      <c r="Y431" s="135"/>
      <c r="Z431" s="135"/>
      <c r="AA431" s="135"/>
      <c r="AB431" s="135"/>
      <c r="AC431" s="135"/>
      <c r="AD431" s="135"/>
    </row>
    <row r="432" customFormat="false" ht="15.75" hidden="false" customHeight="true" outlineLevel="0" collapsed="false">
      <c r="A432" s="135"/>
      <c r="B432" s="135"/>
      <c r="C432" s="135"/>
      <c r="D432" s="135"/>
      <c r="E432" s="182"/>
      <c r="F432" s="135"/>
      <c r="G432" s="135"/>
      <c r="H432" s="135"/>
      <c r="I432" s="135"/>
      <c r="J432" s="135"/>
      <c r="K432" s="135"/>
      <c r="L432" s="135"/>
      <c r="M432" s="182"/>
      <c r="N432" s="135"/>
      <c r="O432" s="135"/>
      <c r="P432" s="189"/>
      <c r="Q432" s="135"/>
      <c r="R432" s="135"/>
      <c r="S432" s="135"/>
      <c r="T432" s="135"/>
      <c r="U432" s="135"/>
      <c r="V432" s="189"/>
      <c r="W432" s="135"/>
      <c r="X432" s="135"/>
      <c r="Y432" s="135"/>
      <c r="Z432" s="135"/>
      <c r="AA432" s="135"/>
      <c r="AB432" s="135"/>
      <c r="AC432" s="135"/>
      <c r="AD432" s="135"/>
    </row>
    <row r="433" customFormat="false" ht="15.75" hidden="false" customHeight="true" outlineLevel="0" collapsed="false">
      <c r="A433" s="135"/>
      <c r="B433" s="135"/>
      <c r="C433" s="135"/>
      <c r="D433" s="135"/>
      <c r="E433" s="182"/>
      <c r="F433" s="135"/>
      <c r="G433" s="135"/>
      <c r="H433" s="135"/>
      <c r="I433" s="135"/>
      <c r="J433" s="135"/>
      <c r="K433" s="135"/>
      <c r="L433" s="135"/>
      <c r="M433" s="182"/>
      <c r="N433" s="135"/>
      <c r="O433" s="135"/>
      <c r="P433" s="189"/>
      <c r="Q433" s="135"/>
      <c r="R433" s="135"/>
      <c r="S433" s="135"/>
      <c r="T433" s="135"/>
      <c r="U433" s="135"/>
      <c r="V433" s="189"/>
      <c r="W433" s="135"/>
      <c r="X433" s="135"/>
      <c r="Y433" s="135"/>
      <c r="Z433" s="135"/>
      <c r="AA433" s="135"/>
      <c r="AB433" s="135"/>
      <c r="AC433" s="135"/>
      <c r="AD433" s="135"/>
    </row>
    <row r="434" customFormat="false" ht="15.75" hidden="false" customHeight="true" outlineLevel="0" collapsed="false">
      <c r="A434" s="135"/>
      <c r="B434" s="135"/>
      <c r="C434" s="135"/>
      <c r="D434" s="135"/>
      <c r="E434" s="182"/>
      <c r="F434" s="135"/>
      <c r="G434" s="135"/>
      <c r="H434" s="135"/>
      <c r="I434" s="135"/>
      <c r="J434" s="135"/>
      <c r="K434" s="135"/>
      <c r="L434" s="135"/>
      <c r="M434" s="182"/>
      <c r="N434" s="135"/>
      <c r="O434" s="135"/>
      <c r="P434" s="189"/>
      <c r="Q434" s="135"/>
      <c r="R434" s="135"/>
      <c r="S434" s="135"/>
      <c r="T434" s="135"/>
      <c r="U434" s="135"/>
      <c r="V434" s="189"/>
      <c r="W434" s="135"/>
      <c r="X434" s="135"/>
      <c r="Y434" s="135"/>
      <c r="Z434" s="135"/>
      <c r="AA434" s="135"/>
      <c r="AB434" s="135"/>
      <c r="AC434" s="135"/>
      <c r="AD434" s="135"/>
    </row>
    <row r="435" customFormat="false" ht="15.75" hidden="false" customHeight="true" outlineLevel="0" collapsed="false">
      <c r="A435" s="135"/>
      <c r="B435" s="135"/>
      <c r="C435" s="135"/>
      <c r="D435" s="135"/>
      <c r="E435" s="182"/>
      <c r="F435" s="135"/>
      <c r="G435" s="135"/>
      <c r="H435" s="135"/>
      <c r="I435" s="135"/>
      <c r="J435" s="135"/>
      <c r="K435" s="135"/>
      <c r="L435" s="135"/>
      <c r="M435" s="182"/>
      <c r="N435" s="135"/>
      <c r="O435" s="135"/>
      <c r="P435" s="189"/>
      <c r="Q435" s="135"/>
      <c r="R435" s="135"/>
      <c r="S435" s="135"/>
      <c r="T435" s="135"/>
      <c r="U435" s="135"/>
      <c r="V435" s="189"/>
      <c r="W435" s="135"/>
      <c r="X435" s="135"/>
      <c r="Y435" s="135"/>
      <c r="Z435" s="135"/>
      <c r="AA435" s="135"/>
      <c r="AB435" s="135"/>
      <c r="AC435" s="135"/>
      <c r="AD435" s="135"/>
    </row>
    <row r="436" customFormat="false" ht="15.75" hidden="false" customHeight="true" outlineLevel="0" collapsed="false">
      <c r="A436" s="135"/>
      <c r="B436" s="135"/>
      <c r="C436" s="135"/>
      <c r="D436" s="135"/>
      <c r="E436" s="182"/>
      <c r="F436" s="135"/>
      <c r="G436" s="135"/>
      <c r="H436" s="135"/>
      <c r="I436" s="135"/>
      <c r="J436" s="135"/>
      <c r="K436" s="135"/>
      <c r="L436" s="135"/>
      <c r="M436" s="182"/>
      <c r="N436" s="135"/>
      <c r="O436" s="135"/>
      <c r="P436" s="189"/>
      <c r="Q436" s="135"/>
      <c r="R436" s="135"/>
      <c r="S436" s="135"/>
      <c r="T436" s="135"/>
      <c r="U436" s="135"/>
      <c r="V436" s="189"/>
      <c r="W436" s="135"/>
      <c r="X436" s="135"/>
      <c r="Y436" s="135"/>
      <c r="Z436" s="135"/>
      <c r="AA436" s="135"/>
      <c r="AB436" s="135"/>
      <c r="AC436" s="135"/>
      <c r="AD436" s="135"/>
    </row>
    <row r="437" customFormat="false" ht="15.75" hidden="false" customHeight="true" outlineLevel="0" collapsed="false">
      <c r="A437" s="135"/>
      <c r="B437" s="135"/>
      <c r="C437" s="135"/>
      <c r="D437" s="135"/>
      <c r="E437" s="182"/>
      <c r="F437" s="135"/>
      <c r="G437" s="135"/>
      <c r="H437" s="135"/>
      <c r="I437" s="135"/>
      <c r="J437" s="135"/>
      <c r="K437" s="135"/>
      <c r="L437" s="135"/>
      <c r="M437" s="182"/>
      <c r="N437" s="135"/>
      <c r="O437" s="135"/>
      <c r="P437" s="189"/>
      <c r="Q437" s="135"/>
      <c r="R437" s="135"/>
      <c r="S437" s="135"/>
      <c r="T437" s="135"/>
      <c r="U437" s="135"/>
      <c r="V437" s="189"/>
      <c r="W437" s="135"/>
      <c r="X437" s="135"/>
      <c r="Y437" s="135"/>
      <c r="Z437" s="135"/>
      <c r="AA437" s="135"/>
      <c r="AB437" s="135"/>
      <c r="AC437" s="135"/>
      <c r="AD437" s="135"/>
    </row>
    <row r="438" customFormat="false" ht="15.75" hidden="false" customHeight="true" outlineLevel="0" collapsed="false">
      <c r="A438" s="135"/>
      <c r="B438" s="135"/>
      <c r="C438" s="135"/>
      <c r="D438" s="135"/>
      <c r="E438" s="182"/>
      <c r="F438" s="135"/>
      <c r="G438" s="135"/>
      <c r="H438" s="135"/>
      <c r="I438" s="135"/>
      <c r="J438" s="135"/>
      <c r="K438" s="135"/>
      <c r="L438" s="135"/>
      <c r="M438" s="182"/>
      <c r="N438" s="135"/>
      <c r="O438" s="135"/>
      <c r="P438" s="189"/>
      <c r="Q438" s="135"/>
      <c r="R438" s="135"/>
      <c r="S438" s="135"/>
      <c r="T438" s="135"/>
      <c r="U438" s="135"/>
      <c r="V438" s="189"/>
      <c r="W438" s="135"/>
      <c r="X438" s="135"/>
      <c r="Y438" s="135"/>
      <c r="Z438" s="135"/>
      <c r="AA438" s="135"/>
      <c r="AB438" s="135"/>
      <c r="AC438" s="135"/>
      <c r="AD438" s="135"/>
    </row>
    <row r="439" customFormat="false" ht="15.75" hidden="false" customHeight="true" outlineLevel="0" collapsed="false">
      <c r="A439" s="135"/>
      <c r="B439" s="135"/>
      <c r="C439" s="135"/>
      <c r="D439" s="135"/>
      <c r="E439" s="182"/>
      <c r="F439" s="135"/>
      <c r="G439" s="135"/>
      <c r="H439" s="135"/>
      <c r="I439" s="135"/>
      <c r="J439" s="135"/>
      <c r="K439" s="135"/>
      <c r="L439" s="135"/>
      <c r="M439" s="182"/>
      <c r="N439" s="135"/>
      <c r="O439" s="135"/>
      <c r="P439" s="189"/>
      <c r="Q439" s="135"/>
      <c r="R439" s="135"/>
      <c r="S439" s="135"/>
      <c r="T439" s="135"/>
      <c r="U439" s="135"/>
      <c r="V439" s="189"/>
      <c r="W439" s="135"/>
      <c r="X439" s="135"/>
      <c r="Y439" s="135"/>
      <c r="Z439" s="135"/>
      <c r="AA439" s="135"/>
      <c r="AB439" s="135"/>
      <c r="AC439" s="135"/>
      <c r="AD439" s="135"/>
    </row>
    <row r="440" customFormat="false" ht="15.75" hidden="false" customHeight="true" outlineLevel="0" collapsed="false">
      <c r="A440" s="135"/>
      <c r="B440" s="135"/>
      <c r="C440" s="135"/>
      <c r="D440" s="135"/>
      <c r="E440" s="182"/>
      <c r="F440" s="135"/>
      <c r="G440" s="135"/>
      <c r="H440" s="135"/>
      <c r="I440" s="135"/>
      <c r="J440" s="135"/>
      <c r="K440" s="135"/>
      <c r="L440" s="135"/>
      <c r="M440" s="182"/>
      <c r="N440" s="135"/>
      <c r="O440" s="135"/>
      <c r="P440" s="189"/>
      <c r="Q440" s="135"/>
      <c r="R440" s="135"/>
      <c r="S440" s="135"/>
      <c r="T440" s="135"/>
      <c r="U440" s="135"/>
      <c r="V440" s="189"/>
      <c r="W440" s="135"/>
      <c r="X440" s="135"/>
      <c r="Y440" s="135"/>
      <c r="Z440" s="135"/>
      <c r="AA440" s="135"/>
      <c r="AB440" s="135"/>
      <c r="AC440" s="135"/>
      <c r="AD440" s="135"/>
    </row>
    <row r="441" customFormat="false" ht="15.75" hidden="false" customHeight="true" outlineLevel="0" collapsed="false">
      <c r="A441" s="135"/>
      <c r="B441" s="135"/>
      <c r="C441" s="135"/>
      <c r="D441" s="135"/>
      <c r="E441" s="182"/>
      <c r="F441" s="135"/>
      <c r="G441" s="135"/>
      <c r="H441" s="135"/>
      <c r="I441" s="135"/>
      <c r="J441" s="135"/>
      <c r="K441" s="135"/>
      <c r="L441" s="135"/>
      <c r="M441" s="182"/>
      <c r="N441" s="135"/>
      <c r="O441" s="135"/>
      <c r="P441" s="189"/>
      <c r="Q441" s="135"/>
      <c r="R441" s="135"/>
      <c r="S441" s="135"/>
      <c r="T441" s="135"/>
      <c r="U441" s="135"/>
      <c r="V441" s="189"/>
      <c r="W441" s="135"/>
      <c r="X441" s="135"/>
      <c r="Y441" s="135"/>
      <c r="Z441" s="135"/>
      <c r="AA441" s="135"/>
      <c r="AB441" s="135"/>
      <c r="AC441" s="135"/>
      <c r="AD441" s="135"/>
    </row>
    <row r="442" customFormat="false" ht="15.75" hidden="false" customHeight="true" outlineLevel="0" collapsed="false">
      <c r="A442" s="135"/>
      <c r="B442" s="135"/>
      <c r="C442" s="135"/>
      <c r="D442" s="135"/>
      <c r="E442" s="182"/>
      <c r="F442" s="135"/>
      <c r="G442" s="135"/>
      <c r="H442" s="135"/>
      <c r="I442" s="135"/>
      <c r="J442" s="135"/>
      <c r="K442" s="135"/>
      <c r="L442" s="135"/>
      <c r="M442" s="182"/>
      <c r="N442" s="135"/>
      <c r="O442" s="135"/>
      <c r="P442" s="189"/>
      <c r="Q442" s="135"/>
      <c r="R442" s="135"/>
      <c r="S442" s="135"/>
      <c r="T442" s="135"/>
      <c r="U442" s="135"/>
      <c r="V442" s="189"/>
      <c r="W442" s="135"/>
      <c r="X442" s="135"/>
      <c r="Y442" s="135"/>
      <c r="Z442" s="135"/>
      <c r="AA442" s="135"/>
      <c r="AB442" s="135"/>
      <c r="AC442" s="135"/>
      <c r="AD442" s="135"/>
    </row>
    <row r="443" customFormat="false" ht="15.75" hidden="false" customHeight="true" outlineLevel="0" collapsed="false">
      <c r="A443" s="135"/>
      <c r="B443" s="135"/>
      <c r="C443" s="135"/>
      <c r="D443" s="135"/>
      <c r="E443" s="182"/>
      <c r="F443" s="135"/>
      <c r="G443" s="135"/>
      <c r="H443" s="135"/>
      <c r="I443" s="135"/>
      <c r="J443" s="135"/>
      <c r="K443" s="135"/>
      <c r="L443" s="135"/>
      <c r="M443" s="182"/>
      <c r="N443" s="135"/>
      <c r="O443" s="135"/>
      <c r="P443" s="189"/>
      <c r="Q443" s="135"/>
      <c r="R443" s="135"/>
      <c r="S443" s="135"/>
      <c r="T443" s="135"/>
      <c r="U443" s="135"/>
      <c r="V443" s="189"/>
      <c r="W443" s="135"/>
      <c r="X443" s="135"/>
      <c r="Y443" s="135"/>
      <c r="Z443" s="135"/>
      <c r="AA443" s="135"/>
      <c r="AB443" s="135"/>
      <c r="AC443" s="135"/>
      <c r="AD443" s="135"/>
    </row>
    <row r="444" customFormat="false" ht="15.75" hidden="false" customHeight="true" outlineLevel="0" collapsed="false">
      <c r="A444" s="135"/>
      <c r="B444" s="135"/>
      <c r="C444" s="135"/>
      <c r="D444" s="135"/>
      <c r="E444" s="182"/>
      <c r="F444" s="135"/>
      <c r="G444" s="135"/>
      <c r="H444" s="135"/>
      <c r="I444" s="135"/>
      <c r="J444" s="135"/>
      <c r="K444" s="135"/>
      <c r="L444" s="135"/>
      <c r="M444" s="182"/>
      <c r="N444" s="135"/>
      <c r="O444" s="135"/>
      <c r="P444" s="189"/>
      <c r="Q444" s="135"/>
      <c r="R444" s="135"/>
      <c r="S444" s="135"/>
      <c r="T444" s="135"/>
      <c r="U444" s="135"/>
      <c r="V444" s="189"/>
      <c r="W444" s="135"/>
      <c r="X444" s="135"/>
      <c r="Y444" s="135"/>
      <c r="Z444" s="135"/>
      <c r="AA444" s="135"/>
      <c r="AB444" s="135"/>
      <c r="AC444" s="135"/>
      <c r="AD444" s="135"/>
    </row>
    <row r="445" customFormat="false" ht="15.75" hidden="false" customHeight="true" outlineLevel="0" collapsed="false">
      <c r="A445" s="135"/>
      <c r="B445" s="135"/>
      <c r="C445" s="135"/>
      <c r="D445" s="135"/>
      <c r="E445" s="182"/>
      <c r="F445" s="135"/>
      <c r="G445" s="135"/>
      <c r="H445" s="135"/>
      <c r="I445" s="135"/>
      <c r="J445" s="135"/>
      <c r="K445" s="135"/>
      <c r="L445" s="135"/>
      <c r="M445" s="182"/>
      <c r="N445" s="135"/>
      <c r="O445" s="135"/>
      <c r="P445" s="189"/>
      <c r="Q445" s="135"/>
      <c r="R445" s="135"/>
      <c r="S445" s="135"/>
      <c r="T445" s="135"/>
      <c r="U445" s="135"/>
      <c r="V445" s="189"/>
      <c r="W445" s="135"/>
      <c r="X445" s="135"/>
      <c r="Y445" s="135"/>
      <c r="Z445" s="135"/>
      <c r="AA445" s="135"/>
      <c r="AB445" s="135"/>
      <c r="AC445" s="135"/>
      <c r="AD445" s="135"/>
    </row>
    <row r="446" customFormat="false" ht="15.75" hidden="false" customHeight="true" outlineLevel="0" collapsed="false">
      <c r="A446" s="135"/>
      <c r="B446" s="135"/>
      <c r="C446" s="135"/>
      <c r="D446" s="135"/>
      <c r="E446" s="182"/>
      <c r="F446" s="135"/>
      <c r="G446" s="135"/>
      <c r="H446" s="135"/>
      <c r="I446" s="135"/>
      <c r="J446" s="135"/>
      <c r="K446" s="135"/>
      <c r="L446" s="135"/>
      <c r="M446" s="182"/>
      <c r="N446" s="135"/>
      <c r="O446" s="135"/>
      <c r="P446" s="189"/>
      <c r="Q446" s="135"/>
      <c r="R446" s="135"/>
      <c r="S446" s="135"/>
      <c r="T446" s="135"/>
      <c r="U446" s="135"/>
      <c r="V446" s="189"/>
      <c r="W446" s="135"/>
      <c r="X446" s="135"/>
      <c r="Y446" s="135"/>
      <c r="Z446" s="135"/>
      <c r="AA446" s="135"/>
      <c r="AB446" s="135"/>
      <c r="AC446" s="135"/>
      <c r="AD446" s="135"/>
    </row>
    <row r="447" customFormat="false" ht="15.75" hidden="false" customHeight="true" outlineLevel="0" collapsed="false">
      <c r="A447" s="135"/>
      <c r="B447" s="135"/>
      <c r="C447" s="135"/>
      <c r="D447" s="135"/>
      <c r="E447" s="182"/>
      <c r="F447" s="135"/>
      <c r="G447" s="135"/>
      <c r="H447" s="135"/>
      <c r="I447" s="135"/>
      <c r="J447" s="135"/>
      <c r="K447" s="135"/>
      <c r="L447" s="135"/>
      <c r="M447" s="182"/>
      <c r="N447" s="135"/>
      <c r="O447" s="135"/>
      <c r="P447" s="189"/>
      <c r="Q447" s="135"/>
      <c r="R447" s="135"/>
      <c r="S447" s="135"/>
      <c r="T447" s="135"/>
      <c r="U447" s="135"/>
      <c r="V447" s="189"/>
      <c r="W447" s="135"/>
      <c r="X447" s="135"/>
      <c r="Y447" s="135"/>
      <c r="Z447" s="135"/>
      <c r="AA447" s="135"/>
      <c r="AB447" s="135"/>
      <c r="AC447" s="135"/>
      <c r="AD447" s="135"/>
    </row>
    <row r="448" customFormat="false" ht="15.75" hidden="false" customHeight="true" outlineLevel="0" collapsed="false">
      <c r="A448" s="135"/>
      <c r="B448" s="135"/>
      <c r="C448" s="135"/>
      <c r="D448" s="135"/>
      <c r="E448" s="182"/>
      <c r="F448" s="135"/>
      <c r="G448" s="135"/>
      <c r="H448" s="135"/>
      <c r="I448" s="135"/>
      <c r="J448" s="135"/>
      <c r="K448" s="135"/>
      <c r="L448" s="135"/>
      <c r="M448" s="182"/>
      <c r="N448" s="135"/>
      <c r="O448" s="135"/>
      <c r="P448" s="189"/>
      <c r="Q448" s="135"/>
      <c r="R448" s="135"/>
      <c r="S448" s="135"/>
      <c r="T448" s="135"/>
      <c r="U448" s="135"/>
      <c r="V448" s="189"/>
      <c r="W448" s="135"/>
      <c r="X448" s="135"/>
      <c r="Y448" s="135"/>
      <c r="Z448" s="135"/>
      <c r="AA448" s="135"/>
      <c r="AB448" s="135"/>
      <c r="AC448" s="135"/>
      <c r="AD448" s="135"/>
    </row>
    <row r="449" customFormat="false" ht="15.75" hidden="false" customHeight="true" outlineLevel="0" collapsed="false">
      <c r="A449" s="135"/>
      <c r="B449" s="135"/>
      <c r="C449" s="135"/>
      <c r="D449" s="135"/>
      <c r="E449" s="182"/>
      <c r="F449" s="135"/>
      <c r="G449" s="135"/>
      <c r="H449" s="135"/>
      <c r="I449" s="135"/>
      <c r="J449" s="135"/>
      <c r="K449" s="135"/>
      <c r="L449" s="135"/>
      <c r="M449" s="182"/>
      <c r="N449" s="135"/>
      <c r="O449" s="135"/>
      <c r="P449" s="189"/>
      <c r="Q449" s="135"/>
      <c r="R449" s="135"/>
      <c r="S449" s="135"/>
      <c r="T449" s="135"/>
      <c r="U449" s="135"/>
      <c r="V449" s="189"/>
      <c r="W449" s="135"/>
      <c r="X449" s="135"/>
      <c r="Y449" s="135"/>
      <c r="Z449" s="135"/>
      <c r="AA449" s="135"/>
      <c r="AB449" s="135"/>
      <c r="AC449" s="135"/>
      <c r="AD449" s="135"/>
    </row>
    <row r="450" customFormat="false" ht="15.75" hidden="false" customHeight="true" outlineLevel="0" collapsed="false">
      <c r="A450" s="135"/>
      <c r="B450" s="135"/>
      <c r="C450" s="135"/>
      <c r="D450" s="135"/>
      <c r="E450" s="182"/>
      <c r="F450" s="135"/>
      <c r="G450" s="135"/>
      <c r="H450" s="135"/>
      <c r="I450" s="135"/>
      <c r="J450" s="135"/>
      <c r="K450" s="135"/>
      <c r="L450" s="135"/>
      <c r="M450" s="182"/>
      <c r="N450" s="135"/>
      <c r="O450" s="135"/>
      <c r="P450" s="189"/>
      <c r="Q450" s="135"/>
      <c r="R450" s="135"/>
      <c r="S450" s="135"/>
      <c r="T450" s="135"/>
      <c r="U450" s="135"/>
      <c r="V450" s="189"/>
      <c r="W450" s="135"/>
      <c r="X450" s="135"/>
      <c r="Y450" s="135"/>
      <c r="Z450" s="135"/>
      <c r="AA450" s="135"/>
      <c r="AB450" s="135"/>
      <c r="AC450" s="135"/>
      <c r="AD450" s="135"/>
    </row>
    <row r="451" customFormat="false" ht="15.75" hidden="false" customHeight="true" outlineLevel="0" collapsed="false">
      <c r="A451" s="135"/>
      <c r="B451" s="135"/>
      <c r="C451" s="135"/>
      <c r="D451" s="135"/>
      <c r="E451" s="182"/>
      <c r="F451" s="135"/>
      <c r="G451" s="135"/>
      <c r="H451" s="135"/>
      <c r="I451" s="135"/>
      <c r="J451" s="135"/>
      <c r="K451" s="135"/>
      <c r="L451" s="135"/>
      <c r="M451" s="182"/>
      <c r="N451" s="135"/>
      <c r="O451" s="135"/>
      <c r="P451" s="189"/>
      <c r="Q451" s="135"/>
      <c r="R451" s="135"/>
      <c r="S451" s="135"/>
      <c r="T451" s="135"/>
      <c r="U451" s="135"/>
      <c r="V451" s="189"/>
      <c r="W451" s="135"/>
      <c r="X451" s="135"/>
      <c r="Y451" s="135"/>
      <c r="Z451" s="135"/>
      <c r="AA451" s="135"/>
      <c r="AB451" s="135"/>
      <c r="AC451" s="135"/>
      <c r="AD451" s="135"/>
    </row>
    <row r="452" customFormat="false" ht="15.75" hidden="false" customHeight="true" outlineLevel="0" collapsed="false">
      <c r="A452" s="135"/>
      <c r="B452" s="135"/>
      <c r="C452" s="135"/>
      <c r="D452" s="135"/>
      <c r="E452" s="182"/>
      <c r="F452" s="135"/>
      <c r="G452" s="135"/>
      <c r="H452" s="135"/>
      <c r="I452" s="135"/>
      <c r="J452" s="135"/>
      <c r="K452" s="135"/>
      <c r="L452" s="135"/>
      <c r="M452" s="182"/>
      <c r="N452" s="135"/>
      <c r="O452" s="135"/>
      <c r="P452" s="189"/>
      <c r="Q452" s="135"/>
      <c r="R452" s="135"/>
      <c r="S452" s="135"/>
      <c r="T452" s="135"/>
      <c r="U452" s="135"/>
      <c r="V452" s="189"/>
      <c r="W452" s="135"/>
      <c r="X452" s="135"/>
      <c r="Y452" s="135"/>
      <c r="Z452" s="135"/>
      <c r="AA452" s="135"/>
      <c r="AB452" s="135"/>
      <c r="AC452" s="135"/>
      <c r="AD452" s="135"/>
    </row>
    <row r="453" customFormat="false" ht="15.75" hidden="false" customHeight="true" outlineLevel="0" collapsed="false">
      <c r="A453" s="135"/>
      <c r="B453" s="135"/>
      <c r="C453" s="135"/>
      <c r="D453" s="135"/>
      <c r="E453" s="182"/>
      <c r="F453" s="135"/>
      <c r="G453" s="135"/>
      <c r="H453" s="135"/>
      <c r="I453" s="135"/>
      <c r="J453" s="135"/>
      <c r="K453" s="135"/>
      <c r="L453" s="135"/>
      <c r="M453" s="182"/>
      <c r="N453" s="135"/>
      <c r="O453" s="135"/>
      <c r="P453" s="189"/>
      <c r="Q453" s="135"/>
      <c r="R453" s="135"/>
      <c r="S453" s="135"/>
      <c r="T453" s="135"/>
      <c r="U453" s="135"/>
      <c r="V453" s="189"/>
      <c r="W453" s="135"/>
      <c r="X453" s="135"/>
      <c r="Y453" s="135"/>
      <c r="Z453" s="135"/>
      <c r="AA453" s="135"/>
      <c r="AB453" s="135"/>
      <c r="AC453" s="135"/>
      <c r="AD453" s="135"/>
    </row>
    <row r="454" customFormat="false" ht="15.75" hidden="false" customHeight="true" outlineLevel="0" collapsed="false">
      <c r="A454" s="135"/>
      <c r="B454" s="135"/>
      <c r="C454" s="135"/>
      <c r="D454" s="135"/>
      <c r="E454" s="182"/>
      <c r="F454" s="135"/>
      <c r="G454" s="135"/>
      <c r="H454" s="135"/>
      <c r="I454" s="135"/>
      <c r="J454" s="135"/>
      <c r="K454" s="135"/>
      <c r="L454" s="135"/>
      <c r="M454" s="182"/>
      <c r="N454" s="135"/>
      <c r="O454" s="135"/>
      <c r="P454" s="189"/>
      <c r="Q454" s="135"/>
      <c r="R454" s="135"/>
      <c r="S454" s="135"/>
      <c r="T454" s="135"/>
      <c r="U454" s="135"/>
      <c r="V454" s="189"/>
      <c r="W454" s="135"/>
      <c r="X454" s="135"/>
      <c r="Y454" s="135"/>
      <c r="Z454" s="135"/>
      <c r="AA454" s="135"/>
      <c r="AB454" s="135"/>
      <c r="AC454" s="135"/>
      <c r="AD454" s="135"/>
    </row>
    <row r="455" customFormat="false" ht="15.75" hidden="false" customHeight="true" outlineLevel="0" collapsed="false">
      <c r="A455" s="135"/>
      <c r="B455" s="135"/>
      <c r="C455" s="135"/>
      <c r="D455" s="135"/>
      <c r="E455" s="182"/>
      <c r="F455" s="135"/>
      <c r="G455" s="135"/>
      <c r="H455" s="135"/>
      <c r="I455" s="135"/>
      <c r="J455" s="135"/>
      <c r="K455" s="135"/>
      <c r="L455" s="135"/>
      <c r="M455" s="182"/>
      <c r="N455" s="135"/>
      <c r="O455" s="135"/>
      <c r="P455" s="189"/>
      <c r="Q455" s="135"/>
      <c r="R455" s="135"/>
      <c r="S455" s="135"/>
      <c r="T455" s="135"/>
      <c r="U455" s="135"/>
      <c r="V455" s="189"/>
      <c r="W455" s="135"/>
      <c r="X455" s="135"/>
      <c r="Y455" s="135"/>
      <c r="Z455" s="135"/>
      <c r="AA455" s="135"/>
      <c r="AB455" s="135"/>
      <c r="AC455" s="135"/>
      <c r="AD455" s="135"/>
    </row>
    <row r="456" customFormat="false" ht="15.75" hidden="false" customHeight="true" outlineLevel="0" collapsed="false">
      <c r="A456" s="135"/>
      <c r="B456" s="135"/>
      <c r="C456" s="135"/>
      <c r="D456" s="135"/>
      <c r="E456" s="182"/>
      <c r="F456" s="135"/>
      <c r="G456" s="135"/>
      <c r="H456" s="135"/>
      <c r="I456" s="135"/>
      <c r="J456" s="135"/>
      <c r="K456" s="135"/>
      <c r="L456" s="135"/>
      <c r="M456" s="182"/>
      <c r="N456" s="135"/>
      <c r="O456" s="135"/>
      <c r="P456" s="189"/>
      <c r="Q456" s="135"/>
      <c r="R456" s="135"/>
      <c r="S456" s="135"/>
      <c r="T456" s="135"/>
      <c r="U456" s="135"/>
      <c r="V456" s="189"/>
      <c r="W456" s="135"/>
      <c r="X456" s="135"/>
      <c r="Y456" s="135"/>
      <c r="Z456" s="135"/>
      <c r="AA456" s="135"/>
      <c r="AB456" s="135"/>
      <c r="AC456" s="135"/>
      <c r="AD456" s="135"/>
    </row>
    <row r="457" customFormat="false" ht="15.75" hidden="false" customHeight="true" outlineLevel="0" collapsed="false">
      <c r="A457" s="135"/>
      <c r="B457" s="135"/>
      <c r="C457" s="135"/>
      <c r="D457" s="135"/>
      <c r="E457" s="182"/>
      <c r="F457" s="135"/>
      <c r="G457" s="135"/>
      <c r="H457" s="135"/>
      <c r="I457" s="135"/>
      <c r="J457" s="135"/>
      <c r="K457" s="135"/>
      <c r="L457" s="135"/>
      <c r="M457" s="182"/>
      <c r="N457" s="135"/>
      <c r="O457" s="135"/>
      <c r="P457" s="189"/>
      <c r="Q457" s="135"/>
      <c r="R457" s="135"/>
      <c r="S457" s="135"/>
      <c r="T457" s="135"/>
      <c r="U457" s="135"/>
      <c r="V457" s="189"/>
      <c r="W457" s="135"/>
      <c r="X457" s="135"/>
      <c r="Y457" s="135"/>
      <c r="Z457" s="135"/>
      <c r="AA457" s="135"/>
      <c r="AB457" s="135"/>
      <c r="AC457" s="135"/>
      <c r="AD457" s="135"/>
    </row>
    <row r="458" customFormat="false" ht="15.75" hidden="false" customHeight="true" outlineLevel="0" collapsed="false">
      <c r="A458" s="135"/>
      <c r="B458" s="135"/>
      <c r="C458" s="135"/>
      <c r="D458" s="135"/>
      <c r="E458" s="182"/>
      <c r="F458" s="135"/>
      <c r="G458" s="135"/>
      <c r="H458" s="135"/>
      <c r="I458" s="135"/>
      <c r="J458" s="135"/>
      <c r="K458" s="135"/>
      <c r="L458" s="135"/>
      <c r="M458" s="182"/>
      <c r="N458" s="135"/>
      <c r="O458" s="135"/>
      <c r="P458" s="189"/>
      <c r="Q458" s="135"/>
      <c r="R458" s="135"/>
      <c r="S458" s="135"/>
      <c r="T458" s="135"/>
      <c r="U458" s="135"/>
      <c r="V458" s="189"/>
      <c r="W458" s="135"/>
      <c r="X458" s="135"/>
      <c r="Y458" s="135"/>
      <c r="Z458" s="135"/>
      <c r="AA458" s="135"/>
      <c r="AB458" s="135"/>
      <c r="AC458" s="135"/>
      <c r="AD458" s="135"/>
    </row>
    <row r="459" customFormat="false" ht="15.75" hidden="false" customHeight="true" outlineLevel="0" collapsed="false">
      <c r="A459" s="135"/>
      <c r="B459" s="135"/>
      <c r="C459" s="135"/>
      <c r="D459" s="135"/>
      <c r="E459" s="182"/>
      <c r="F459" s="135"/>
      <c r="G459" s="135"/>
      <c r="H459" s="135"/>
      <c r="I459" s="135"/>
      <c r="J459" s="135"/>
      <c r="K459" s="135"/>
      <c r="L459" s="135"/>
      <c r="M459" s="182"/>
      <c r="N459" s="135"/>
      <c r="O459" s="135"/>
      <c r="P459" s="189"/>
      <c r="Q459" s="135"/>
      <c r="R459" s="135"/>
      <c r="S459" s="135"/>
      <c r="T459" s="135"/>
      <c r="U459" s="135"/>
      <c r="V459" s="189"/>
      <c r="W459" s="135"/>
      <c r="X459" s="135"/>
      <c r="Y459" s="135"/>
      <c r="Z459" s="135"/>
      <c r="AA459" s="135"/>
      <c r="AB459" s="135"/>
      <c r="AC459" s="135"/>
      <c r="AD459" s="135"/>
    </row>
    <row r="460" customFormat="false" ht="15.75" hidden="false" customHeight="true" outlineLevel="0" collapsed="false">
      <c r="A460" s="135"/>
      <c r="B460" s="135"/>
      <c r="C460" s="135"/>
      <c r="D460" s="135"/>
      <c r="E460" s="182"/>
      <c r="F460" s="135"/>
      <c r="G460" s="135"/>
      <c r="H460" s="135"/>
      <c r="I460" s="135"/>
      <c r="J460" s="135"/>
      <c r="K460" s="135"/>
      <c r="L460" s="135"/>
      <c r="M460" s="182"/>
      <c r="N460" s="135"/>
      <c r="O460" s="135"/>
      <c r="P460" s="189"/>
      <c r="Q460" s="135"/>
      <c r="R460" s="135"/>
      <c r="S460" s="135"/>
      <c r="T460" s="135"/>
      <c r="U460" s="135"/>
      <c r="V460" s="189"/>
      <c r="W460" s="135"/>
      <c r="X460" s="135"/>
      <c r="Y460" s="135"/>
      <c r="Z460" s="135"/>
      <c r="AA460" s="135"/>
      <c r="AB460" s="135"/>
      <c r="AC460" s="135"/>
      <c r="AD460" s="135"/>
    </row>
    <row r="461" customFormat="false" ht="15.75" hidden="false" customHeight="true" outlineLevel="0" collapsed="false">
      <c r="A461" s="135"/>
      <c r="B461" s="135"/>
      <c r="C461" s="135"/>
      <c r="D461" s="135"/>
      <c r="E461" s="182"/>
      <c r="F461" s="135"/>
      <c r="G461" s="135"/>
      <c r="H461" s="135"/>
      <c r="I461" s="135"/>
      <c r="J461" s="135"/>
      <c r="K461" s="135"/>
      <c r="L461" s="135"/>
      <c r="M461" s="182"/>
      <c r="N461" s="135"/>
      <c r="O461" s="135"/>
      <c r="P461" s="189"/>
      <c r="Q461" s="135"/>
      <c r="R461" s="135"/>
      <c r="S461" s="135"/>
      <c r="T461" s="135"/>
      <c r="U461" s="135"/>
      <c r="V461" s="189"/>
      <c r="W461" s="135"/>
      <c r="X461" s="135"/>
      <c r="Y461" s="135"/>
      <c r="Z461" s="135"/>
      <c r="AA461" s="135"/>
      <c r="AB461" s="135"/>
      <c r="AC461" s="135"/>
      <c r="AD461" s="135"/>
    </row>
    <row r="462" customFormat="false" ht="15.75" hidden="false" customHeight="true" outlineLevel="0" collapsed="false">
      <c r="A462" s="135"/>
      <c r="B462" s="135"/>
      <c r="C462" s="135"/>
      <c r="D462" s="135"/>
      <c r="E462" s="182"/>
      <c r="F462" s="135"/>
      <c r="G462" s="135"/>
      <c r="H462" s="135"/>
      <c r="I462" s="135"/>
      <c r="J462" s="135"/>
      <c r="K462" s="135"/>
      <c r="L462" s="135"/>
      <c r="M462" s="182"/>
      <c r="N462" s="135"/>
      <c r="O462" s="135"/>
      <c r="P462" s="189"/>
      <c r="Q462" s="135"/>
      <c r="R462" s="135"/>
      <c r="S462" s="135"/>
      <c r="T462" s="135"/>
      <c r="U462" s="135"/>
      <c r="V462" s="189"/>
      <c r="W462" s="135"/>
      <c r="X462" s="135"/>
      <c r="Y462" s="135"/>
      <c r="Z462" s="135"/>
      <c r="AA462" s="135"/>
      <c r="AB462" s="135"/>
      <c r="AC462" s="135"/>
      <c r="AD462" s="135"/>
    </row>
    <row r="463" customFormat="false" ht="15.75" hidden="false" customHeight="true" outlineLevel="0" collapsed="false">
      <c r="A463" s="135"/>
      <c r="B463" s="135"/>
      <c r="C463" s="135"/>
      <c r="D463" s="135"/>
      <c r="E463" s="182"/>
      <c r="F463" s="135"/>
      <c r="G463" s="135"/>
      <c r="H463" s="135"/>
      <c r="I463" s="135"/>
      <c r="J463" s="135"/>
      <c r="K463" s="135"/>
      <c r="L463" s="135"/>
      <c r="M463" s="182"/>
      <c r="N463" s="135"/>
      <c r="O463" s="135"/>
      <c r="P463" s="189"/>
      <c r="Q463" s="135"/>
      <c r="R463" s="135"/>
      <c r="S463" s="135"/>
      <c r="T463" s="135"/>
      <c r="U463" s="135"/>
      <c r="V463" s="189"/>
      <c r="W463" s="135"/>
      <c r="X463" s="135"/>
      <c r="Y463" s="135"/>
      <c r="Z463" s="135"/>
      <c r="AA463" s="135"/>
      <c r="AB463" s="135"/>
      <c r="AC463" s="135"/>
      <c r="AD463" s="135"/>
    </row>
    <row r="464" customFormat="false" ht="15.75" hidden="false" customHeight="true" outlineLevel="0" collapsed="false">
      <c r="A464" s="135"/>
      <c r="B464" s="135"/>
      <c r="C464" s="135"/>
      <c r="D464" s="135"/>
      <c r="E464" s="182"/>
      <c r="F464" s="135"/>
      <c r="G464" s="135"/>
      <c r="H464" s="135"/>
      <c r="I464" s="135"/>
      <c r="J464" s="135"/>
      <c r="K464" s="135"/>
      <c r="L464" s="135"/>
      <c r="M464" s="182"/>
      <c r="N464" s="135"/>
      <c r="O464" s="135"/>
      <c r="P464" s="189"/>
      <c r="Q464" s="135"/>
      <c r="R464" s="135"/>
      <c r="S464" s="135"/>
      <c r="T464" s="135"/>
      <c r="U464" s="135"/>
      <c r="V464" s="189"/>
      <c r="W464" s="135"/>
      <c r="X464" s="135"/>
      <c r="Y464" s="135"/>
      <c r="Z464" s="135"/>
      <c r="AA464" s="135"/>
      <c r="AB464" s="135"/>
      <c r="AC464" s="135"/>
      <c r="AD464" s="135"/>
    </row>
    <row r="465" customFormat="false" ht="15.75" hidden="false" customHeight="true" outlineLevel="0" collapsed="false">
      <c r="A465" s="135"/>
      <c r="B465" s="135"/>
      <c r="C465" s="135"/>
      <c r="D465" s="135"/>
      <c r="E465" s="182"/>
      <c r="F465" s="135"/>
      <c r="G465" s="135"/>
      <c r="H465" s="135"/>
      <c r="I465" s="135"/>
      <c r="J465" s="135"/>
      <c r="K465" s="135"/>
      <c r="L465" s="135"/>
      <c r="M465" s="182"/>
      <c r="N465" s="135"/>
      <c r="O465" s="135"/>
      <c r="P465" s="189"/>
      <c r="Q465" s="135"/>
      <c r="R465" s="135"/>
      <c r="S465" s="135"/>
      <c r="T465" s="135"/>
      <c r="U465" s="135"/>
      <c r="V465" s="189"/>
      <c r="W465" s="135"/>
      <c r="X465" s="135"/>
      <c r="Y465" s="135"/>
      <c r="Z465" s="135"/>
      <c r="AA465" s="135"/>
      <c r="AB465" s="135"/>
      <c r="AC465" s="135"/>
      <c r="AD465" s="135"/>
    </row>
    <row r="466" customFormat="false" ht="15.75" hidden="false" customHeight="true" outlineLevel="0" collapsed="false">
      <c r="A466" s="135"/>
      <c r="B466" s="135"/>
      <c r="C466" s="135"/>
      <c r="D466" s="135"/>
      <c r="E466" s="182"/>
      <c r="F466" s="135"/>
      <c r="G466" s="135"/>
      <c r="H466" s="135"/>
      <c r="I466" s="135"/>
      <c r="J466" s="135"/>
      <c r="K466" s="135"/>
      <c r="L466" s="135"/>
      <c r="M466" s="182"/>
      <c r="N466" s="135"/>
      <c r="O466" s="135"/>
      <c r="P466" s="189"/>
      <c r="Q466" s="135"/>
      <c r="R466" s="135"/>
      <c r="S466" s="135"/>
      <c r="T466" s="135"/>
      <c r="U466" s="135"/>
      <c r="V466" s="189"/>
      <c r="W466" s="135"/>
      <c r="X466" s="135"/>
      <c r="Y466" s="135"/>
      <c r="Z466" s="135"/>
      <c r="AA466" s="135"/>
      <c r="AB466" s="135"/>
      <c r="AC466" s="135"/>
      <c r="AD466" s="135"/>
    </row>
    <row r="467" customFormat="false" ht="15.75" hidden="false" customHeight="true" outlineLevel="0" collapsed="false">
      <c r="A467" s="135"/>
      <c r="B467" s="135"/>
      <c r="C467" s="135"/>
      <c r="D467" s="135"/>
      <c r="E467" s="182"/>
      <c r="F467" s="135"/>
      <c r="G467" s="135"/>
      <c r="H467" s="135"/>
      <c r="I467" s="135"/>
      <c r="J467" s="135"/>
      <c r="K467" s="135"/>
      <c r="L467" s="135"/>
      <c r="M467" s="182"/>
      <c r="N467" s="135"/>
      <c r="O467" s="135"/>
      <c r="P467" s="189"/>
      <c r="Q467" s="135"/>
      <c r="R467" s="135"/>
      <c r="S467" s="135"/>
      <c r="T467" s="135"/>
      <c r="U467" s="135"/>
      <c r="V467" s="189"/>
      <c r="W467" s="135"/>
      <c r="X467" s="135"/>
      <c r="Y467" s="135"/>
      <c r="Z467" s="135"/>
      <c r="AA467" s="135"/>
      <c r="AB467" s="135"/>
      <c r="AC467" s="135"/>
      <c r="AD467" s="135"/>
    </row>
    <row r="468" customFormat="false" ht="15.75" hidden="false" customHeight="true" outlineLevel="0" collapsed="false">
      <c r="A468" s="135"/>
      <c r="B468" s="135"/>
      <c r="C468" s="135"/>
      <c r="D468" s="135"/>
      <c r="E468" s="182"/>
      <c r="F468" s="135"/>
      <c r="G468" s="135"/>
      <c r="H468" s="135"/>
      <c r="I468" s="135"/>
      <c r="J468" s="135"/>
      <c r="K468" s="135"/>
      <c r="L468" s="135"/>
      <c r="M468" s="182"/>
      <c r="N468" s="135"/>
      <c r="O468" s="135"/>
      <c r="P468" s="189"/>
      <c r="Q468" s="135"/>
      <c r="R468" s="135"/>
      <c r="S468" s="135"/>
      <c r="T468" s="135"/>
      <c r="U468" s="135"/>
      <c r="V468" s="189"/>
      <c r="W468" s="135"/>
      <c r="X468" s="135"/>
      <c r="Y468" s="135"/>
      <c r="Z468" s="135"/>
      <c r="AA468" s="135"/>
      <c r="AB468" s="135"/>
      <c r="AC468" s="135"/>
      <c r="AD468" s="135"/>
    </row>
    <row r="469" customFormat="false" ht="15.75" hidden="false" customHeight="true" outlineLevel="0" collapsed="false">
      <c r="A469" s="135"/>
      <c r="B469" s="135"/>
      <c r="C469" s="135"/>
      <c r="D469" s="135"/>
      <c r="E469" s="182"/>
      <c r="F469" s="135"/>
      <c r="G469" s="135"/>
      <c r="H469" s="135"/>
      <c r="I469" s="135"/>
      <c r="J469" s="135"/>
      <c r="K469" s="135"/>
      <c r="L469" s="135"/>
      <c r="M469" s="182"/>
      <c r="N469" s="135"/>
      <c r="O469" s="135"/>
      <c r="P469" s="189"/>
      <c r="Q469" s="135"/>
      <c r="R469" s="135"/>
      <c r="S469" s="135"/>
      <c r="T469" s="135"/>
      <c r="U469" s="135"/>
      <c r="V469" s="189"/>
      <c r="W469" s="135"/>
      <c r="X469" s="135"/>
      <c r="Y469" s="135"/>
      <c r="Z469" s="135"/>
      <c r="AA469" s="135"/>
      <c r="AB469" s="135"/>
      <c r="AC469" s="135"/>
      <c r="AD469" s="135"/>
    </row>
    <row r="470" customFormat="false" ht="15.75" hidden="false" customHeight="true" outlineLevel="0" collapsed="false">
      <c r="A470" s="135"/>
      <c r="B470" s="135"/>
      <c r="C470" s="135"/>
      <c r="D470" s="135"/>
      <c r="E470" s="182"/>
      <c r="F470" s="135"/>
      <c r="G470" s="135"/>
      <c r="H470" s="135"/>
      <c r="I470" s="135"/>
      <c r="J470" s="135"/>
      <c r="K470" s="135"/>
      <c r="L470" s="135"/>
      <c r="M470" s="182"/>
      <c r="N470" s="135"/>
      <c r="O470" s="135"/>
      <c r="P470" s="189"/>
      <c r="Q470" s="135"/>
      <c r="R470" s="135"/>
      <c r="S470" s="135"/>
      <c r="T470" s="135"/>
      <c r="U470" s="135"/>
      <c r="V470" s="189"/>
      <c r="W470" s="135"/>
      <c r="X470" s="135"/>
      <c r="Y470" s="135"/>
      <c r="Z470" s="135"/>
      <c r="AA470" s="135"/>
      <c r="AB470" s="135"/>
      <c r="AC470" s="135"/>
      <c r="AD470" s="135"/>
    </row>
    <row r="471" customFormat="false" ht="15.75" hidden="false" customHeight="true" outlineLevel="0" collapsed="false">
      <c r="A471" s="135"/>
      <c r="B471" s="135"/>
      <c r="C471" s="135"/>
      <c r="D471" s="135"/>
      <c r="E471" s="182"/>
      <c r="F471" s="135"/>
      <c r="G471" s="135"/>
      <c r="H471" s="135"/>
      <c r="I471" s="135"/>
      <c r="J471" s="135"/>
      <c r="K471" s="135"/>
      <c r="L471" s="135"/>
      <c r="M471" s="182"/>
      <c r="N471" s="135"/>
      <c r="O471" s="135"/>
      <c r="P471" s="189"/>
      <c r="Q471" s="135"/>
      <c r="R471" s="135"/>
      <c r="S471" s="135"/>
      <c r="T471" s="135"/>
      <c r="U471" s="135"/>
      <c r="V471" s="189"/>
      <c r="W471" s="135"/>
      <c r="X471" s="135"/>
      <c r="Y471" s="135"/>
      <c r="Z471" s="135"/>
      <c r="AA471" s="135"/>
      <c r="AB471" s="135"/>
      <c r="AC471" s="135"/>
      <c r="AD471" s="135"/>
    </row>
    <row r="472" customFormat="false" ht="15.75" hidden="false" customHeight="true" outlineLevel="0" collapsed="false">
      <c r="A472" s="135"/>
      <c r="B472" s="135"/>
      <c r="C472" s="135"/>
      <c r="D472" s="135"/>
      <c r="E472" s="182"/>
      <c r="F472" s="135"/>
      <c r="G472" s="135"/>
      <c r="H472" s="135"/>
      <c r="I472" s="135"/>
      <c r="J472" s="135"/>
      <c r="K472" s="135"/>
      <c r="L472" s="135"/>
      <c r="M472" s="182"/>
      <c r="N472" s="135"/>
      <c r="O472" s="135"/>
      <c r="P472" s="189"/>
      <c r="Q472" s="135"/>
      <c r="R472" s="135"/>
      <c r="S472" s="135"/>
      <c r="T472" s="135"/>
      <c r="U472" s="135"/>
      <c r="V472" s="189"/>
      <c r="W472" s="135"/>
      <c r="X472" s="135"/>
      <c r="Y472" s="135"/>
      <c r="Z472" s="135"/>
      <c r="AA472" s="135"/>
      <c r="AB472" s="135"/>
      <c r="AC472" s="135"/>
      <c r="AD472" s="135"/>
    </row>
    <row r="473" customFormat="false" ht="15.75" hidden="false" customHeight="true" outlineLevel="0" collapsed="false">
      <c r="A473" s="135"/>
      <c r="B473" s="135"/>
      <c r="C473" s="135"/>
      <c r="D473" s="135"/>
      <c r="E473" s="182"/>
      <c r="F473" s="135"/>
      <c r="G473" s="135"/>
      <c r="H473" s="135"/>
      <c r="I473" s="135"/>
      <c r="J473" s="135"/>
      <c r="K473" s="135"/>
      <c r="L473" s="135"/>
      <c r="M473" s="182"/>
      <c r="N473" s="135"/>
      <c r="O473" s="135"/>
      <c r="P473" s="189"/>
      <c r="Q473" s="135"/>
      <c r="R473" s="135"/>
      <c r="S473" s="135"/>
      <c r="T473" s="135"/>
      <c r="U473" s="135"/>
      <c r="V473" s="189"/>
      <c r="W473" s="135"/>
      <c r="X473" s="135"/>
      <c r="Y473" s="135"/>
      <c r="Z473" s="135"/>
      <c r="AA473" s="135"/>
      <c r="AB473" s="135"/>
      <c r="AC473" s="135"/>
      <c r="AD473" s="135"/>
    </row>
    <row r="474" customFormat="false" ht="15.75" hidden="false" customHeight="true" outlineLevel="0" collapsed="false">
      <c r="A474" s="135"/>
      <c r="B474" s="135"/>
      <c r="C474" s="135"/>
      <c r="D474" s="135"/>
      <c r="E474" s="182"/>
      <c r="F474" s="135"/>
      <c r="G474" s="135"/>
      <c r="H474" s="135"/>
      <c r="I474" s="135"/>
      <c r="J474" s="135"/>
      <c r="K474" s="135"/>
      <c r="L474" s="135"/>
      <c r="M474" s="182"/>
      <c r="N474" s="135"/>
      <c r="O474" s="135"/>
      <c r="P474" s="189"/>
      <c r="Q474" s="135"/>
      <c r="R474" s="135"/>
      <c r="S474" s="135"/>
      <c r="T474" s="135"/>
      <c r="U474" s="135"/>
      <c r="V474" s="189"/>
      <c r="W474" s="135"/>
      <c r="X474" s="135"/>
      <c r="Y474" s="135"/>
      <c r="Z474" s="135"/>
      <c r="AA474" s="135"/>
      <c r="AB474" s="135"/>
      <c r="AC474" s="135"/>
      <c r="AD474" s="135"/>
    </row>
    <row r="475" customFormat="false" ht="15.75" hidden="false" customHeight="true" outlineLevel="0" collapsed="false">
      <c r="A475" s="135"/>
      <c r="B475" s="135"/>
      <c r="C475" s="135"/>
      <c r="D475" s="135"/>
      <c r="E475" s="182"/>
      <c r="F475" s="135"/>
      <c r="G475" s="135"/>
      <c r="H475" s="135"/>
      <c r="I475" s="135"/>
      <c r="J475" s="135"/>
      <c r="K475" s="135"/>
      <c r="L475" s="135"/>
      <c r="M475" s="182"/>
      <c r="N475" s="135"/>
      <c r="O475" s="135"/>
      <c r="P475" s="189"/>
      <c r="Q475" s="135"/>
      <c r="R475" s="135"/>
      <c r="S475" s="135"/>
      <c r="T475" s="135"/>
      <c r="U475" s="135"/>
      <c r="V475" s="189"/>
      <c r="W475" s="135"/>
      <c r="X475" s="135"/>
      <c r="Y475" s="135"/>
      <c r="Z475" s="135"/>
      <c r="AA475" s="135"/>
      <c r="AB475" s="135"/>
      <c r="AC475" s="135"/>
      <c r="AD475" s="135"/>
    </row>
    <row r="476" customFormat="false" ht="15.75" hidden="false" customHeight="true" outlineLevel="0" collapsed="false">
      <c r="A476" s="135"/>
      <c r="B476" s="135"/>
      <c r="C476" s="135"/>
      <c r="D476" s="135"/>
      <c r="E476" s="182"/>
      <c r="F476" s="135"/>
      <c r="G476" s="135"/>
      <c r="H476" s="135"/>
      <c r="I476" s="135"/>
      <c r="J476" s="135"/>
      <c r="K476" s="135"/>
      <c r="L476" s="135"/>
      <c r="M476" s="182"/>
      <c r="N476" s="135"/>
      <c r="O476" s="135"/>
      <c r="P476" s="189"/>
      <c r="Q476" s="135"/>
      <c r="R476" s="135"/>
      <c r="S476" s="135"/>
      <c r="T476" s="135"/>
      <c r="U476" s="135"/>
      <c r="V476" s="189"/>
      <c r="W476" s="135"/>
      <c r="X476" s="135"/>
      <c r="Y476" s="135"/>
      <c r="Z476" s="135"/>
      <c r="AA476" s="135"/>
      <c r="AB476" s="135"/>
      <c r="AC476" s="135"/>
      <c r="AD476" s="135"/>
    </row>
    <row r="477" customFormat="false" ht="15.75" hidden="false" customHeight="true" outlineLevel="0" collapsed="false">
      <c r="A477" s="135"/>
      <c r="B477" s="135"/>
      <c r="C477" s="135"/>
      <c r="D477" s="135"/>
      <c r="E477" s="182"/>
      <c r="F477" s="135"/>
      <c r="G477" s="135"/>
      <c r="H477" s="135"/>
      <c r="I477" s="135"/>
      <c r="J477" s="135"/>
      <c r="K477" s="135"/>
      <c r="L477" s="135"/>
      <c r="M477" s="182"/>
      <c r="N477" s="135"/>
      <c r="O477" s="135"/>
      <c r="P477" s="189"/>
      <c r="Q477" s="135"/>
      <c r="R477" s="135"/>
      <c r="S477" s="135"/>
      <c r="T477" s="135"/>
      <c r="U477" s="135"/>
      <c r="V477" s="189"/>
      <c r="W477" s="135"/>
      <c r="X477" s="135"/>
      <c r="Y477" s="135"/>
      <c r="Z477" s="135"/>
      <c r="AA477" s="135"/>
      <c r="AB477" s="135"/>
      <c r="AC477" s="135"/>
      <c r="AD477" s="135"/>
    </row>
    <row r="478" customFormat="false" ht="15.75" hidden="false" customHeight="true" outlineLevel="0" collapsed="false">
      <c r="A478" s="135"/>
      <c r="B478" s="135"/>
      <c r="C478" s="135"/>
      <c r="D478" s="135"/>
      <c r="E478" s="182"/>
      <c r="F478" s="135"/>
      <c r="G478" s="135"/>
      <c r="H478" s="135"/>
      <c r="I478" s="135"/>
      <c r="J478" s="135"/>
      <c r="K478" s="135"/>
      <c r="L478" s="135"/>
      <c r="M478" s="182"/>
      <c r="N478" s="135"/>
      <c r="O478" s="135"/>
      <c r="P478" s="189"/>
      <c r="Q478" s="135"/>
      <c r="R478" s="135"/>
      <c r="S478" s="135"/>
      <c r="T478" s="135"/>
      <c r="U478" s="135"/>
      <c r="V478" s="189"/>
      <c r="W478" s="135"/>
      <c r="X478" s="135"/>
      <c r="Y478" s="135"/>
      <c r="Z478" s="135"/>
      <c r="AA478" s="135"/>
      <c r="AB478" s="135"/>
      <c r="AC478" s="135"/>
      <c r="AD478" s="135"/>
    </row>
    <row r="479" customFormat="false" ht="15.75" hidden="false" customHeight="true" outlineLevel="0" collapsed="false">
      <c r="A479" s="135"/>
      <c r="B479" s="135"/>
      <c r="C479" s="135"/>
      <c r="D479" s="135"/>
      <c r="E479" s="182"/>
      <c r="F479" s="135"/>
      <c r="G479" s="135"/>
      <c r="H479" s="135"/>
      <c r="I479" s="135"/>
      <c r="J479" s="135"/>
      <c r="K479" s="135"/>
      <c r="L479" s="135"/>
      <c r="M479" s="182"/>
      <c r="N479" s="135"/>
      <c r="O479" s="135"/>
      <c r="P479" s="189"/>
      <c r="Q479" s="135"/>
      <c r="R479" s="135"/>
      <c r="S479" s="135"/>
      <c r="T479" s="135"/>
      <c r="U479" s="135"/>
      <c r="V479" s="189"/>
      <c r="W479" s="135"/>
      <c r="X479" s="135"/>
      <c r="Y479" s="135"/>
      <c r="Z479" s="135"/>
      <c r="AA479" s="135"/>
      <c r="AB479" s="135"/>
      <c r="AC479" s="135"/>
      <c r="AD479" s="135"/>
    </row>
    <row r="480" customFormat="false" ht="15.75" hidden="false" customHeight="true" outlineLevel="0" collapsed="false">
      <c r="A480" s="135"/>
      <c r="B480" s="135"/>
      <c r="C480" s="135"/>
      <c r="D480" s="135"/>
      <c r="E480" s="182"/>
      <c r="F480" s="135"/>
      <c r="G480" s="135"/>
      <c r="H480" s="135"/>
      <c r="I480" s="135"/>
      <c r="J480" s="135"/>
      <c r="K480" s="135"/>
      <c r="L480" s="135"/>
      <c r="M480" s="182"/>
      <c r="N480" s="135"/>
      <c r="O480" s="135"/>
      <c r="P480" s="189"/>
      <c r="Q480" s="135"/>
      <c r="R480" s="135"/>
      <c r="S480" s="135"/>
      <c r="T480" s="135"/>
      <c r="U480" s="135"/>
      <c r="V480" s="189"/>
      <c r="W480" s="135"/>
      <c r="X480" s="135"/>
      <c r="Y480" s="135"/>
      <c r="Z480" s="135"/>
      <c r="AA480" s="135"/>
      <c r="AB480" s="135"/>
      <c r="AC480" s="135"/>
      <c r="AD480" s="135"/>
    </row>
    <row r="481" customFormat="false" ht="15.75" hidden="false" customHeight="true" outlineLevel="0" collapsed="false">
      <c r="A481" s="135"/>
      <c r="B481" s="135"/>
      <c r="C481" s="135"/>
      <c r="D481" s="135"/>
      <c r="E481" s="182"/>
      <c r="F481" s="135"/>
      <c r="G481" s="135"/>
      <c r="H481" s="135"/>
      <c r="I481" s="135"/>
      <c r="J481" s="135"/>
      <c r="K481" s="135"/>
      <c r="L481" s="135"/>
      <c r="M481" s="182"/>
      <c r="N481" s="135"/>
      <c r="O481" s="135"/>
      <c r="P481" s="189"/>
      <c r="Q481" s="135"/>
      <c r="R481" s="135"/>
      <c r="S481" s="135"/>
      <c r="T481" s="135"/>
      <c r="U481" s="135"/>
      <c r="V481" s="189"/>
      <c r="W481" s="135"/>
      <c r="X481" s="135"/>
      <c r="Y481" s="135"/>
      <c r="Z481" s="135"/>
      <c r="AA481" s="135"/>
      <c r="AB481" s="135"/>
      <c r="AC481" s="135"/>
      <c r="AD481" s="135"/>
    </row>
    <row r="482" customFormat="false" ht="15.75" hidden="false" customHeight="true" outlineLevel="0" collapsed="false">
      <c r="A482" s="135"/>
      <c r="B482" s="135"/>
      <c r="C482" s="135"/>
      <c r="D482" s="135"/>
      <c r="E482" s="182"/>
      <c r="F482" s="135"/>
      <c r="G482" s="135"/>
      <c r="H482" s="135"/>
      <c r="I482" s="135"/>
      <c r="J482" s="135"/>
      <c r="K482" s="135"/>
      <c r="L482" s="135"/>
      <c r="M482" s="182"/>
      <c r="N482" s="135"/>
      <c r="O482" s="135"/>
      <c r="P482" s="189"/>
      <c r="Q482" s="135"/>
      <c r="R482" s="135"/>
      <c r="S482" s="135"/>
      <c r="T482" s="135"/>
      <c r="U482" s="135"/>
      <c r="V482" s="189"/>
      <c r="W482" s="135"/>
      <c r="X482" s="135"/>
      <c r="Y482" s="135"/>
      <c r="Z482" s="135"/>
      <c r="AA482" s="135"/>
      <c r="AB482" s="135"/>
      <c r="AC482" s="135"/>
      <c r="AD482" s="135"/>
    </row>
    <row r="483" customFormat="false" ht="15.75" hidden="false" customHeight="true" outlineLevel="0" collapsed="false">
      <c r="A483" s="135"/>
      <c r="B483" s="135"/>
      <c r="C483" s="135"/>
      <c r="D483" s="135"/>
      <c r="E483" s="182"/>
      <c r="F483" s="135"/>
      <c r="G483" s="135"/>
      <c r="H483" s="135"/>
      <c r="I483" s="135"/>
      <c r="J483" s="135"/>
      <c r="K483" s="135"/>
      <c r="L483" s="135"/>
      <c r="M483" s="182"/>
      <c r="N483" s="135"/>
      <c r="O483" s="135"/>
      <c r="P483" s="189"/>
      <c r="Q483" s="135"/>
      <c r="R483" s="135"/>
      <c r="S483" s="135"/>
      <c r="T483" s="135"/>
      <c r="U483" s="135"/>
      <c r="V483" s="189"/>
      <c r="W483" s="135"/>
      <c r="X483" s="135"/>
      <c r="Y483" s="135"/>
      <c r="Z483" s="135"/>
      <c r="AA483" s="135"/>
      <c r="AB483" s="135"/>
      <c r="AC483" s="135"/>
      <c r="AD483" s="135"/>
    </row>
    <row r="484" customFormat="false" ht="15.75" hidden="false" customHeight="true" outlineLevel="0" collapsed="false">
      <c r="A484" s="135"/>
      <c r="B484" s="135"/>
      <c r="C484" s="135"/>
      <c r="D484" s="135"/>
      <c r="E484" s="182"/>
      <c r="F484" s="135"/>
      <c r="G484" s="135"/>
      <c r="H484" s="135"/>
      <c r="I484" s="135"/>
      <c r="J484" s="135"/>
      <c r="K484" s="135"/>
      <c r="L484" s="135"/>
      <c r="M484" s="182"/>
      <c r="N484" s="135"/>
      <c r="O484" s="135"/>
      <c r="P484" s="189"/>
      <c r="Q484" s="135"/>
      <c r="R484" s="135"/>
      <c r="S484" s="135"/>
      <c r="T484" s="135"/>
      <c r="U484" s="135"/>
      <c r="V484" s="189"/>
      <c r="W484" s="135"/>
      <c r="X484" s="135"/>
      <c r="Y484" s="135"/>
      <c r="Z484" s="135"/>
      <c r="AA484" s="135"/>
      <c r="AB484" s="135"/>
      <c r="AC484" s="135"/>
      <c r="AD484" s="135"/>
    </row>
    <row r="485" customFormat="false" ht="15.75" hidden="false" customHeight="true" outlineLevel="0" collapsed="false">
      <c r="A485" s="135"/>
      <c r="B485" s="135"/>
      <c r="C485" s="135"/>
      <c r="D485" s="135"/>
      <c r="E485" s="182"/>
      <c r="F485" s="135"/>
      <c r="G485" s="135"/>
      <c r="H485" s="135"/>
      <c r="I485" s="135"/>
      <c r="J485" s="135"/>
      <c r="K485" s="135"/>
      <c r="L485" s="135"/>
      <c r="M485" s="182"/>
      <c r="N485" s="135"/>
      <c r="O485" s="135"/>
      <c r="P485" s="189"/>
      <c r="Q485" s="135"/>
      <c r="R485" s="135"/>
      <c r="S485" s="135"/>
      <c r="T485" s="135"/>
      <c r="U485" s="135"/>
      <c r="V485" s="189"/>
      <c r="W485" s="135"/>
      <c r="X485" s="135"/>
      <c r="Y485" s="135"/>
      <c r="Z485" s="135"/>
      <c r="AA485" s="135"/>
      <c r="AB485" s="135"/>
      <c r="AC485" s="135"/>
      <c r="AD485" s="135"/>
    </row>
    <row r="486" customFormat="false" ht="15.75" hidden="false" customHeight="true" outlineLevel="0" collapsed="false">
      <c r="A486" s="135"/>
      <c r="B486" s="135"/>
      <c r="C486" s="135"/>
      <c r="D486" s="135"/>
      <c r="E486" s="182"/>
      <c r="F486" s="135"/>
      <c r="G486" s="135"/>
      <c r="H486" s="135"/>
      <c r="I486" s="135"/>
      <c r="J486" s="135"/>
      <c r="K486" s="135"/>
      <c r="L486" s="135"/>
      <c r="M486" s="182"/>
      <c r="N486" s="135"/>
      <c r="O486" s="135"/>
      <c r="P486" s="189"/>
      <c r="Q486" s="135"/>
      <c r="R486" s="135"/>
      <c r="S486" s="135"/>
      <c r="T486" s="135"/>
      <c r="U486" s="135"/>
      <c r="V486" s="189"/>
      <c r="W486" s="135"/>
      <c r="X486" s="135"/>
      <c r="Y486" s="135"/>
      <c r="Z486" s="135"/>
      <c r="AA486" s="135"/>
      <c r="AB486" s="135"/>
      <c r="AC486" s="135"/>
      <c r="AD486" s="135"/>
    </row>
    <row r="487" customFormat="false" ht="15.75" hidden="false" customHeight="true" outlineLevel="0" collapsed="false">
      <c r="A487" s="135"/>
      <c r="B487" s="135"/>
      <c r="C487" s="135"/>
      <c r="D487" s="135"/>
      <c r="E487" s="182"/>
      <c r="F487" s="135"/>
      <c r="G487" s="135"/>
      <c r="H487" s="135"/>
      <c r="I487" s="135"/>
      <c r="J487" s="135"/>
      <c r="K487" s="135"/>
      <c r="L487" s="135"/>
      <c r="M487" s="182"/>
      <c r="N487" s="135"/>
      <c r="O487" s="135"/>
      <c r="P487" s="189"/>
      <c r="Q487" s="135"/>
      <c r="R487" s="135"/>
      <c r="S487" s="135"/>
      <c r="T487" s="135"/>
      <c r="U487" s="135"/>
      <c r="V487" s="189"/>
      <c r="W487" s="135"/>
      <c r="X487" s="135"/>
      <c r="Y487" s="135"/>
      <c r="Z487" s="135"/>
      <c r="AA487" s="135"/>
      <c r="AB487" s="135"/>
      <c r="AC487" s="135"/>
      <c r="AD487" s="135"/>
    </row>
    <row r="488" customFormat="false" ht="15.75" hidden="false" customHeight="true" outlineLevel="0" collapsed="false">
      <c r="A488" s="135"/>
      <c r="B488" s="135"/>
      <c r="C488" s="135"/>
      <c r="D488" s="135"/>
      <c r="E488" s="182"/>
      <c r="F488" s="135"/>
      <c r="G488" s="135"/>
      <c r="H488" s="135"/>
      <c r="I488" s="135"/>
      <c r="J488" s="135"/>
      <c r="K488" s="135"/>
      <c r="L488" s="135"/>
      <c r="M488" s="182"/>
      <c r="N488" s="135"/>
      <c r="O488" s="135"/>
      <c r="P488" s="189"/>
      <c r="Q488" s="135"/>
      <c r="R488" s="135"/>
      <c r="S488" s="135"/>
      <c r="T488" s="135"/>
      <c r="U488" s="135"/>
      <c r="V488" s="189"/>
      <c r="W488" s="135"/>
      <c r="X488" s="135"/>
      <c r="Y488" s="135"/>
      <c r="Z488" s="135"/>
      <c r="AA488" s="135"/>
      <c r="AB488" s="135"/>
      <c r="AC488" s="135"/>
      <c r="AD488" s="135"/>
    </row>
    <row r="489" customFormat="false" ht="15.75" hidden="false" customHeight="true" outlineLevel="0" collapsed="false">
      <c r="A489" s="135"/>
      <c r="B489" s="135"/>
      <c r="C489" s="135"/>
      <c r="D489" s="135"/>
      <c r="E489" s="182"/>
      <c r="F489" s="135"/>
      <c r="G489" s="135"/>
      <c r="H489" s="135"/>
      <c r="I489" s="135"/>
      <c r="J489" s="135"/>
      <c r="K489" s="135"/>
      <c r="L489" s="135"/>
      <c r="M489" s="182"/>
      <c r="N489" s="135"/>
      <c r="O489" s="135"/>
      <c r="P489" s="189"/>
      <c r="Q489" s="135"/>
      <c r="R489" s="135"/>
      <c r="S489" s="135"/>
      <c r="T489" s="135"/>
      <c r="U489" s="135"/>
      <c r="V489" s="189"/>
      <c r="W489" s="135"/>
      <c r="X489" s="135"/>
      <c r="Y489" s="135"/>
      <c r="Z489" s="135"/>
      <c r="AA489" s="135"/>
      <c r="AB489" s="135"/>
      <c r="AC489" s="135"/>
      <c r="AD489" s="135"/>
    </row>
    <row r="490" customFormat="false" ht="15.75" hidden="false" customHeight="true" outlineLevel="0" collapsed="false">
      <c r="A490" s="135"/>
      <c r="B490" s="135"/>
      <c r="C490" s="135"/>
      <c r="D490" s="135"/>
      <c r="E490" s="182"/>
      <c r="F490" s="135"/>
      <c r="G490" s="135"/>
      <c r="H490" s="135"/>
      <c r="I490" s="135"/>
      <c r="J490" s="135"/>
      <c r="K490" s="135"/>
      <c r="L490" s="135"/>
      <c r="M490" s="182"/>
      <c r="N490" s="135"/>
      <c r="O490" s="135"/>
      <c r="P490" s="189"/>
      <c r="Q490" s="135"/>
      <c r="R490" s="135"/>
      <c r="S490" s="135"/>
      <c r="T490" s="135"/>
      <c r="U490" s="135"/>
      <c r="V490" s="189"/>
      <c r="W490" s="135"/>
      <c r="X490" s="135"/>
      <c r="Y490" s="135"/>
      <c r="Z490" s="135"/>
      <c r="AA490" s="135"/>
      <c r="AB490" s="135"/>
      <c r="AC490" s="135"/>
      <c r="AD490" s="135"/>
    </row>
    <row r="491" customFormat="false" ht="15.75" hidden="false" customHeight="true" outlineLevel="0" collapsed="false">
      <c r="A491" s="135"/>
      <c r="B491" s="135"/>
      <c r="C491" s="135"/>
      <c r="D491" s="135"/>
      <c r="E491" s="182"/>
      <c r="F491" s="135"/>
      <c r="G491" s="135"/>
      <c r="H491" s="135"/>
      <c r="I491" s="135"/>
      <c r="J491" s="135"/>
      <c r="K491" s="135"/>
      <c r="L491" s="135"/>
      <c r="M491" s="182"/>
      <c r="N491" s="135"/>
      <c r="O491" s="135"/>
      <c r="P491" s="189"/>
      <c r="Q491" s="135"/>
      <c r="R491" s="135"/>
      <c r="S491" s="135"/>
      <c r="T491" s="135"/>
      <c r="U491" s="135"/>
      <c r="V491" s="189"/>
      <c r="W491" s="135"/>
      <c r="X491" s="135"/>
      <c r="Y491" s="135"/>
      <c r="Z491" s="135"/>
      <c r="AA491" s="135"/>
      <c r="AB491" s="135"/>
      <c r="AC491" s="135"/>
      <c r="AD491" s="135"/>
    </row>
    <row r="492" customFormat="false" ht="15.75" hidden="false" customHeight="true" outlineLevel="0" collapsed="false">
      <c r="A492" s="135"/>
      <c r="B492" s="135"/>
      <c r="C492" s="135"/>
      <c r="D492" s="135"/>
      <c r="E492" s="182"/>
      <c r="F492" s="135"/>
      <c r="G492" s="135"/>
      <c r="H492" s="135"/>
      <c r="I492" s="135"/>
      <c r="J492" s="135"/>
      <c r="K492" s="135"/>
      <c r="L492" s="135"/>
      <c r="M492" s="182"/>
      <c r="N492" s="135"/>
      <c r="O492" s="135"/>
      <c r="P492" s="189"/>
      <c r="Q492" s="135"/>
      <c r="R492" s="135"/>
      <c r="S492" s="135"/>
      <c r="T492" s="135"/>
      <c r="U492" s="135"/>
      <c r="V492" s="189"/>
      <c r="W492" s="135"/>
      <c r="X492" s="135"/>
      <c r="Y492" s="135"/>
      <c r="Z492" s="135"/>
      <c r="AA492" s="135"/>
      <c r="AB492" s="135"/>
      <c r="AC492" s="135"/>
      <c r="AD492" s="135"/>
    </row>
    <row r="493" customFormat="false" ht="15.75" hidden="false" customHeight="true" outlineLevel="0" collapsed="false">
      <c r="A493" s="135"/>
      <c r="B493" s="135"/>
      <c r="C493" s="135"/>
      <c r="D493" s="135"/>
      <c r="E493" s="182"/>
      <c r="F493" s="135"/>
      <c r="G493" s="135"/>
      <c r="H493" s="135"/>
      <c r="I493" s="135"/>
      <c r="J493" s="135"/>
      <c r="K493" s="135"/>
      <c r="L493" s="135"/>
      <c r="M493" s="182"/>
      <c r="N493" s="135"/>
      <c r="O493" s="135"/>
      <c r="P493" s="189"/>
      <c r="Q493" s="135"/>
      <c r="R493" s="135"/>
      <c r="S493" s="135"/>
      <c r="T493" s="135"/>
      <c r="U493" s="135"/>
      <c r="V493" s="189"/>
      <c r="W493" s="135"/>
      <c r="X493" s="135"/>
      <c r="Y493" s="135"/>
      <c r="Z493" s="135"/>
      <c r="AA493" s="135"/>
      <c r="AB493" s="135"/>
      <c r="AC493" s="135"/>
      <c r="AD493" s="135"/>
    </row>
    <row r="494" customFormat="false" ht="15.75" hidden="false" customHeight="true" outlineLevel="0" collapsed="false">
      <c r="A494" s="135"/>
      <c r="B494" s="135"/>
      <c r="C494" s="135"/>
      <c r="D494" s="135"/>
      <c r="E494" s="182"/>
      <c r="F494" s="135"/>
      <c r="G494" s="135"/>
      <c r="H494" s="135"/>
      <c r="I494" s="135"/>
      <c r="J494" s="135"/>
      <c r="K494" s="135"/>
      <c r="L494" s="135"/>
      <c r="M494" s="182"/>
      <c r="N494" s="135"/>
      <c r="O494" s="135"/>
      <c r="P494" s="189"/>
      <c r="Q494" s="135"/>
      <c r="R494" s="135"/>
      <c r="S494" s="135"/>
      <c r="T494" s="135"/>
      <c r="U494" s="135"/>
      <c r="V494" s="189"/>
      <c r="W494" s="135"/>
      <c r="X494" s="135"/>
      <c r="Y494" s="135"/>
      <c r="Z494" s="135"/>
      <c r="AA494" s="135"/>
      <c r="AB494" s="135"/>
      <c r="AC494" s="135"/>
      <c r="AD494" s="135"/>
    </row>
    <row r="495" customFormat="false" ht="15.75" hidden="false" customHeight="true" outlineLevel="0" collapsed="false">
      <c r="A495" s="135"/>
      <c r="B495" s="135"/>
      <c r="C495" s="135"/>
      <c r="D495" s="135"/>
      <c r="E495" s="182"/>
      <c r="F495" s="135"/>
      <c r="G495" s="135"/>
      <c r="H495" s="135"/>
      <c r="I495" s="135"/>
      <c r="J495" s="135"/>
      <c r="K495" s="135"/>
      <c r="L495" s="135"/>
      <c r="M495" s="182"/>
      <c r="N495" s="135"/>
      <c r="O495" s="135"/>
      <c r="P495" s="189"/>
      <c r="Q495" s="135"/>
      <c r="R495" s="135"/>
      <c r="S495" s="135"/>
      <c r="T495" s="135"/>
      <c r="U495" s="135"/>
      <c r="V495" s="189"/>
      <c r="W495" s="135"/>
      <c r="X495" s="135"/>
      <c r="Y495" s="135"/>
      <c r="Z495" s="135"/>
      <c r="AA495" s="135"/>
      <c r="AB495" s="135"/>
      <c r="AC495" s="135"/>
      <c r="AD495" s="135"/>
    </row>
    <row r="496" customFormat="false" ht="15.75" hidden="false" customHeight="true" outlineLevel="0" collapsed="false">
      <c r="A496" s="135"/>
      <c r="B496" s="135"/>
      <c r="C496" s="135"/>
      <c r="D496" s="135"/>
      <c r="E496" s="182"/>
      <c r="F496" s="135"/>
      <c r="G496" s="135"/>
      <c r="H496" s="135"/>
      <c r="I496" s="135"/>
      <c r="J496" s="135"/>
      <c r="K496" s="135"/>
      <c r="L496" s="135"/>
      <c r="M496" s="182"/>
      <c r="N496" s="135"/>
      <c r="O496" s="135"/>
      <c r="P496" s="189"/>
      <c r="Q496" s="135"/>
      <c r="R496" s="135"/>
      <c r="S496" s="135"/>
      <c r="T496" s="135"/>
      <c r="U496" s="135"/>
      <c r="V496" s="189"/>
      <c r="W496" s="135"/>
      <c r="X496" s="135"/>
      <c r="Y496" s="135"/>
      <c r="Z496" s="135"/>
      <c r="AA496" s="135"/>
      <c r="AB496" s="135"/>
      <c r="AC496" s="135"/>
      <c r="AD496" s="135"/>
    </row>
    <row r="497" customFormat="false" ht="15.75" hidden="false" customHeight="true" outlineLevel="0" collapsed="false">
      <c r="A497" s="135"/>
      <c r="B497" s="135"/>
      <c r="C497" s="135"/>
      <c r="D497" s="135"/>
      <c r="E497" s="182"/>
      <c r="F497" s="135"/>
      <c r="G497" s="135"/>
      <c r="H497" s="135"/>
      <c r="I497" s="135"/>
      <c r="J497" s="135"/>
      <c r="K497" s="135"/>
      <c r="L497" s="135"/>
      <c r="M497" s="182"/>
      <c r="N497" s="135"/>
      <c r="O497" s="135"/>
      <c r="P497" s="189"/>
      <c r="Q497" s="135"/>
      <c r="R497" s="135"/>
      <c r="S497" s="135"/>
      <c r="T497" s="135"/>
      <c r="U497" s="135"/>
      <c r="V497" s="189"/>
      <c r="W497" s="135"/>
      <c r="X497" s="135"/>
      <c r="Y497" s="135"/>
      <c r="Z497" s="135"/>
      <c r="AA497" s="135"/>
      <c r="AB497" s="135"/>
      <c r="AC497" s="135"/>
      <c r="AD497" s="135"/>
    </row>
    <row r="498" customFormat="false" ht="15.75" hidden="false" customHeight="true" outlineLevel="0" collapsed="false">
      <c r="A498" s="135"/>
      <c r="B498" s="135"/>
      <c r="C498" s="135"/>
      <c r="D498" s="135"/>
      <c r="E498" s="182"/>
      <c r="F498" s="135"/>
      <c r="G498" s="135"/>
      <c r="H498" s="135"/>
      <c r="I498" s="135"/>
      <c r="J498" s="135"/>
      <c r="K498" s="135"/>
      <c r="L498" s="135"/>
      <c r="M498" s="182"/>
      <c r="N498" s="135"/>
      <c r="O498" s="135"/>
      <c r="P498" s="189"/>
      <c r="Q498" s="135"/>
      <c r="R498" s="135"/>
      <c r="S498" s="135"/>
      <c r="T498" s="135"/>
      <c r="U498" s="135"/>
      <c r="V498" s="189"/>
      <c r="W498" s="135"/>
      <c r="X498" s="135"/>
      <c r="Y498" s="135"/>
      <c r="Z498" s="135"/>
      <c r="AA498" s="135"/>
      <c r="AB498" s="135"/>
      <c r="AC498" s="135"/>
      <c r="AD498" s="135"/>
    </row>
    <row r="499" customFormat="false" ht="15.75" hidden="false" customHeight="true" outlineLevel="0" collapsed="false">
      <c r="A499" s="135"/>
      <c r="B499" s="135"/>
      <c r="C499" s="135"/>
      <c r="D499" s="135"/>
      <c r="E499" s="182"/>
      <c r="F499" s="135"/>
      <c r="G499" s="135"/>
      <c r="H499" s="135"/>
      <c r="I499" s="135"/>
      <c r="J499" s="135"/>
      <c r="K499" s="135"/>
      <c r="L499" s="135"/>
      <c r="M499" s="182"/>
      <c r="N499" s="135"/>
      <c r="O499" s="135"/>
      <c r="P499" s="189"/>
      <c r="Q499" s="135"/>
      <c r="R499" s="135"/>
      <c r="S499" s="135"/>
      <c r="T499" s="135"/>
      <c r="U499" s="135"/>
      <c r="V499" s="189"/>
      <c r="W499" s="135"/>
      <c r="X499" s="135"/>
      <c r="Y499" s="135"/>
      <c r="Z499" s="135"/>
      <c r="AA499" s="135"/>
      <c r="AB499" s="135"/>
      <c r="AC499" s="135"/>
      <c r="AD499" s="135"/>
    </row>
    <row r="500" customFormat="false" ht="15.75" hidden="false" customHeight="true" outlineLevel="0" collapsed="false">
      <c r="A500" s="135"/>
      <c r="B500" s="135"/>
      <c r="C500" s="135"/>
      <c r="D500" s="135"/>
      <c r="E500" s="182"/>
      <c r="F500" s="135"/>
      <c r="G500" s="135"/>
      <c r="H500" s="135"/>
      <c r="I500" s="135"/>
      <c r="J500" s="135"/>
      <c r="K500" s="135"/>
      <c r="L500" s="135"/>
      <c r="M500" s="182"/>
      <c r="N500" s="135"/>
      <c r="O500" s="135"/>
      <c r="P500" s="189"/>
      <c r="Q500" s="135"/>
      <c r="R500" s="135"/>
      <c r="S500" s="135"/>
      <c r="T500" s="135"/>
      <c r="U500" s="135"/>
      <c r="V500" s="189"/>
      <c r="W500" s="135"/>
      <c r="X500" s="135"/>
      <c r="Y500" s="135"/>
      <c r="Z500" s="135"/>
      <c r="AA500" s="135"/>
      <c r="AB500" s="135"/>
      <c r="AC500" s="135"/>
      <c r="AD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R9"/>
  <conditionalFormatting sqref="O4:O1000">
    <cfRule type="expression" priority="2" aboveAverage="0" equalAverage="0" bottom="0" percent="0" rank="0" text="" dxfId="14">
      <formula>ISNUMBER(SEARCH("dropped",O4))</formula>
    </cfRule>
    <cfRule type="expression" priority="3" aboveAverage="0" equalAverage="0" bottom="0" percent="0" rank="0" text="" dxfId="18">
      <formula>ISNUMBER(SEARCH("completed",O4))</formula>
    </cfRule>
    <cfRule type="expression" priority="4" aboveAverage="0" equalAverage="0" bottom="0" percent="0" rank="0" text="" dxfId="15">
      <formula>ISNUMBER(SEARCH("transferred",O4))</formula>
    </cfRule>
  </conditionalFormatting>
  <conditionalFormatting sqref="R4:R1000">
    <cfRule type="expression" priority="5" aboveAverage="0" equalAverage="0" bottom="0" percent="0" rank="0" text="" dxfId="15">
      <formula>ISNUMBER(SEARCH("at_risk",R4))</formula>
    </cfRule>
    <cfRule type="expression" priority="6" aboveAverage="0" equalAverage="0" bottom="0" percent="0" rank="0" text="" dxfId="14">
      <formula>ISNUMBER(SEARCH("off_track",R4))</formula>
    </cfRule>
  </conditionalFormatting>
  <conditionalFormatting sqref="S4:S1000">
    <cfRule type="expression" priority="7" aboveAverage="0" equalAverage="0" bottom="0" percent="0" rank="0" text="" dxfId="15">
      <formula>ISNUMBER(SEARCH("at_risk",S4))</formula>
    </cfRule>
    <cfRule type="expression" priority="8" aboveAverage="0" equalAverage="0" bottom="0" percent="0" rank="0" text="" dxfId="14">
      <formula>ISNUMBER(SEARCH("off_track",S4))</formula>
    </cfRule>
  </conditionalFormatting>
  <conditionalFormatting sqref="Y4:Y1000">
    <cfRule type="expression" priority="9" aboveAverage="0" equalAverage="0" bottom="0" percent="0" rank="0" text="" dxfId="14">
      <formula>ISNUMBER(SEARCH("⚠",Y4))</formula>
    </cfRule>
    <cfRule type="expression" priority="10" aboveAverage="0" equalAverage="0" bottom="0" percent="0" rank="0" text="" dxfId="18">
      <formula>ISNUMBER(SEARCH("✓",Y4))</formula>
    </cfRule>
    <cfRule type="expression" priority="11" aboveAverage="0" equalAverage="0" bottom="0" percent="0" rank="0" text="" dxfId="14">
      <formula>OR(ISNUMBER(SEARCH("Quá SLA",Y4)),ISNUMBER(SEARCH("NGAY",Y4)),ISNUMBER(SEARCH("GẤP",Y4)),ISNUMBER(SEARCH("NGUY HIỂM",Y4)),ISNUMBER(SEARCH("XỬ LÝ",Y4)),ISNUMBER(SEARCH("THAM GIA",Y4)),ISNUMBER(SEARCH("LH GẤP",Y4)))</formula>
    </cfRule>
    <cfRule type="expression" priority="12" aboveAverage="0" equalAverage="0" bottom="0" percent="0" rank="0" text="" dxfId="15">
      <formula>OR(ISNUMBER(SEARCH("đến hạn",Y4)),ISNUMBER(SEARCH("còn ",Y4)),ISNUMBER(SEARCH("trong SLA",Y4)),ISNUMBER(SEARCH("chốt",Y4)),ISNUMBER(SEARCH("LH chốt",Y4)),ISNUMBER(SEARCH("Follow-up",Y4)),ISNUMBER(SEARCH("Phân tích",Y4)),ISNUMBER(SEARCH("đến hạn",Y4)),ISNUMBER(SEARCH("Set ",Y4)))</formula>
    </cfRule>
    <cfRule type="expression" priority="13" aboveAverage="0" equalAverage="0" bottom="0" percent="0" rank="0" text="" dxfId="18">
      <formula>OR(ISNUMBER(SEARCH("Đã đóng",Y4)),ISNUMBER(SEARCH("Đã chốt",Y4)),ISNUMBER(SEARCH("Đã tư vấn",Y4)),ISNUMBER(SEARCH("Đã hủy",Y4)),ISNUMBER(SEARCH("hoàn tất",Y4)),ISNUMBER(SEARCH("đều đặn",Y4)),ISNUMBER(SEARCH("giải quyết",Y4)),ISNUMBER(SEARCH("Đã tái ĐK",Y4)),ISNUMBER(SEARCH("đủ",Y4)))</formula>
    </cfRule>
  </conditionalFormatting>
  <conditionalFormatting sqref="AD4:AD1000">
    <cfRule type="expression" priority="14" aboveAverage="0" equalAverage="0" bottom="0" percent="0" rank="0" text="" dxfId="19">
      <formula>OR(ISNUMBER(SEARCH(" ngay",AD4)),ISNUMBER(SEARCH(" gấp",AD4)),ISNUMBER(SEARCH("GỌI",AD4)),ISNUMBER(SEARCH("NGUY",AD4)))</formula>
    </cfRule>
    <cfRule type="expression" priority="15" aboveAverage="0" equalAverage="0" bottom="0" percent="0" rank="0" text="" dxfId="20">
      <formula>ISNUMBER(SEARCH("Không cần làm gì",AD4))</formula>
    </cfRule>
    <cfRule type="expression" priority="16" aboveAverage="0" equalAverage="0" bottom="0" percent="0" rank="0" text="" dxfId="21">
      <formula>LEN(AD4)&gt;0</formula>
    </cfRule>
  </conditionalFormatting>
  <dataValidations count="9">
    <dataValidation allowBlank="true" errorStyle="stop" operator="between" showDropDown="false" showErrorMessage="false" showInputMessage="false" sqref="G4:G500" type="list">
      <formula1>'CH1. Danh mục lựa chọn'!$B$50:$B$52</formula1>
      <formula2>0</formula2>
    </dataValidation>
    <dataValidation allowBlank="true" errorStyle="stop" operator="between" showDropDown="false" showErrorMessage="false" showInputMessage="false" sqref="S4:S500" type="list">
      <formula1>'CH1. Danh mục lựa chọn'!$B$194:$B$196</formula1>
      <formula2>0</formula2>
    </dataValidation>
    <dataValidation allowBlank="true" errorStyle="stop" operator="between" showDropDown="false" showErrorMessage="false" showInputMessage="false" sqref="R4:R500" type="list">
      <formula1>'CH1. Danh mục lựa chọn'!$B$181:$B$183</formula1>
      <formula2>0</formula2>
    </dataValidation>
    <dataValidation allowBlank="true" errorStyle="stop" operator="between" prompt="Email không hợp lệ - Email phải chứa ký tự @ (VD: ten@ieltsthetutors.edu.vn)" showDropDown="false" showErrorMessage="true" showInputMessage="true" sqref="D4:D500" type="custom">
      <formula1>ISNUMBER(SEARCH("@",D4))</formula1>
      <formula2>0</formula2>
    </dataValidation>
    <dataValidation allowBlank="true" errorStyle="stop" operator="between" showDropDown="false" showErrorMessage="false" showInputMessage="false" sqref="U4:U500" type="list">
      <formula1>'CH1. Danh mục lựa chọn'!$B$200:$B$204</formula1>
      <formula2>0</formula2>
    </dataValidation>
    <dataValidation allowBlank="true" errorStyle="stop" operator="between" prompt="SĐT không hợp lệ - Số điện thoại phải đúng 10 chữ số (VD: 0901234567)" showDropDown="false" showErrorMessage="true" showInputMessage="true" sqref="C4:C500 J4:J500" type="custom">
      <formula1>AND(LEN(C4)=10,ISNUMBER(VALUE(C4)))</formula1>
      <formula2>0</formula2>
    </dataValidation>
    <dataValidation allowBlank="true" errorStyle="stop" operator="between" showDropDown="false" showErrorMessage="false" showInputMessage="false" sqref="Q4:Q500" type="list">
      <formula1>'CH1. Danh mục lựa chọn'!$B$423:$B$428</formula1>
      <formula2>0</formula2>
    </dataValidation>
    <dataValidation allowBlank="true" errorStyle="stop" operator="between" showDropDown="false" showErrorMessage="false" showInputMessage="false" sqref="T4:T500" type="list">
      <formula1>'CH1. Danh mục lựa chọn'!$B$187:$B$190</formula1>
      <formula2>0</formula2>
    </dataValidation>
    <dataValidation allowBlank="true" errorStyle="stop" operator="between" showDropDown="false" showErrorMessage="false" showInputMessage="false" sqref="O4:O500" type="list">
      <formula1>'CH1. Danh mục lựa chọn'!$B$163:$B$166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0.57"/>
    <col collapsed="false" customWidth="true" hidden="false" outlineLevel="0" max="2" min="2" style="1" width="48.14"/>
    <col collapsed="false" customWidth="true" hidden="false" outlineLevel="0" max="3" min="3" style="1" width="17.86"/>
    <col collapsed="false" customWidth="true" hidden="false" outlineLevel="0" max="4" min="4" style="1" width="28.14"/>
    <col collapsed="false" customWidth="true" hidden="false" outlineLevel="0" max="5" min="5" style="1" width="20.43"/>
    <col collapsed="false" customWidth="true" hidden="false" outlineLevel="0" max="6" min="6" style="1" width="21.57"/>
    <col collapsed="false" customWidth="true" hidden="false" outlineLevel="0" max="7" min="7" style="1" width="20.57"/>
    <col collapsed="false" customWidth="true" hidden="false" outlineLevel="0" max="8" min="8" style="1" width="22"/>
    <col collapsed="false" customWidth="true" hidden="false" outlineLevel="0" max="9" min="9" style="1" width="19.57"/>
    <col collapsed="false" customWidth="true" hidden="false" outlineLevel="0" max="10" min="10" style="1" width="25.43"/>
    <col collapsed="false" customWidth="true" hidden="false" outlineLevel="0" max="11" min="11" style="1" width="32.29"/>
    <col collapsed="false" customWidth="true" hidden="false" outlineLevel="0" max="12" min="12" style="1" width="24.57"/>
    <col collapsed="false" customWidth="true" hidden="false" outlineLevel="0" max="13" min="13" style="1" width="23.71"/>
    <col collapsed="false" customWidth="true" hidden="false" outlineLevel="0" max="14" min="14" style="1" width="45.57"/>
    <col collapsed="false" customWidth="true" hidden="false" outlineLevel="0" max="15" min="15" style="1" width="53.14"/>
    <col collapsed="false" customWidth="true" hidden="false" outlineLevel="0" max="16" min="16" style="1" width="28.71"/>
    <col collapsed="false" customWidth="true" hidden="false" outlineLevel="0" max="26" min="17" style="1" width="8.71"/>
  </cols>
  <sheetData>
    <row r="1" customFormat="false" ht="21.75" hidden="false" customHeight="true" outlineLevel="0" collapsed="false">
      <c r="A1" s="214" t="s">
        <v>872</v>
      </c>
      <c r="B1" s="214" t="s">
        <v>3159</v>
      </c>
      <c r="C1" s="214" t="s">
        <v>854</v>
      </c>
      <c r="D1" s="214" t="s">
        <v>3160</v>
      </c>
      <c r="E1" s="214" t="s">
        <v>3161</v>
      </c>
      <c r="F1" s="214" t="s">
        <v>3162</v>
      </c>
      <c r="G1" s="214" t="s">
        <v>3163</v>
      </c>
      <c r="H1" s="214" t="s">
        <v>890</v>
      </c>
      <c r="I1" s="214" t="s">
        <v>3164</v>
      </c>
      <c r="J1" s="214" t="s">
        <v>891</v>
      </c>
      <c r="K1" s="214" t="s">
        <v>3165</v>
      </c>
      <c r="L1" s="214" t="s">
        <v>2479</v>
      </c>
      <c r="M1" s="214" t="s">
        <v>2267</v>
      </c>
      <c r="N1" s="214" t="s">
        <v>3166</v>
      </c>
      <c r="O1" s="214" t="s">
        <v>2270</v>
      </c>
      <c r="P1" s="214" t="s">
        <v>864</v>
      </c>
    </row>
    <row r="2" customFormat="false" ht="18" hidden="false" customHeight="true" outlineLevel="0" collapsed="false">
      <c r="A2" s="176" t="s">
        <v>3167</v>
      </c>
      <c r="B2" s="176" t="s">
        <v>3168</v>
      </c>
      <c r="C2" s="176" t="s">
        <v>2859</v>
      </c>
      <c r="D2" s="176" t="s">
        <v>3169</v>
      </c>
      <c r="E2" s="176" t="s">
        <v>3170</v>
      </c>
      <c r="F2" s="176" t="s">
        <v>3171</v>
      </c>
      <c r="G2" s="176" t="s">
        <v>3172</v>
      </c>
      <c r="H2" s="176" t="s">
        <v>3173</v>
      </c>
      <c r="I2" s="176" t="s">
        <v>3174</v>
      </c>
      <c r="J2" s="176" t="s">
        <v>3175</v>
      </c>
      <c r="K2" s="176" t="s">
        <v>3176</v>
      </c>
      <c r="L2" s="176" t="s">
        <v>2497</v>
      </c>
      <c r="M2" s="176" t="s">
        <v>2277</v>
      </c>
      <c r="N2" s="176" t="s">
        <v>3177</v>
      </c>
      <c r="O2" s="176" t="s">
        <v>2281</v>
      </c>
      <c r="P2" s="176" t="s">
        <v>2874</v>
      </c>
    </row>
    <row r="3" customFormat="false" ht="27.75" hidden="false" customHeight="true" outlineLevel="0" collapsed="false">
      <c r="A3" s="195" t="s">
        <v>3178</v>
      </c>
      <c r="B3" s="195" t="s">
        <v>3179</v>
      </c>
      <c r="C3" s="195" t="s">
        <v>3180</v>
      </c>
      <c r="D3" s="195" t="s">
        <v>3181</v>
      </c>
      <c r="E3" s="195" t="s">
        <v>3182</v>
      </c>
      <c r="F3" s="195" t="s">
        <v>2291</v>
      </c>
      <c r="G3" s="195" t="s">
        <v>2291</v>
      </c>
      <c r="H3" s="195" t="s">
        <v>3183</v>
      </c>
      <c r="I3" s="195" t="s">
        <v>3184</v>
      </c>
      <c r="J3" s="195" t="s">
        <v>3185</v>
      </c>
      <c r="K3" s="195" t="s">
        <v>2514</v>
      </c>
      <c r="L3" s="195" t="s">
        <v>2795</v>
      </c>
      <c r="M3" s="195" t="s">
        <v>2519</v>
      </c>
      <c r="N3" s="195" t="s">
        <v>3186</v>
      </c>
      <c r="O3" s="195"/>
      <c r="P3" s="195" t="s">
        <v>2889</v>
      </c>
    </row>
    <row r="4" customFormat="false" ht="34.5" hidden="false" customHeight="true" outlineLevel="0" collapsed="false">
      <c r="A4" s="209" t="s">
        <v>135</v>
      </c>
      <c r="B4" s="209" t="s">
        <v>3187</v>
      </c>
      <c r="C4" s="210" t="str">
        <f aca="false">IFERROR(HYPERLINK("#'DL05. Khóa học'!A"&amp;MATCH("CRS-FOUND-PLA",'DL05. Khóa học'!A:A,0),"CRS-FOUND-PLA"),"CRS-FOUND-PLA")</f>
        <v>CRS-FOUND-PLA</v>
      </c>
      <c r="D4" s="209" t="s">
        <v>1384</v>
      </c>
      <c r="E4" s="209" t="s">
        <v>3188</v>
      </c>
      <c r="F4" s="232" t="n">
        <v>46204</v>
      </c>
      <c r="G4" s="232" t="n">
        <v>46387</v>
      </c>
      <c r="H4" s="210" t="str">
        <f aca="false">IFERROR(HYPERLINK("#'DL05. Khóa học'!A"&amp;MATCH("NV005",'DL01. Nhân viên'!A:A,0),"NV005"),"NV005")</f>
        <v>NV005</v>
      </c>
      <c r="I4" s="230" t="n">
        <v>12</v>
      </c>
      <c r="J4" s="233" t="n">
        <f aca="false">IFERROR(COUNTIFS('DL08. Xếp lớp &amp; Nhập học'!H:H,A4,'DL08. Xếp lớp &amp; Nhập học'!K:K,"completed*"),0)</f>
        <v>3</v>
      </c>
      <c r="K4" s="209" t="s">
        <v>1378</v>
      </c>
      <c r="L4" s="209" t="s">
        <v>1028</v>
      </c>
      <c r="M4" s="209" t="s">
        <v>1420</v>
      </c>
      <c r="N4" s="209" t="s">
        <v>3189</v>
      </c>
      <c r="O4" s="209" t="s">
        <v>3190</v>
      </c>
      <c r="P4" s="224" t="str">
        <f aca="false">IFERROR(VLOOKUP(C4,'DL05. Khóa học'!$A:$B,2,FALSE()),"")</f>
        <v>Foundation PLA T7-CN</v>
      </c>
    </row>
    <row r="5" customFormat="false" ht="34.5" hidden="false" customHeight="true" outlineLevel="0" collapsed="false">
      <c r="A5" s="209" t="s">
        <v>3191</v>
      </c>
      <c r="B5" s="209" t="s">
        <v>3192</v>
      </c>
      <c r="C5" s="210" t="str">
        <f aca="false">IFERROR(HYPERLINK("#'DL05. Khóa học'!A"&amp;MATCH("CRS-IELTS-6.5",'DL05. Khóa học'!A:A,0),"CRS-IELTS-6.5"),"CRS-IELTS-6.5")</f>
        <v>CRS-IELTS-6.5</v>
      </c>
      <c r="D5" s="209" t="s">
        <v>1392</v>
      </c>
      <c r="E5" s="209" t="s">
        <v>3193</v>
      </c>
      <c r="F5" s="232" t="n">
        <v>45945</v>
      </c>
      <c r="G5" s="232" t="n">
        <v>46068</v>
      </c>
      <c r="H5" s="210" t="str">
        <f aca="false">IFERROR(HYPERLINK("#'DL05. Khóa học'!A"&amp;MATCH("NV006",'DL01. Nhân viên'!A:A,0),"NV006"),"NV006")</f>
        <v>NV006</v>
      </c>
      <c r="I5" s="230" t="n">
        <v>15</v>
      </c>
      <c r="J5" s="233" t="n">
        <f aca="false">IFERROR(COUNTIFS('DL08. Xếp lớp &amp; Nhập học'!H:H,A5,'DL08. Xếp lớp &amp; Nhập học'!K:K,"completed*"),0)</f>
        <v>2</v>
      </c>
      <c r="K5" s="209" t="s">
        <v>1379</v>
      </c>
      <c r="L5" s="209" t="s">
        <v>1028</v>
      </c>
      <c r="M5" s="209" t="s">
        <v>1414</v>
      </c>
      <c r="N5" s="209" t="s">
        <v>3194</v>
      </c>
      <c r="O5" s="209" t="s">
        <v>3195</v>
      </c>
      <c r="P5" s="224" t="str">
        <f aca="false">IFERROR(VLOOKUP(C5,'DL05. Khóa học'!$A:$B,2,FALSE()),"")</f>
        <v>IELTS 6.5 4 tháng</v>
      </c>
    </row>
    <row r="6" customFormat="false" ht="34.5" hidden="false" customHeight="true" outlineLevel="0" collapsed="false">
      <c r="A6" s="209" t="s">
        <v>3196</v>
      </c>
      <c r="B6" s="209" t="s">
        <v>3197</v>
      </c>
      <c r="C6" s="210" t="str">
        <f aca="false">IFERROR(HYPERLINK("#'DL05. Khóa học'!A"&amp;MATCH("CRS-IELTS-6.0",'DL05. Khóa học'!A:A,0),"CRS-IELTS-6.0"),"CRS-IELTS-6.0")</f>
        <v>CRS-IELTS-6.0</v>
      </c>
      <c r="D6" s="209" t="s">
        <v>1390</v>
      </c>
      <c r="E6" s="209" t="s">
        <v>3198</v>
      </c>
      <c r="F6" s="232" t="n">
        <v>46047</v>
      </c>
      <c r="G6" s="232" t="n">
        <v>46167</v>
      </c>
      <c r="H6" s="210" t="str">
        <f aca="false">IFERROR(HYPERLINK("#'DL05. Khóa học'!A"&amp;MATCH("NV031",'DL01. Nhân viên'!A:A,0),"NV031"),"NV031")</f>
        <v>NV031</v>
      </c>
      <c r="I6" s="230" t="n">
        <v>14</v>
      </c>
      <c r="J6" s="233" t="n">
        <f aca="false">IFERROR(COUNTIFS('DL08. Xếp lớp &amp; Nhập học'!H:H,A6,'DL08. Xếp lớp &amp; Nhập học'!K:K,"completed*"),0)</f>
        <v>2</v>
      </c>
      <c r="K6" s="209" t="s">
        <v>1379</v>
      </c>
      <c r="L6" s="209" t="s">
        <v>1028</v>
      </c>
      <c r="M6" s="209" t="s">
        <v>1416</v>
      </c>
      <c r="N6" s="209" t="s">
        <v>3199</v>
      </c>
      <c r="O6" s="209" t="s">
        <v>3200</v>
      </c>
      <c r="P6" s="224" t="str">
        <f aca="false">IFERROR(VLOOKUP(C6,'DL05. Khóa học'!$A:$B,2,FALSE()),"")</f>
        <v>IELTS 6.0 4 tháng</v>
      </c>
    </row>
    <row r="7" customFormat="false" ht="34.5" hidden="false" customHeight="true" outlineLevel="0" collapsed="false">
      <c r="A7" s="209" t="s">
        <v>3201</v>
      </c>
      <c r="B7" s="209" t="s">
        <v>3202</v>
      </c>
      <c r="C7" s="210" t="str">
        <f aca="false">IFERROR(HYPERLINK("#'DL05. Khóa học'!A"&amp;MATCH("CRS-IELTS-7.0",'DL05. Khóa học'!A:A,0),"CRS-IELTS-7.0"),"CRS-IELTS-7.0")</f>
        <v>CRS-IELTS-7.0</v>
      </c>
      <c r="D7" s="209" t="s">
        <v>1394</v>
      </c>
      <c r="E7" s="209" t="s">
        <v>3203</v>
      </c>
      <c r="F7" s="232" t="n">
        <v>46063</v>
      </c>
      <c r="G7" s="232" t="n">
        <v>46183</v>
      </c>
      <c r="H7" s="210" t="str">
        <f aca="false">IFERROR(HYPERLINK("#'DL05. Khóa học'!A"&amp;MATCH("NV006",'DL01. Nhân viên'!A:A,0),"NV006"),"NV006")</f>
        <v>NV006</v>
      </c>
      <c r="I7" s="230" t="n">
        <v>10</v>
      </c>
      <c r="J7" s="233" t="n">
        <f aca="false">IFERROR(COUNTIFS('DL08. Xếp lớp &amp; Nhập học'!H:H,A7,'DL08. Xếp lớp &amp; Nhập học'!K:K,"completed*"),0)</f>
        <v>2</v>
      </c>
      <c r="K7" s="209" t="s">
        <v>1379</v>
      </c>
      <c r="L7" s="209" t="s">
        <v>1028</v>
      </c>
      <c r="M7" s="209" t="s">
        <v>1414</v>
      </c>
      <c r="N7" s="209" t="s">
        <v>3194</v>
      </c>
      <c r="O7" s="209" t="s">
        <v>3204</v>
      </c>
      <c r="P7" s="224" t="str">
        <f aca="false">IFERROR(VLOOKUP(C7,'DL05. Khóa học'!$A:$B,2,FALSE()),"")</f>
        <v>IELTS 7.0+ 4 tháng</v>
      </c>
    </row>
    <row r="8" customFormat="false" ht="34.5" hidden="false" customHeight="true" outlineLevel="0" collapsed="false">
      <c r="A8" s="209" t="s">
        <v>3205</v>
      </c>
      <c r="B8" s="209" t="s">
        <v>3206</v>
      </c>
      <c r="C8" s="210" t="str">
        <f aca="false">IFERROR(HYPERLINK("#'DL05. Khóa học'!A"&amp;MATCH("CRS-PRE-01",'DL05. Khóa học'!A:A,0),"CRS-PRE-01"),"CRS-PRE-01")</f>
        <v>CRS-PRE-01</v>
      </c>
      <c r="D8" s="209" t="s">
        <v>1386</v>
      </c>
      <c r="E8" s="209" t="s">
        <v>3207</v>
      </c>
      <c r="F8" s="232" t="n">
        <v>46183</v>
      </c>
      <c r="G8" s="232" t="n">
        <v>46305</v>
      </c>
      <c r="H8" s="210" t="str">
        <f aca="false">IFERROR(HYPERLINK("#'DL05. Khóa học'!A"&amp;MATCH("NV005",'DL01. Nhân viên'!A:A,0),"NV005"),"NV005")</f>
        <v>NV005</v>
      </c>
      <c r="I8" s="230" t="n">
        <v>14</v>
      </c>
      <c r="J8" s="233" t="n">
        <f aca="false">IFERROR(COUNTIFS('DL08. Xếp lớp &amp; Nhập học'!H:H,A8,'DL08. Xếp lớp &amp; Nhập học'!K:K,"completed*"),0)</f>
        <v>0</v>
      </c>
      <c r="K8" s="209" t="s">
        <v>1379</v>
      </c>
      <c r="L8" s="209" t="s">
        <v>1028</v>
      </c>
      <c r="M8" s="209" t="s">
        <v>1418</v>
      </c>
      <c r="N8" s="209" t="s">
        <v>3208</v>
      </c>
      <c r="O8" s="209" t="s">
        <v>3209</v>
      </c>
      <c r="P8" s="224" t="str">
        <f aca="false">IFERROR(VLOOKUP(C8,'DL05. Khóa học'!$A:$B,2,FALSE()),"")</f>
        <v>Pre-IELTS 4 tháng</v>
      </c>
    </row>
    <row r="9" customFormat="false" ht="34.5" hidden="false" customHeight="true" outlineLevel="0" collapsed="false">
      <c r="A9" s="209" t="s">
        <v>3210</v>
      </c>
      <c r="B9" s="209" t="s">
        <v>3211</v>
      </c>
      <c r="C9" s="210" t="str">
        <f aca="false">IFERROR(HYPERLINK("#'DL05. Khóa học'!A"&amp;MATCH("CRS-IELTS-6.0",'DL05. Khóa học'!A:A,0),"CRS-IELTS-6.0"),"CRS-IELTS-6.0")</f>
        <v>CRS-IELTS-6.0</v>
      </c>
      <c r="D9" s="209" t="s">
        <v>1390</v>
      </c>
      <c r="E9" s="209" t="s">
        <v>3193</v>
      </c>
      <c r="F9" s="232" t="n">
        <v>46211</v>
      </c>
      <c r="G9" s="232" t="n">
        <v>46334</v>
      </c>
      <c r="H9" s="210" t="str">
        <f aca="false">IFERROR(HYPERLINK("#'DL05. Khóa học'!A"&amp;MATCH("NV014",'DL01. Nhân viên'!A:A,0),"NV014"),"NV014")</f>
        <v>NV014</v>
      </c>
      <c r="I9" s="230" t="n">
        <v>20</v>
      </c>
      <c r="J9" s="233" t="n">
        <f aca="false">IFERROR(COUNTIFS('DL08. Xếp lớp &amp; Nhập học'!H:H,A9,'DL08. Xếp lớp &amp; Nhập học'!K:K,"completed*"),0)</f>
        <v>0</v>
      </c>
      <c r="K9" s="209" t="s">
        <v>1378</v>
      </c>
      <c r="L9" s="209" t="s">
        <v>1026</v>
      </c>
      <c r="M9" s="209" t="s">
        <v>1412</v>
      </c>
      <c r="N9" s="209" t="s">
        <v>3212</v>
      </c>
      <c r="O9" s="209" t="s">
        <v>3213</v>
      </c>
      <c r="P9" s="224" t="str">
        <f aca="false">IFERROR(VLOOKUP(C9,'DL05. Khóa học'!$A:$B,2,FALSE()),"")</f>
        <v>IELTS 6.0 4 tháng</v>
      </c>
    </row>
    <row r="10" customFormat="false" ht="34.5" hidden="false" customHeight="true" outlineLevel="0" collapsed="false">
      <c r="A10" s="209" t="s">
        <v>3214</v>
      </c>
      <c r="B10" s="209" t="s">
        <v>3215</v>
      </c>
      <c r="C10" s="210" t="str">
        <f aca="false">IFERROR(HYPERLINK("#'DL05. Khóa học'!A"&amp;MATCH("CRS-FOUND-01",'DL05. Khóa học'!A:A,0),"CRS-FOUND-01"),"CRS-FOUND-01")</f>
        <v>CRS-FOUND-01</v>
      </c>
      <c r="D10" s="209" t="s">
        <v>1384</v>
      </c>
      <c r="E10" s="209" t="s">
        <v>3193</v>
      </c>
      <c r="F10" s="232" t="n">
        <v>46218</v>
      </c>
      <c r="G10" s="232" t="n">
        <v>46402</v>
      </c>
      <c r="H10" s="210" t="str">
        <f aca="false">IFERROR(HYPERLINK("#'DL05. Khóa học'!A"&amp;MATCH("NV005",'DL01. Nhân viên'!A:A,0),"NV005"),"NV005")</f>
        <v>NV005</v>
      </c>
      <c r="I10" s="230" t="n">
        <v>14</v>
      </c>
      <c r="J10" s="233" t="n">
        <f aca="false">IFERROR(COUNTIFS('DL08. Xếp lớp &amp; Nhập học'!H:H,A10,'DL08. Xếp lớp &amp; Nhập học'!K:K,"completed*"),0)</f>
        <v>0</v>
      </c>
      <c r="K10" s="209" t="s">
        <v>1378</v>
      </c>
      <c r="L10" s="209" t="s">
        <v>1028</v>
      </c>
      <c r="M10" s="209" t="s">
        <v>1416</v>
      </c>
      <c r="N10" s="209" t="s">
        <v>3216</v>
      </c>
      <c r="O10" s="209" t="s">
        <v>3217</v>
      </c>
      <c r="P10" s="224" t="str">
        <f aca="false">IFERROR(VLOOKUP(C10,'DL05. Khóa học'!$A:$B,2,FALSE()),"")</f>
        <v>Foundation 6 tháng</v>
      </c>
    </row>
    <row r="11" customFormat="false" ht="34.5" hidden="false" customHeight="true" outlineLevel="0" collapsed="false">
      <c r="A11" s="209" t="s">
        <v>3218</v>
      </c>
      <c r="B11" s="209" t="s">
        <v>3219</v>
      </c>
      <c r="C11" s="210" t="str">
        <f aca="false">IFERROR(HYPERLINK("#'DL05. Khóa học'!A"&amp;MATCH("CRS-IELTS-5.5",'DL05. Khóa học'!A:A,0),"CRS-IELTS-5.5"),"CRS-IELTS-5.5")</f>
        <v>CRS-IELTS-5.5</v>
      </c>
      <c r="D11" s="209" t="s">
        <v>1388</v>
      </c>
      <c r="E11" s="209" t="s">
        <v>3220</v>
      </c>
      <c r="F11" s="232" t="n">
        <v>46249</v>
      </c>
      <c r="G11" s="232" t="n">
        <v>46371</v>
      </c>
      <c r="H11" s="209"/>
      <c r="I11" s="230" t="n">
        <v>12</v>
      </c>
      <c r="J11" s="233" t="n">
        <f aca="false">IFERROR(COUNTIFS('DL08. Xếp lớp &amp; Nhập học'!H:H,A11,'DL08. Xếp lớp &amp; Nhập học'!K:K,"completed*"),0)</f>
        <v>0</v>
      </c>
      <c r="K11" s="209" t="s">
        <v>1376</v>
      </c>
      <c r="L11" s="209" t="s">
        <v>1028</v>
      </c>
      <c r="M11" s="209" t="s">
        <v>1418</v>
      </c>
      <c r="N11" s="209" t="s">
        <v>3221</v>
      </c>
      <c r="O11" s="209" t="s">
        <v>3222</v>
      </c>
      <c r="P11" s="224" t="str">
        <f aca="false">IFERROR(VLOOKUP(C11,'DL05. Khóa học'!$A:$B,2,FALSE()),"")</f>
        <v>IELTS 5.5 4 tháng</v>
      </c>
    </row>
    <row r="12" customFormat="false" ht="34.5" hidden="false" customHeight="true" outlineLevel="0" collapsed="false">
      <c r="A12" s="209" t="s">
        <v>3223</v>
      </c>
      <c r="B12" s="209" t="s">
        <v>3224</v>
      </c>
      <c r="C12" s="210" t="str">
        <f aca="false">IFERROR(HYPERLINK("#'DL05. Khóa học'!A"&amp;MATCH("CRS-COMBO-A",'DL05. Khóa học'!A:A,0),"CRS-COMBO-A"),"CRS-COMBO-A")</f>
        <v>CRS-COMBO-A</v>
      </c>
      <c r="D12" s="209" t="s">
        <v>1390</v>
      </c>
      <c r="E12" s="209" t="s">
        <v>3225</v>
      </c>
      <c r="F12" s="232" t="n">
        <v>46266</v>
      </c>
      <c r="G12" s="232" t="n">
        <v>46507</v>
      </c>
      <c r="H12" s="209"/>
      <c r="I12" s="230" t="n">
        <v>14</v>
      </c>
      <c r="J12" s="233" t="n">
        <f aca="false">IFERROR(COUNTIFS('DL08. Xếp lớp &amp; Nhập học'!H:H,A12,'DL08. Xếp lớp &amp; Nhập học'!K:K,"completed*"),0)</f>
        <v>0</v>
      </c>
      <c r="K12" s="209" t="s">
        <v>1376</v>
      </c>
      <c r="L12" s="209" t="s">
        <v>1030</v>
      </c>
      <c r="M12" s="209" t="s">
        <v>1414</v>
      </c>
      <c r="N12" s="209" t="s">
        <v>3226</v>
      </c>
      <c r="O12" s="209" t="s">
        <v>3227</v>
      </c>
      <c r="P12" s="224" t="str">
        <f aca="false">IFERROR(VLOOKUP(C12,'DL05. Khóa học'!$A:$B,2,FALSE()),"")</f>
        <v>PRIVATE 1-1 (theo giờ - linh hoạt)</v>
      </c>
    </row>
    <row r="13" customFormat="false" ht="34.5" hidden="false" customHeight="true" outlineLevel="0" collapsed="false">
      <c r="A13" s="209" t="s">
        <v>3228</v>
      </c>
      <c r="B13" s="209" t="s">
        <v>3229</v>
      </c>
      <c r="C13" s="210" t="str">
        <f aca="false">IFERROR(HYPERLINK("#'DL05. Khóa học'!A"&amp;MATCH("CRS-IELTS-6.5",'DL05. Khóa học'!A:A,0),"CRS-IELTS-6.5"),"CRS-IELTS-6.5")</f>
        <v>CRS-IELTS-6.5</v>
      </c>
      <c r="D13" s="209" t="s">
        <v>1392</v>
      </c>
      <c r="E13" s="209" t="s">
        <v>3193</v>
      </c>
      <c r="F13" s="232" t="n">
        <v>45787</v>
      </c>
      <c r="G13" s="232" t="n">
        <v>45910</v>
      </c>
      <c r="H13" s="210" t="str">
        <f aca="false">IFERROR(HYPERLINK("#'DL05. Khóa học'!A"&amp;MATCH("NV006",'DL01. Nhân viên'!A:A,0),"NV006"),"NV006")</f>
        <v>NV006</v>
      </c>
      <c r="I13" s="230" t="n">
        <v>15</v>
      </c>
      <c r="J13" s="233" t="n">
        <f aca="false">IFERROR(COUNTIFS('DL08. Xếp lớp &amp; Nhập học'!H:H,A13,'DL08. Xếp lớp &amp; Nhập học'!K:K,"completed*"),0)</f>
        <v>2</v>
      </c>
      <c r="K13" s="209" t="s">
        <v>1381</v>
      </c>
      <c r="L13" s="209" t="s">
        <v>1028</v>
      </c>
      <c r="M13" s="209" t="s">
        <v>1414</v>
      </c>
      <c r="N13" s="209" t="s">
        <v>3194</v>
      </c>
      <c r="O13" s="209" t="s">
        <v>3230</v>
      </c>
      <c r="P13" s="224" t="str">
        <f aca="false">IFERROR(VLOOKUP(C13,'DL05. Khóa học'!$A:$B,2,FALSE()),"")</f>
        <v>IELTS 6.5 4 tháng</v>
      </c>
    </row>
    <row r="14" customFormat="false" ht="34.5" hidden="false" customHeight="true" outlineLevel="0" collapsed="false">
      <c r="A14" s="209" t="s">
        <v>3231</v>
      </c>
      <c r="B14" s="209" t="s">
        <v>3232</v>
      </c>
      <c r="C14" s="210" t="str">
        <f aca="false">IFERROR(HYPERLINK("#'DL05. Khóa học'!A"&amp;MATCH("CRS-FOUND-01",'DL05. Khóa học'!A:A,0),"CRS-FOUND-01"),"CRS-FOUND-01")</f>
        <v>CRS-FOUND-01</v>
      </c>
      <c r="D14" s="209" t="s">
        <v>1384</v>
      </c>
      <c r="E14" s="209" t="s">
        <v>3207</v>
      </c>
      <c r="F14" s="232" t="n">
        <v>45570</v>
      </c>
      <c r="G14" s="232" t="n">
        <v>45752</v>
      </c>
      <c r="H14" s="210" t="str">
        <f aca="false">IFERROR(HYPERLINK("#'DL05. Khóa học'!A"&amp;MATCH("NV005",'DL01. Nhân viên'!A:A,0),"NV005"),"NV005")</f>
        <v>NV005</v>
      </c>
      <c r="I14" s="230" t="n">
        <v>14</v>
      </c>
      <c r="J14" s="233" t="n">
        <f aca="false">IFERROR(COUNTIFS('DL08. Xếp lớp &amp; Nhập học'!H:H,A14,'DL08. Xếp lớp &amp; Nhập học'!K:K,"completed*"),0)</f>
        <v>0</v>
      </c>
      <c r="K14" s="209" t="s">
        <v>1381</v>
      </c>
      <c r="L14" s="209" t="s">
        <v>1028</v>
      </c>
      <c r="M14" s="209" t="s">
        <v>1416</v>
      </c>
      <c r="N14" s="209" t="s">
        <v>3216</v>
      </c>
      <c r="O14" s="209" t="s">
        <v>3233</v>
      </c>
      <c r="P14" s="224" t="str">
        <f aca="false">IFERROR(VLOOKUP(C14,'DL05. Khóa học'!$A:$B,2,FALSE()),"")</f>
        <v>Foundation 6 tháng</v>
      </c>
    </row>
    <row r="15" customFormat="false" ht="34.5" hidden="false" customHeight="true" outlineLevel="0" collapsed="false">
      <c r="A15" s="209" t="s">
        <v>3234</v>
      </c>
      <c r="B15" s="209" t="s">
        <v>3235</v>
      </c>
      <c r="C15" s="210" t="str">
        <f aca="false">IFERROR(HYPERLINK("#'DL05. Khóa học'!A"&amp;MATCH("CRS-IELTS-7.0",'DL05. Khóa học'!A:A,0),"CRS-IELTS-7.0"),"CRS-IELTS-7.0")</f>
        <v>CRS-IELTS-7.0</v>
      </c>
      <c r="D15" s="209" t="s">
        <v>1394</v>
      </c>
      <c r="E15" s="209" t="s">
        <v>3220</v>
      </c>
      <c r="F15" s="232" t="n">
        <v>46117</v>
      </c>
      <c r="G15" s="232"/>
      <c r="H15" s="209"/>
      <c r="I15" s="230" t="n">
        <v>10</v>
      </c>
      <c r="J15" s="233" t="n">
        <f aca="false">IFERROR(COUNTIFS('DL08. Xếp lớp &amp; Nhập học'!H:H,A15,'DL08. Xếp lớp &amp; Nhập học'!K:K,"completed*"),0)</f>
        <v>0</v>
      </c>
      <c r="K15" s="209" t="s">
        <v>1075</v>
      </c>
      <c r="L15" s="209" t="s">
        <v>1028</v>
      </c>
      <c r="M15" s="209" t="s">
        <v>1420</v>
      </c>
      <c r="N15" s="209" t="s">
        <v>3236</v>
      </c>
      <c r="O15" s="209" t="s">
        <v>3237</v>
      </c>
      <c r="P15" s="224" t="str">
        <f aca="false">IFERROR(VLOOKUP(C15,'DL05. Khóa học'!$A:$B,2,FALSE()),"")</f>
        <v>IELTS 7.0+ 4 tháng</v>
      </c>
    </row>
    <row r="16" customFormat="false" ht="15" hidden="false" customHeight="true" outlineLevel="0" collapsed="false">
      <c r="A16" s="135"/>
      <c r="B16" s="135"/>
      <c r="C16" s="135"/>
      <c r="D16" s="135"/>
      <c r="E16" s="135"/>
      <c r="F16" s="182"/>
      <c r="G16" s="182"/>
      <c r="H16" s="135"/>
      <c r="I16" s="135"/>
      <c r="J16" s="135"/>
      <c r="K16" s="135"/>
      <c r="L16" s="135"/>
      <c r="M16" s="135"/>
      <c r="N16" s="135"/>
      <c r="O16" s="135"/>
      <c r="P16" s="135"/>
    </row>
    <row r="17" customFormat="false" ht="15" hidden="false" customHeight="true" outlineLevel="0" collapsed="false">
      <c r="A17" s="135"/>
      <c r="B17" s="135"/>
      <c r="C17" s="135"/>
      <c r="D17" s="135"/>
      <c r="E17" s="135"/>
      <c r="F17" s="182"/>
      <c r="G17" s="182"/>
      <c r="H17" s="135"/>
      <c r="I17" s="135"/>
      <c r="J17" s="135"/>
      <c r="K17" s="135"/>
      <c r="L17" s="135"/>
      <c r="M17" s="135"/>
      <c r="N17" s="135"/>
      <c r="O17" s="135"/>
      <c r="P17" s="135"/>
    </row>
    <row r="18" customFormat="false" ht="15" hidden="false" customHeight="true" outlineLevel="0" collapsed="false">
      <c r="A18" s="135"/>
      <c r="B18" s="135"/>
      <c r="C18" s="135"/>
      <c r="D18" s="135"/>
      <c r="E18" s="135"/>
      <c r="F18" s="182"/>
      <c r="G18" s="182"/>
      <c r="H18" s="135"/>
      <c r="I18" s="135"/>
      <c r="J18" s="135"/>
      <c r="K18" s="135"/>
      <c r="L18" s="135"/>
      <c r="M18" s="135"/>
      <c r="N18" s="135"/>
      <c r="O18" s="135"/>
      <c r="P18" s="135"/>
    </row>
    <row r="19" customFormat="false" ht="15" hidden="false" customHeight="true" outlineLevel="0" collapsed="false">
      <c r="A19" s="135"/>
      <c r="B19" s="135"/>
      <c r="C19" s="135"/>
      <c r="D19" s="135"/>
      <c r="E19" s="135"/>
      <c r="F19" s="182"/>
      <c r="G19" s="182"/>
      <c r="H19" s="135"/>
      <c r="I19" s="135"/>
      <c r="J19" s="135"/>
      <c r="K19" s="135"/>
      <c r="L19" s="135"/>
      <c r="M19" s="135"/>
      <c r="N19" s="135"/>
      <c r="O19" s="135"/>
      <c r="P19" s="135"/>
    </row>
    <row r="20" customFormat="false" ht="15" hidden="false" customHeight="true" outlineLevel="0" collapsed="false">
      <c r="A20" s="135"/>
      <c r="B20" s="135"/>
      <c r="C20" s="135"/>
      <c r="D20" s="135"/>
      <c r="E20" s="135"/>
      <c r="F20" s="182"/>
      <c r="G20" s="182"/>
      <c r="H20" s="135"/>
      <c r="I20" s="135"/>
      <c r="J20" s="135"/>
      <c r="K20" s="135"/>
      <c r="L20" s="135"/>
      <c r="M20" s="135"/>
      <c r="N20" s="135"/>
      <c r="O20" s="135"/>
      <c r="P20" s="135"/>
    </row>
    <row r="21" customFormat="false" ht="15.75" hidden="false" customHeight="true" outlineLevel="0" collapsed="false">
      <c r="A21" s="135"/>
      <c r="B21" s="135"/>
      <c r="C21" s="135"/>
      <c r="D21" s="135"/>
      <c r="E21" s="135"/>
      <c r="F21" s="182"/>
      <c r="G21" s="182"/>
      <c r="H21" s="135"/>
      <c r="I21" s="135"/>
      <c r="J21" s="135"/>
      <c r="K21" s="135"/>
      <c r="L21" s="135"/>
      <c r="M21" s="135"/>
      <c r="N21" s="135"/>
      <c r="O21" s="135"/>
      <c r="P21" s="135"/>
    </row>
    <row r="22" customFormat="false" ht="15.75" hidden="false" customHeight="true" outlineLevel="0" collapsed="false">
      <c r="A22" s="135"/>
      <c r="B22" s="135"/>
      <c r="C22" s="135"/>
      <c r="D22" s="135"/>
      <c r="E22" s="135"/>
      <c r="F22" s="182"/>
      <c r="G22" s="182"/>
      <c r="H22" s="135"/>
      <c r="I22" s="135"/>
      <c r="J22" s="135"/>
      <c r="K22" s="135"/>
      <c r="L22" s="135"/>
      <c r="M22" s="135"/>
      <c r="N22" s="135"/>
      <c r="O22" s="135"/>
      <c r="P22" s="135"/>
    </row>
    <row r="23" customFormat="false" ht="15.75" hidden="false" customHeight="true" outlineLevel="0" collapsed="false">
      <c r="A23" s="135"/>
      <c r="B23" s="135"/>
      <c r="C23" s="135"/>
      <c r="D23" s="135"/>
      <c r="E23" s="135"/>
      <c r="F23" s="182"/>
      <c r="G23" s="182"/>
      <c r="H23" s="135"/>
      <c r="I23" s="135"/>
      <c r="J23" s="135"/>
      <c r="K23" s="135"/>
      <c r="L23" s="135"/>
      <c r="M23" s="135"/>
      <c r="N23" s="135"/>
      <c r="O23" s="135"/>
      <c r="P23" s="135"/>
    </row>
    <row r="24" customFormat="false" ht="15.75" hidden="false" customHeight="true" outlineLevel="0" collapsed="false">
      <c r="A24" s="135"/>
      <c r="B24" s="135"/>
      <c r="C24" s="135"/>
      <c r="D24" s="135"/>
      <c r="E24" s="135"/>
      <c r="F24" s="182"/>
      <c r="G24" s="182"/>
      <c r="H24" s="135"/>
      <c r="I24" s="135"/>
      <c r="J24" s="135"/>
      <c r="K24" s="135"/>
      <c r="L24" s="135"/>
      <c r="M24" s="135"/>
      <c r="N24" s="135"/>
      <c r="O24" s="135"/>
      <c r="P24" s="135"/>
    </row>
    <row r="25" customFormat="false" ht="15.75" hidden="false" customHeight="true" outlineLevel="0" collapsed="false">
      <c r="A25" s="135"/>
      <c r="B25" s="135"/>
      <c r="C25" s="135"/>
      <c r="D25" s="135"/>
      <c r="E25" s="135"/>
      <c r="F25" s="182"/>
      <c r="G25" s="182"/>
      <c r="H25" s="135"/>
      <c r="I25" s="135"/>
      <c r="J25" s="135"/>
      <c r="K25" s="135"/>
      <c r="L25" s="135"/>
      <c r="M25" s="135"/>
      <c r="N25" s="135"/>
      <c r="O25" s="135"/>
      <c r="P25" s="135"/>
    </row>
    <row r="26" customFormat="false" ht="15.75" hidden="false" customHeight="true" outlineLevel="0" collapsed="false">
      <c r="A26" s="135"/>
      <c r="B26" s="135"/>
      <c r="C26" s="135"/>
      <c r="D26" s="135"/>
      <c r="E26" s="135"/>
      <c r="F26" s="182"/>
      <c r="G26" s="182"/>
      <c r="H26" s="135"/>
      <c r="I26" s="135"/>
      <c r="J26" s="135"/>
      <c r="K26" s="135"/>
      <c r="L26" s="135"/>
      <c r="M26" s="135"/>
      <c r="N26" s="135"/>
      <c r="O26" s="135"/>
      <c r="P26" s="135"/>
    </row>
    <row r="27" customFormat="false" ht="15.75" hidden="false" customHeight="true" outlineLevel="0" collapsed="false">
      <c r="A27" s="135"/>
      <c r="B27" s="135"/>
      <c r="C27" s="135"/>
      <c r="D27" s="135"/>
      <c r="E27" s="135"/>
      <c r="F27" s="182"/>
      <c r="G27" s="182"/>
      <c r="H27" s="135"/>
      <c r="I27" s="135"/>
      <c r="J27" s="135"/>
      <c r="K27" s="135"/>
      <c r="L27" s="135"/>
      <c r="M27" s="135"/>
      <c r="N27" s="135"/>
      <c r="O27" s="135"/>
      <c r="P27" s="135"/>
    </row>
    <row r="28" customFormat="false" ht="15.75" hidden="false" customHeight="true" outlineLevel="0" collapsed="false">
      <c r="A28" s="135"/>
      <c r="B28" s="135"/>
      <c r="C28" s="135"/>
      <c r="D28" s="135"/>
      <c r="E28" s="135"/>
      <c r="F28" s="182"/>
      <c r="G28" s="182"/>
      <c r="H28" s="135"/>
      <c r="I28" s="135"/>
      <c r="J28" s="135"/>
      <c r="K28" s="135"/>
      <c r="L28" s="135"/>
      <c r="M28" s="135"/>
      <c r="N28" s="135"/>
      <c r="O28" s="135"/>
      <c r="P28" s="135"/>
    </row>
    <row r="29" customFormat="false" ht="15.75" hidden="false" customHeight="true" outlineLevel="0" collapsed="false">
      <c r="A29" s="135"/>
      <c r="B29" s="135"/>
      <c r="C29" s="135"/>
      <c r="D29" s="135"/>
      <c r="E29" s="135"/>
      <c r="F29" s="182"/>
      <c r="G29" s="182"/>
      <c r="H29" s="135"/>
      <c r="I29" s="135"/>
      <c r="J29" s="135"/>
      <c r="K29" s="135"/>
      <c r="L29" s="135"/>
      <c r="M29" s="135"/>
      <c r="N29" s="135"/>
      <c r="O29" s="135"/>
      <c r="P29" s="135"/>
    </row>
    <row r="30" customFormat="false" ht="15.75" hidden="false" customHeight="true" outlineLevel="0" collapsed="false">
      <c r="A30" s="135"/>
      <c r="B30" s="135"/>
      <c r="C30" s="135"/>
      <c r="D30" s="135"/>
      <c r="E30" s="135"/>
      <c r="F30" s="182"/>
      <c r="G30" s="182"/>
      <c r="H30" s="135"/>
      <c r="I30" s="135"/>
      <c r="J30" s="135"/>
      <c r="K30" s="135"/>
      <c r="L30" s="135"/>
      <c r="M30" s="135"/>
      <c r="N30" s="135"/>
      <c r="O30" s="135"/>
      <c r="P30" s="135"/>
    </row>
    <row r="31" customFormat="false" ht="15.75" hidden="false" customHeight="true" outlineLevel="0" collapsed="false">
      <c r="A31" s="135"/>
      <c r="B31" s="135"/>
      <c r="C31" s="135"/>
      <c r="D31" s="135"/>
      <c r="E31" s="135"/>
      <c r="F31" s="182"/>
      <c r="G31" s="182"/>
      <c r="H31" s="135"/>
      <c r="I31" s="135"/>
      <c r="J31" s="135"/>
      <c r="K31" s="135"/>
      <c r="L31" s="135"/>
      <c r="M31" s="135"/>
      <c r="N31" s="135"/>
      <c r="O31" s="135"/>
      <c r="P31" s="135"/>
    </row>
    <row r="32" customFormat="false" ht="15.75" hidden="false" customHeight="true" outlineLevel="0" collapsed="false">
      <c r="A32" s="135"/>
      <c r="B32" s="135"/>
      <c r="C32" s="135"/>
      <c r="D32" s="135"/>
      <c r="E32" s="135"/>
      <c r="F32" s="182"/>
      <c r="G32" s="182"/>
      <c r="H32" s="135"/>
      <c r="I32" s="135"/>
      <c r="J32" s="135"/>
      <c r="K32" s="135"/>
      <c r="L32" s="135"/>
      <c r="M32" s="135"/>
      <c r="N32" s="135"/>
      <c r="O32" s="135"/>
      <c r="P32" s="135"/>
    </row>
    <row r="33" customFormat="false" ht="15.75" hidden="false" customHeight="true" outlineLevel="0" collapsed="false">
      <c r="A33" s="135"/>
      <c r="B33" s="135"/>
      <c r="C33" s="135"/>
      <c r="D33" s="135"/>
      <c r="E33" s="135"/>
      <c r="F33" s="182"/>
      <c r="G33" s="182"/>
      <c r="H33" s="135"/>
      <c r="I33" s="135"/>
      <c r="J33" s="135"/>
      <c r="K33" s="135"/>
      <c r="L33" s="135"/>
      <c r="M33" s="135"/>
      <c r="N33" s="135"/>
      <c r="O33" s="135"/>
      <c r="P33" s="135"/>
    </row>
    <row r="34" customFormat="false" ht="15.75" hidden="false" customHeight="true" outlineLevel="0" collapsed="false">
      <c r="A34" s="135"/>
      <c r="B34" s="135"/>
      <c r="C34" s="135"/>
      <c r="D34" s="135"/>
      <c r="E34" s="135"/>
      <c r="F34" s="182"/>
      <c r="G34" s="182"/>
      <c r="H34" s="135"/>
      <c r="I34" s="135"/>
      <c r="J34" s="135"/>
      <c r="K34" s="135"/>
      <c r="L34" s="135"/>
      <c r="M34" s="135"/>
      <c r="N34" s="135"/>
      <c r="O34" s="135"/>
      <c r="P34" s="135"/>
    </row>
    <row r="35" customFormat="false" ht="15.75" hidden="false" customHeight="true" outlineLevel="0" collapsed="false">
      <c r="A35" s="135"/>
      <c r="B35" s="135"/>
      <c r="C35" s="135"/>
      <c r="D35" s="135"/>
      <c r="E35" s="135"/>
      <c r="F35" s="182"/>
      <c r="G35" s="182"/>
      <c r="H35" s="135"/>
      <c r="I35" s="135"/>
      <c r="J35" s="135"/>
      <c r="K35" s="135"/>
      <c r="L35" s="135"/>
      <c r="M35" s="135"/>
      <c r="N35" s="135"/>
      <c r="O35" s="135"/>
      <c r="P35" s="135"/>
    </row>
    <row r="36" customFormat="false" ht="15.75" hidden="false" customHeight="true" outlineLevel="0" collapsed="false">
      <c r="A36" s="135"/>
      <c r="B36" s="135"/>
      <c r="C36" s="135"/>
      <c r="D36" s="135"/>
      <c r="E36" s="135"/>
      <c r="F36" s="182"/>
      <c r="G36" s="182"/>
      <c r="H36" s="135"/>
      <c r="I36" s="135"/>
      <c r="J36" s="135"/>
      <c r="K36" s="135"/>
      <c r="L36" s="135"/>
      <c r="M36" s="135"/>
      <c r="N36" s="135"/>
      <c r="O36" s="135"/>
      <c r="P36" s="135"/>
    </row>
    <row r="37" customFormat="false" ht="15.75" hidden="false" customHeight="true" outlineLevel="0" collapsed="false">
      <c r="A37" s="135"/>
      <c r="B37" s="135"/>
      <c r="C37" s="135"/>
      <c r="D37" s="135"/>
      <c r="E37" s="135"/>
      <c r="F37" s="182"/>
      <c r="G37" s="182"/>
      <c r="H37" s="135"/>
      <c r="I37" s="135"/>
      <c r="J37" s="135"/>
      <c r="K37" s="135"/>
      <c r="L37" s="135"/>
      <c r="M37" s="135"/>
      <c r="N37" s="135"/>
      <c r="O37" s="135"/>
      <c r="P37" s="135"/>
    </row>
    <row r="38" customFormat="false" ht="15.75" hidden="false" customHeight="true" outlineLevel="0" collapsed="false">
      <c r="A38" s="135"/>
      <c r="B38" s="135"/>
      <c r="C38" s="135"/>
      <c r="D38" s="135"/>
      <c r="E38" s="135"/>
      <c r="F38" s="182"/>
      <c r="G38" s="182"/>
      <c r="H38" s="135"/>
      <c r="I38" s="135"/>
      <c r="J38" s="135"/>
      <c r="K38" s="135"/>
      <c r="L38" s="135"/>
      <c r="M38" s="135"/>
      <c r="N38" s="135"/>
      <c r="O38" s="135"/>
      <c r="P38" s="135"/>
    </row>
    <row r="39" customFormat="false" ht="15.75" hidden="false" customHeight="true" outlineLevel="0" collapsed="false">
      <c r="A39" s="135"/>
      <c r="B39" s="135"/>
      <c r="C39" s="135"/>
      <c r="D39" s="135"/>
      <c r="E39" s="135"/>
      <c r="F39" s="182"/>
      <c r="G39" s="182"/>
      <c r="H39" s="135"/>
      <c r="I39" s="135"/>
      <c r="J39" s="135"/>
      <c r="K39" s="135"/>
      <c r="L39" s="135"/>
      <c r="M39" s="135"/>
      <c r="N39" s="135"/>
      <c r="O39" s="135"/>
      <c r="P39" s="135"/>
    </row>
    <row r="40" customFormat="false" ht="15.75" hidden="false" customHeight="true" outlineLevel="0" collapsed="false">
      <c r="A40" s="135"/>
      <c r="B40" s="135"/>
      <c r="C40" s="135"/>
      <c r="D40" s="135"/>
      <c r="E40" s="135"/>
      <c r="F40" s="182"/>
      <c r="G40" s="182"/>
      <c r="H40" s="135"/>
      <c r="I40" s="135"/>
      <c r="J40" s="135"/>
      <c r="K40" s="135"/>
      <c r="L40" s="135"/>
      <c r="M40" s="135"/>
      <c r="N40" s="135"/>
      <c r="O40" s="135"/>
      <c r="P40" s="135"/>
    </row>
    <row r="41" customFormat="false" ht="15.75" hidden="false" customHeight="true" outlineLevel="0" collapsed="false">
      <c r="A41" s="135"/>
      <c r="B41" s="135"/>
      <c r="C41" s="135"/>
      <c r="D41" s="135"/>
      <c r="E41" s="135"/>
      <c r="F41" s="182"/>
      <c r="G41" s="182"/>
      <c r="H41" s="135"/>
      <c r="I41" s="135"/>
      <c r="J41" s="135"/>
      <c r="K41" s="135"/>
      <c r="L41" s="135"/>
      <c r="M41" s="135"/>
      <c r="N41" s="135"/>
      <c r="O41" s="135"/>
      <c r="P41" s="135"/>
    </row>
    <row r="42" customFormat="false" ht="15.75" hidden="false" customHeight="true" outlineLevel="0" collapsed="false">
      <c r="A42" s="135"/>
      <c r="B42" s="135"/>
      <c r="C42" s="135"/>
      <c r="D42" s="135"/>
      <c r="E42" s="135"/>
      <c r="F42" s="182"/>
      <c r="G42" s="182"/>
      <c r="H42" s="135"/>
      <c r="I42" s="135"/>
      <c r="J42" s="135"/>
      <c r="K42" s="135"/>
      <c r="L42" s="135"/>
      <c r="M42" s="135"/>
      <c r="N42" s="135"/>
      <c r="O42" s="135"/>
      <c r="P42" s="135"/>
    </row>
    <row r="43" customFormat="false" ht="15.75" hidden="false" customHeight="true" outlineLevel="0" collapsed="false">
      <c r="A43" s="135"/>
      <c r="B43" s="135"/>
      <c r="C43" s="135"/>
      <c r="D43" s="135"/>
      <c r="E43" s="135"/>
      <c r="F43" s="182"/>
      <c r="G43" s="182"/>
      <c r="H43" s="135"/>
      <c r="I43" s="135"/>
      <c r="J43" s="135"/>
      <c r="K43" s="135"/>
      <c r="L43" s="135"/>
      <c r="M43" s="135"/>
      <c r="N43" s="135"/>
      <c r="O43" s="135"/>
      <c r="P43" s="135"/>
    </row>
    <row r="44" customFormat="false" ht="15.75" hidden="false" customHeight="true" outlineLevel="0" collapsed="false">
      <c r="A44" s="135"/>
      <c r="B44" s="135"/>
      <c r="C44" s="135"/>
      <c r="D44" s="135"/>
      <c r="E44" s="135"/>
      <c r="F44" s="182"/>
      <c r="G44" s="182"/>
      <c r="H44" s="135"/>
      <c r="I44" s="135"/>
      <c r="J44" s="135"/>
      <c r="K44" s="135"/>
      <c r="L44" s="135"/>
      <c r="M44" s="135"/>
      <c r="N44" s="135"/>
      <c r="O44" s="135"/>
      <c r="P44" s="135"/>
    </row>
    <row r="45" customFormat="false" ht="15.75" hidden="false" customHeight="true" outlineLevel="0" collapsed="false">
      <c r="A45" s="135"/>
      <c r="B45" s="135"/>
      <c r="C45" s="135"/>
      <c r="D45" s="135"/>
      <c r="E45" s="135"/>
      <c r="F45" s="182"/>
      <c r="G45" s="182"/>
      <c r="H45" s="135"/>
      <c r="I45" s="135"/>
      <c r="J45" s="135"/>
      <c r="K45" s="135"/>
      <c r="L45" s="135"/>
      <c r="M45" s="135"/>
      <c r="N45" s="135"/>
      <c r="O45" s="135"/>
      <c r="P45" s="135"/>
    </row>
    <row r="46" customFormat="false" ht="15.75" hidden="false" customHeight="true" outlineLevel="0" collapsed="false">
      <c r="A46" s="135"/>
      <c r="B46" s="135"/>
      <c r="C46" s="135"/>
      <c r="D46" s="135"/>
      <c r="E46" s="135"/>
      <c r="F46" s="182"/>
      <c r="G46" s="182"/>
      <c r="H46" s="135"/>
      <c r="I46" s="135"/>
      <c r="J46" s="135"/>
      <c r="K46" s="135"/>
      <c r="L46" s="135"/>
      <c r="M46" s="135"/>
      <c r="N46" s="135"/>
      <c r="O46" s="135"/>
      <c r="P46" s="135"/>
    </row>
    <row r="47" customFormat="false" ht="15.75" hidden="false" customHeight="true" outlineLevel="0" collapsed="false">
      <c r="A47" s="135"/>
      <c r="B47" s="135"/>
      <c r="C47" s="135"/>
      <c r="D47" s="135"/>
      <c r="E47" s="135"/>
      <c r="F47" s="182"/>
      <c r="G47" s="182"/>
      <c r="H47" s="135"/>
      <c r="I47" s="135"/>
      <c r="J47" s="135"/>
      <c r="K47" s="135"/>
      <c r="L47" s="135"/>
      <c r="M47" s="135"/>
      <c r="N47" s="135"/>
      <c r="O47" s="135"/>
      <c r="P47" s="135"/>
    </row>
    <row r="48" customFormat="false" ht="15.75" hidden="false" customHeight="true" outlineLevel="0" collapsed="false">
      <c r="A48" s="135"/>
      <c r="B48" s="135"/>
      <c r="C48" s="135"/>
      <c r="D48" s="135"/>
      <c r="E48" s="135"/>
      <c r="F48" s="182"/>
      <c r="G48" s="182"/>
      <c r="H48" s="135"/>
      <c r="I48" s="135"/>
      <c r="J48" s="135"/>
      <c r="K48" s="135"/>
      <c r="L48" s="135"/>
      <c r="M48" s="135"/>
      <c r="N48" s="135"/>
      <c r="O48" s="135"/>
      <c r="P48" s="135"/>
    </row>
    <row r="49" customFormat="false" ht="15.75" hidden="false" customHeight="true" outlineLevel="0" collapsed="false">
      <c r="A49" s="135"/>
      <c r="B49" s="135"/>
      <c r="C49" s="135"/>
      <c r="D49" s="135"/>
      <c r="E49" s="135"/>
      <c r="F49" s="182"/>
      <c r="G49" s="182"/>
      <c r="H49" s="135"/>
      <c r="I49" s="135"/>
      <c r="J49" s="135"/>
      <c r="K49" s="135"/>
      <c r="L49" s="135"/>
      <c r="M49" s="135"/>
      <c r="N49" s="135"/>
      <c r="O49" s="135"/>
      <c r="P49" s="135"/>
    </row>
    <row r="50" customFormat="false" ht="15.75" hidden="false" customHeight="true" outlineLevel="0" collapsed="false">
      <c r="A50" s="135"/>
      <c r="B50" s="135"/>
      <c r="C50" s="135"/>
      <c r="D50" s="135"/>
      <c r="E50" s="135"/>
      <c r="F50" s="182"/>
      <c r="G50" s="182"/>
      <c r="H50" s="135"/>
      <c r="I50" s="135"/>
      <c r="J50" s="135"/>
      <c r="K50" s="135"/>
      <c r="L50" s="135"/>
      <c r="M50" s="135"/>
      <c r="N50" s="135"/>
      <c r="O50" s="135"/>
      <c r="P50" s="135"/>
    </row>
    <row r="51" customFormat="false" ht="15.75" hidden="false" customHeight="true" outlineLevel="0" collapsed="false">
      <c r="A51" s="135"/>
      <c r="B51" s="135"/>
      <c r="C51" s="135"/>
      <c r="D51" s="135"/>
      <c r="E51" s="135"/>
      <c r="F51" s="182"/>
      <c r="G51" s="182"/>
      <c r="H51" s="135"/>
      <c r="I51" s="135"/>
      <c r="J51" s="135"/>
      <c r="K51" s="135"/>
      <c r="L51" s="135"/>
      <c r="M51" s="135"/>
      <c r="N51" s="135"/>
      <c r="O51" s="135"/>
      <c r="P51" s="135"/>
    </row>
    <row r="52" customFormat="false" ht="15.75" hidden="false" customHeight="true" outlineLevel="0" collapsed="false">
      <c r="A52" s="135"/>
      <c r="B52" s="135"/>
      <c r="C52" s="135"/>
      <c r="D52" s="135"/>
      <c r="E52" s="135"/>
      <c r="F52" s="182"/>
      <c r="G52" s="182"/>
      <c r="H52" s="135"/>
      <c r="I52" s="135"/>
      <c r="J52" s="135"/>
      <c r="K52" s="135"/>
      <c r="L52" s="135"/>
      <c r="M52" s="135"/>
      <c r="N52" s="135"/>
      <c r="O52" s="135"/>
      <c r="P52" s="135"/>
    </row>
    <row r="53" customFormat="false" ht="15.75" hidden="false" customHeight="true" outlineLevel="0" collapsed="false">
      <c r="A53" s="135"/>
      <c r="B53" s="135"/>
      <c r="C53" s="135"/>
      <c r="D53" s="135"/>
      <c r="E53" s="135"/>
      <c r="F53" s="182"/>
      <c r="G53" s="182"/>
      <c r="H53" s="135"/>
      <c r="I53" s="135"/>
      <c r="J53" s="135"/>
      <c r="K53" s="135"/>
      <c r="L53" s="135"/>
      <c r="M53" s="135"/>
      <c r="N53" s="135"/>
      <c r="O53" s="135"/>
      <c r="P53" s="135"/>
    </row>
    <row r="54" customFormat="false" ht="15.75" hidden="false" customHeight="true" outlineLevel="0" collapsed="false">
      <c r="A54" s="135"/>
      <c r="B54" s="135"/>
      <c r="C54" s="135"/>
      <c r="D54" s="135"/>
      <c r="E54" s="135"/>
      <c r="F54" s="182"/>
      <c r="G54" s="182"/>
      <c r="H54" s="135"/>
      <c r="I54" s="135"/>
      <c r="J54" s="135"/>
      <c r="K54" s="135"/>
      <c r="L54" s="135"/>
      <c r="M54" s="135"/>
      <c r="N54" s="135"/>
      <c r="O54" s="135"/>
      <c r="P54" s="135"/>
    </row>
    <row r="55" customFormat="false" ht="15.75" hidden="false" customHeight="true" outlineLevel="0" collapsed="false">
      <c r="A55" s="135"/>
      <c r="B55" s="135"/>
      <c r="C55" s="135"/>
      <c r="D55" s="135"/>
      <c r="E55" s="135"/>
      <c r="F55" s="182"/>
      <c r="G55" s="182"/>
      <c r="H55" s="135"/>
      <c r="I55" s="135"/>
      <c r="J55" s="135"/>
      <c r="K55" s="135"/>
      <c r="L55" s="135"/>
      <c r="M55" s="135"/>
      <c r="N55" s="135"/>
      <c r="O55" s="135"/>
      <c r="P55" s="135"/>
    </row>
    <row r="56" customFormat="false" ht="15.75" hidden="false" customHeight="true" outlineLevel="0" collapsed="false">
      <c r="A56" s="135"/>
      <c r="B56" s="135"/>
      <c r="C56" s="135"/>
      <c r="D56" s="135"/>
      <c r="E56" s="135"/>
      <c r="F56" s="182"/>
      <c r="G56" s="182"/>
      <c r="H56" s="135"/>
      <c r="I56" s="135"/>
      <c r="J56" s="135"/>
      <c r="K56" s="135"/>
      <c r="L56" s="135"/>
      <c r="M56" s="135"/>
      <c r="N56" s="135"/>
      <c r="O56" s="135"/>
      <c r="P56" s="135"/>
    </row>
    <row r="57" customFormat="false" ht="15.75" hidden="false" customHeight="true" outlineLevel="0" collapsed="false">
      <c r="A57" s="135"/>
      <c r="B57" s="135"/>
      <c r="C57" s="135"/>
      <c r="D57" s="135"/>
      <c r="E57" s="135"/>
      <c r="F57" s="182"/>
      <c r="G57" s="182"/>
      <c r="H57" s="135"/>
      <c r="I57" s="135"/>
      <c r="J57" s="135"/>
      <c r="K57" s="135"/>
      <c r="L57" s="135"/>
      <c r="M57" s="135"/>
      <c r="N57" s="135"/>
      <c r="O57" s="135"/>
      <c r="P57" s="135"/>
    </row>
    <row r="58" customFormat="false" ht="15.75" hidden="false" customHeight="true" outlineLevel="0" collapsed="false">
      <c r="A58" s="135"/>
      <c r="B58" s="135"/>
      <c r="C58" s="135"/>
      <c r="D58" s="135"/>
      <c r="E58" s="135"/>
      <c r="F58" s="182"/>
      <c r="G58" s="182"/>
      <c r="H58" s="135"/>
      <c r="I58" s="135"/>
      <c r="J58" s="135"/>
      <c r="K58" s="135"/>
      <c r="L58" s="135"/>
      <c r="M58" s="135"/>
      <c r="N58" s="135"/>
      <c r="O58" s="135"/>
      <c r="P58" s="135"/>
    </row>
    <row r="59" customFormat="false" ht="15.75" hidden="false" customHeight="true" outlineLevel="0" collapsed="false">
      <c r="A59" s="135"/>
      <c r="B59" s="135"/>
      <c r="C59" s="135"/>
      <c r="D59" s="135"/>
      <c r="E59" s="135"/>
      <c r="F59" s="182"/>
      <c r="G59" s="182"/>
      <c r="H59" s="135"/>
      <c r="I59" s="135"/>
      <c r="J59" s="135"/>
      <c r="K59" s="135"/>
      <c r="L59" s="135"/>
      <c r="M59" s="135"/>
      <c r="N59" s="135"/>
      <c r="O59" s="135"/>
      <c r="P59" s="135"/>
    </row>
    <row r="60" customFormat="false" ht="15.75" hidden="false" customHeight="true" outlineLevel="0" collapsed="false">
      <c r="A60" s="135"/>
      <c r="B60" s="135"/>
      <c r="C60" s="135"/>
      <c r="D60" s="135"/>
      <c r="E60" s="135"/>
      <c r="F60" s="182"/>
      <c r="G60" s="182"/>
      <c r="H60" s="135"/>
      <c r="I60" s="135"/>
      <c r="J60" s="135"/>
      <c r="K60" s="135"/>
      <c r="L60" s="135"/>
      <c r="M60" s="135"/>
      <c r="N60" s="135"/>
      <c r="O60" s="135"/>
      <c r="P60" s="135"/>
    </row>
    <row r="61" customFormat="false" ht="15.75" hidden="false" customHeight="true" outlineLevel="0" collapsed="false">
      <c r="A61" s="135"/>
      <c r="B61" s="135"/>
      <c r="C61" s="135"/>
      <c r="D61" s="135"/>
      <c r="E61" s="135"/>
      <c r="F61" s="182"/>
      <c r="G61" s="182"/>
      <c r="H61" s="135"/>
      <c r="I61" s="135"/>
      <c r="J61" s="135"/>
      <c r="K61" s="135"/>
      <c r="L61" s="135"/>
      <c r="M61" s="135"/>
      <c r="N61" s="135"/>
      <c r="O61" s="135"/>
      <c r="P61" s="135"/>
    </row>
    <row r="62" customFormat="false" ht="15.75" hidden="false" customHeight="true" outlineLevel="0" collapsed="false">
      <c r="A62" s="135"/>
      <c r="B62" s="135"/>
      <c r="C62" s="135"/>
      <c r="D62" s="135"/>
      <c r="E62" s="135"/>
      <c r="F62" s="182"/>
      <c r="G62" s="182"/>
      <c r="H62" s="135"/>
      <c r="I62" s="135"/>
      <c r="J62" s="135"/>
      <c r="K62" s="135"/>
      <c r="L62" s="135"/>
      <c r="M62" s="135"/>
      <c r="N62" s="135"/>
      <c r="O62" s="135"/>
      <c r="P62" s="135"/>
    </row>
    <row r="63" customFormat="false" ht="15.75" hidden="false" customHeight="true" outlineLevel="0" collapsed="false">
      <c r="A63" s="135"/>
      <c r="B63" s="135"/>
      <c r="C63" s="135"/>
      <c r="D63" s="135"/>
      <c r="E63" s="135"/>
      <c r="F63" s="182"/>
      <c r="G63" s="182"/>
      <c r="H63" s="135"/>
      <c r="I63" s="135"/>
      <c r="J63" s="135"/>
      <c r="K63" s="135"/>
      <c r="L63" s="135"/>
      <c r="M63" s="135"/>
      <c r="N63" s="135"/>
      <c r="O63" s="135"/>
      <c r="P63" s="135"/>
    </row>
    <row r="64" customFormat="false" ht="15.75" hidden="false" customHeight="true" outlineLevel="0" collapsed="false">
      <c r="A64" s="135"/>
      <c r="B64" s="135"/>
      <c r="C64" s="135"/>
      <c r="D64" s="135"/>
      <c r="E64" s="135"/>
      <c r="F64" s="182"/>
      <c r="G64" s="182"/>
      <c r="H64" s="135"/>
      <c r="I64" s="135"/>
      <c r="J64" s="135"/>
      <c r="K64" s="135"/>
      <c r="L64" s="135"/>
      <c r="M64" s="135"/>
      <c r="N64" s="135"/>
      <c r="O64" s="135"/>
      <c r="P64" s="135"/>
    </row>
    <row r="65" customFormat="false" ht="15.75" hidden="false" customHeight="true" outlineLevel="0" collapsed="false">
      <c r="A65" s="135"/>
      <c r="B65" s="135"/>
      <c r="C65" s="135"/>
      <c r="D65" s="135"/>
      <c r="E65" s="135"/>
      <c r="F65" s="182"/>
      <c r="G65" s="182"/>
      <c r="H65" s="135"/>
      <c r="I65" s="135"/>
      <c r="J65" s="135"/>
      <c r="K65" s="135"/>
      <c r="L65" s="135"/>
      <c r="M65" s="135"/>
      <c r="N65" s="135"/>
      <c r="O65" s="135"/>
      <c r="P65" s="135"/>
    </row>
    <row r="66" customFormat="false" ht="15.75" hidden="false" customHeight="true" outlineLevel="0" collapsed="false">
      <c r="A66" s="135"/>
      <c r="B66" s="135"/>
      <c r="C66" s="135"/>
      <c r="D66" s="135"/>
      <c r="E66" s="135"/>
      <c r="F66" s="182"/>
      <c r="G66" s="182"/>
      <c r="H66" s="135"/>
      <c r="I66" s="135"/>
      <c r="J66" s="135"/>
      <c r="K66" s="135"/>
      <c r="L66" s="135"/>
      <c r="M66" s="135"/>
      <c r="N66" s="135"/>
      <c r="O66" s="135"/>
      <c r="P66" s="135"/>
    </row>
    <row r="67" customFormat="false" ht="15.75" hidden="false" customHeight="true" outlineLevel="0" collapsed="false">
      <c r="A67" s="135"/>
      <c r="B67" s="135"/>
      <c r="C67" s="135"/>
      <c r="D67" s="135"/>
      <c r="E67" s="135"/>
      <c r="F67" s="182"/>
      <c r="G67" s="182"/>
      <c r="H67" s="135"/>
      <c r="I67" s="135"/>
      <c r="J67" s="135"/>
      <c r="K67" s="135"/>
      <c r="L67" s="135"/>
      <c r="M67" s="135"/>
      <c r="N67" s="135"/>
      <c r="O67" s="135"/>
      <c r="P67" s="135"/>
    </row>
    <row r="68" customFormat="false" ht="15.75" hidden="false" customHeight="true" outlineLevel="0" collapsed="false">
      <c r="A68" s="135"/>
      <c r="B68" s="135"/>
      <c r="C68" s="135"/>
      <c r="D68" s="135"/>
      <c r="E68" s="135"/>
      <c r="F68" s="182"/>
      <c r="G68" s="182"/>
      <c r="H68" s="135"/>
      <c r="I68" s="135"/>
      <c r="J68" s="135"/>
      <c r="K68" s="135"/>
      <c r="L68" s="135"/>
      <c r="M68" s="135"/>
      <c r="N68" s="135"/>
      <c r="O68" s="135"/>
      <c r="P68" s="135"/>
    </row>
    <row r="69" customFormat="false" ht="15.75" hidden="false" customHeight="true" outlineLevel="0" collapsed="false">
      <c r="A69" s="135"/>
      <c r="B69" s="135"/>
      <c r="C69" s="135"/>
      <c r="D69" s="135"/>
      <c r="E69" s="135"/>
      <c r="F69" s="182"/>
      <c r="G69" s="182"/>
      <c r="H69" s="135"/>
      <c r="I69" s="135"/>
      <c r="J69" s="135"/>
      <c r="K69" s="135"/>
      <c r="L69" s="135"/>
      <c r="M69" s="135"/>
      <c r="N69" s="135"/>
      <c r="O69" s="135"/>
      <c r="P69" s="135"/>
    </row>
    <row r="70" customFormat="false" ht="15.75" hidden="false" customHeight="true" outlineLevel="0" collapsed="false">
      <c r="A70" s="135"/>
      <c r="B70" s="135"/>
      <c r="C70" s="135"/>
      <c r="D70" s="135"/>
      <c r="E70" s="135"/>
      <c r="F70" s="182"/>
      <c r="G70" s="182"/>
      <c r="H70" s="135"/>
      <c r="I70" s="135"/>
      <c r="J70" s="135"/>
      <c r="K70" s="135"/>
      <c r="L70" s="135"/>
      <c r="M70" s="135"/>
      <c r="N70" s="135"/>
      <c r="O70" s="135"/>
      <c r="P70" s="135"/>
    </row>
    <row r="71" customFormat="false" ht="15.75" hidden="false" customHeight="true" outlineLevel="0" collapsed="false">
      <c r="A71" s="135"/>
      <c r="B71" s="135"/>
      <c r="C71" s="135"/>
      <c r="D71" s="135"/>
      <c r="E71" s="135"/>
      <c r="F71" s="182"/>
      <c r="G71" s="182"/>
      <c r="H71" s="135"/>
      <c r="I71" s="135"/>
      <c r="J71" s="135"/>
      <c r="K71" s="135"/>
      <c r="L71" s="135"/>
      <c r="M71" s="135"/>
      <c r="N71" s="135"/>
      <c r="O71" s="135"/>
      <c r="P71" s="135"/>
    </row>
    <row r="72" customFormat="false" ht="15.75" hidden="false" customHeight="true" outlineLevel="0" collapsed="false">
      <c r="A72" s="135"/>
      <c r="B72" s="135"/>
      <c r="C72" s="135"/>
      <c r="D72" s="135"/>
      <c r="E72" s="135"/>
      <c r="F72" s="182"/>
      <c r="G72" s="182"/>
      <c r="H72" s="135"/>
      <c r="I72" s="135"/>
      <c r="J72" s="135"/>
      <c r="K72" s="135"/>
      <c r="L72" s="135"/>
      <c r="M72" s="135"/>
      <c r="N72" s="135"/>
      <c r="O72" s="135"/>
      <c r="P72" s="135"/>
    </row>
    <row r="73" customFormat="false" ht="15.75" hidden="false" customHeight="true" outlineLevel="0" collapsed="false">
      <c r="A73" s="135"/>
      <c r="B73" s="135"/>
      <c r="C73" s="135"/>
      <c r="D73" s="135"/>
      <c r="E73" s="135"/>
      <c r="F73" s="182"/>
      <c r="G73" s="182"/>
      <c r="H73" s="135"/>
      <c r="I73" s="135"/>
      <c r="J73" s="135"/>
      <c r="K73" s="135"/>
      <c r="L73" s="135"/>
      <c r="M73" s="135"/>
      <c r="N73" s="135"/>
      <c r="O73" s="135"/>
      <c r="P73" s="135"/>
    </row>
    <row r="74" customFormat="false" ht="15.75" hidden="false" customHeight="true" outlineLevel="0" collapsed="false">
      <c r="A74" s="135"/>
      <c r="B74" s="135"/>
      <c r="C74" s="135"/>
      <c r="D74" s="135"/>
      <c r="E74" s="135"/>
      <c r="F74" s="182"/>
      <c r="G74" s="182"/>
      <c r="H74" s="135"/>
      <c r="I74" s="135"/>
      <c r="J74" s="135"/>
      <c r="K74" s="135"/>
      <c r="L74" s="135"/>
      <c r="M74" s="135"/>
      <c r="N74" s="135"/>
      <c r="O74" s="135"/>
      <c r="P74" s="135"/>
    </row>
    <row r="75" customFormat="false" ht="15.75" hidden="false" customHeight="true" outlineLevel="0" collapsed="false">
      <c r="A75" s="135"/>
      <c r="B75" s="135"/>
      <c r="C75" s="135"/>
      <c r="D75" s="135"/>
      <c r="E75" s="135"/>
      <c r="F75" s="182"/>
      <c r="G75" s="182"/>
      <c r="H75" s="135"/>
      <c r="I75" s="135"/>
      <c r="J75" s="135"/>
      <c r="K75" s="135"/>
      <c r="L75" s="135"/>
      <c r="M75" s="135"/>
      <c r="N75" s="135"/>
      <c r="O75" s="135"/>
      <c r="P75" s="135"/>
    </row>
    <row r="76" customFormat="false" ht="15.75" hidden="false" customHeight="true" outlineLevel="0" collapsed="false">
      <c r="A76" s="135"/>
      <c r="B76" s="135"/>
      <c r="C76" s="135"/>
      <c r="D76" s="135"/>
      <c r="E76" s="135"/>
      <c r="F76" s="182"/>
      <c r="G76" s="182"/>
      <c r="H76" s="135"/>
      <c r="I76" s="135"/>
      <c r="J76" s="135"/>
      <c r="K76" s="135"/>
      <c r="L76" s="135"/>
      <c r="M76" s="135"/>
      <c r="N76" s="135"/>
      <c r="O76" s="135"/>
      <c r="P76" s="135"/>
    </row>
    <row r="77" customFormat="false" ht="15.75" hidden="false" customHeight="true" outlineLevel="0" collapsed="false">
      <c r="A77" s="135"/>
      <c r="B77" s="135"/>
      <c r="C77" s="135"/>
      <c r="D77" s="135"/>
      <c r="E77" s="135"/>
      <c r="F77" s="182"/>
      <c r="G77" s="182"/>
      <c r="H77" s="135"/>
      <c r="I77" s="135"/>
      <c r="J77" s="135"/>
      <c r="K77" s="135"/>
      <c r="L77" s="135"/>
      <c r="M77" s="135"/>
      <c r="N77" s="135"/>
      <c r="O77" s="135"/>
      <c r="P77" s="135"/>
    </row>
    <row r="78" customFormat="false" ht="15.75" hidden="false" customHeight="true" outlineLevel="0" collapsed="false">
      <c r="A78" s="135"/>
      <c r="B78" s="135"/>
      <c r="C78" s="135"/>
      <c r="D78" s="135"/>
      <c r="E78" s="135"/>
      <c r="F78" s="182"/>
      <c r="G78" s="182"/>
      <c r="H78" s="135"/>
      <c r="I78" s="135"/>
      <c r="J78" s="135"/>
      <c r="K78" s="135"/>
      <c r="L78" s="135"/>
      <c r="M78" s="135"/>
      <c r="N78" s="135"/>
      <c r="O78" s="135"/>
      <c r="P78" s="135"/>
    </row>
    <row r="79" customFormat="false" ht="15.75" hidden="false" customHeight="true" outlineLevel="0" collapsed="false">
      <c r="A79" s="135"/>
      <c r="B79" s="135"/>
      <c r="C79" s="135"/>
      <c r="D79" s="135"/>
      <c r="E79" s="135"/>
      <c r="F79" s="182"/>
      <c r="G79" s="182"/>
      <c r="H79" s="135"/>
      <c r="I79" s="135"/>
      <c r="J79" s="135"/>
      <c r="K79" s="135"/>
      <c r="L79" s="135"/>
      <c r="M79" s="135"/>
      <c r="N79" s="135"/>
      <c r="O79" s="135"/>
      <c r="P79" s="135"/>
    </row>
    <row r="80" customFormat="false" ht="15.75" hidden="false" customHeight="true" outlineLevel="0" collapsed="false">
      <c r="A80" s="135"/>
      <c r="B80" s="135"/>
      <c r="C80" s="135"/>
      <c r="D80" s="135"/>
      <c r="E80" s="135"/>
      <c r="F80" s="182"/>
      <c r="G80" s="182"/>
      <c r="H80" s="135"/>
      <c r="I80" s="135"/>
      <c r="J80" s="135"/>
      <c r="K80" s="135"/>
      <c r="L80" s="135"/>
      <c r="M80" s="135"/>
      <c r="N80" s="135"/>
      <c r="O80" s="135"/>
      <c r="P80" s="135"/>
    </row>
    <row r="81" customFormat="false" ht="15.75" hidden="false" customHeight="true" outlineLevel="0" collapsed="false">
      <c r="A81" s="135"/>
      <c r="B81" s="135"/>
      <c r="C81" s="135"/>
      <c r="D81" s="135"/>
      <c r="E81" s="135"/>
      <c r="F81" s="182"/>
      <c r="G81" s="182"/>
      <c r="H81" s="135"/>
      <c r="I81" s="135"/>
      <c r="J81" s="135"/>
      <c r="K81" s="135"/>
      <c r="L81" s="135"/>
      <c r="M81" s="135"/>
      <c r="N81" s="135"/>
      <c r="O81" s="135"/>
      <c r="P81" s="135"/>
    </row>
    <row r="82" customFormat="false" ht="15.75" hidden="false" customHeight="true" outlineLevel="0" collapsed="false">
      <c r="A82" s="135"/>
      <c r="B82" s="135"/>
      <c r="C82" s="135"/>
      <c r="D82" s="135"/>
      <c r="E82" s="135"/>
      <c r="F82" s="182"/>
      <c r="G82" s="182"/>
      <c r="H82" s="135"/>
      <c r="I82" s="135"/>
      <c r="J82" s="135"/>
      <c r="K82" s="135"/>
      <c r="L82" s="135"/>
      <c r="M82" s="135"/>
      <c r="N82" s="135"/>
      <c r="O82" s="135"/>
      <c r="P82" s="135"/>
    </row>
    <row r="83" customFormat="false" ht="15.75" hidden="false" customHeight="true" outlineLevel="0" collapsed="false">
      <c r="A83" s="135"/>
      <c r="B83" s="135"/>
      <c r="C83" s="135"/>
      <c r="D83" s="135"/>
      <c r="E83" s="135"/>
      <c r="F83" s="182"/>
      <c r="G83" s="182"/>
      <c r="H83" s="135"/>
      <c r="I83" s="135"/>
      <c r="J83" s="135"/>
      <c r="K83" s="135"/>
      <c r="L83" s="135"/>
      <c r="M83" s="135"/>
      <c r="N83" s="135"/>
      <c r="O83" s="135"/>
      <c r="P83" s="135"/>
    </row>
    <row r="84" customFormat="false" ht="15.75" hidden="false" customHeight="true" outlineLevel="0" collapsed="false">
      <c r="A84" s="135"/>
      <c r="B84" s="135"/>
      <c r="C84" s="135"/>
      <c r="D84" s="135"/>
      <c r="E84" s="135"/>
      <c r="F84" s="182"/>
      <c r="G84" s="182"/>
      <c r="H84" s="135"/>
      <c r="I84" s="135"/>
      <c r="J84" s="135"/>
      <c r="K84" s="135"/>
      <c r="L84" s="135"/>
      <c r="M84" s="135"/>
      <c r="N84" s="135"/>
      <c r="O84" s="135"/>
      <c r="P84" s="135"/>
    </row>
    <row r="85" customFormat="false" ht="15.75" hidden="false" customHeight="true" outlineLevel="0" collapsed="false">
      <c r="A85" s="135"/>
      <c r="B85" s="135"/>
      <c r="C85" s="135"/>
      <c r="D85" s="135"/>
      <c r="E85" s="135"/>
      <c r="F85" s="182"/>
      <c r="G85" s="182"/>
      <c r="H85" s="135"/>
      <c r="I85" s="135"/>
      <c r="J85" s="135"/>
      <c r="K85" s="135"/>
      <c r="L85" s="135"/>
      <c r="M85" s="135"/>
      <c r="N85" s="135"/>
      <c r="O85" s="135"/>
      <c r="P85" s="135"/>
    </row>
    <row r="86" customFormat="false" ht="15.75" hidden="false" customHeight="true" outlineLevel="0" collapsed="false">
      <c r="A86" s="135"/>
      <c r="B86" s="135"/>
      <c r="C86" s="135"/>
      <c r="D86" s="135"/>
      <c r="E86" s="135"/>
      <c r="F86" s="182"/>
      <c r="G86" s="182"/>
      <c r="H86" s="135"/>
      <c r="I86" s="135"/>
      <c r="J86" s="135"/>
      <c r="K86" s="135"/>
      <c r="L86" s="135"/>
      <c r="M86" s="135"/>
      <c r="N86" s="135"/>
      <c r="O86" s="135"/>
      <c r="P86" s="135"/>
    </row>
    <row r="87" customFormat="false" ht="15.75" hidden="false" customHeight="true" outlineLevel="0" collapsed="false">
      <c r="A87" s="135"/>
      <c r="B87" s="135"/>
      <c r="C87" s="135"/>
      <c r="D87" s="135"/>
      <c r="E87" s="135"/>
      <c r="F87" s="182"/>
      <c r="G87" s="182"/>
      <c r="H87" s="135"/>
      <c r="I87" s="135"/>
      <c r="J87" s="135"/>
      <c r="K87" s="135"/>
      <c r="L87" s="135"/>
      <c r="M87" s="135"/>
      <c r="N87" s="135"/>
      <c r="O87" s="135"/>
      <c r="P87" s="135"/>
    </row>
    <row r="88" customFormat="false" ht="15.75" hidden="false" customHeight="true" outlineLevel="0" collapsed="false">
      <c r="A88" s="135"/>
      <c r="B88" s="135"/>
      <c r="C88" s="135"/>
      <c r="D88" s="135"/>
      <c r="E88" s="135"/>
      <c r="F88" s="182"/>
      <c r="G88" s="182"/>
      <c r="H88" s="135"/>
      <c r="I88" s="135"/>
      <c r="J88" s="135"/>
      <c r="K88" s="135"/>
      <c r="L88" s="135"/>
      <c r="M88" s="135"/>
      <c r="N88" s="135"/>
      <c r="O88" s="135"/>
      <c r="P88" s="135"/>
    </row>
    <row r="89" customFormat="false" ht="15.75" hidden="false" customHeight="true" outlineLevel="0" collapsed="false">
      <c r="A89" s="135"/>
      <c r="B89" s="135"/>
      <c r="C89" s="135"/>
      <c r="D89" s="135"/>
      <c r="E89" s="135"/>
      <c r="F89" s="182"/>
      <c r="G89" s="182"/>
      <c r="H89" s="135"/>
      <c r="I89" s="135"/>
      <c r="J89" s="135"/>
      <c r="K89" s="135"/>
      <c r="L89" s="135"/>
      <c r="M89" s="135"/>
      <c r="N89" s="135"/>
      <c r="O89" s="135"/>
      <c r="P89" s="135"/>
    </row>
    <row r="90" customFormat="false" ht="15.75" hidden="false" customHeight="true" outlineLevel="0" collapsed="false">
      <c r="A90" s="135"/>
      <c r="B90" s="135"/>
      <c r="C90" s="135"/>
      <c r="D90" s="135"/>
      <c r="E90" s="135"/>
      <c r="F90" s="182"/>
      <c r="G90" s="182"/>
      <c r="H90" s="135"/>
      <c r="I90" s="135"/>
      <c r="J90" s="135"/>
      <c r="K90" s="135"/>
      <c r="L90" s="135"/>
      <c r="M90" s="135"/>
      <c r="N90" s="135"/>
      <c r="O90" s="135"/>
      <c r="P90" s="135"/>
    </row>
    <row r="91" customFormat="false" ht="15.75" hidden="false" customHeight="true" outlineLevel="0" collapsed="false">
      <c r="A91" s="135"/>
      <c r="B91" s="135"/>
      <c r="C91" s="135"/>
      <c r="D91" s="135"/>
      <c r="E91" s="135"/>
      <c r="F91" s="182"/>
      <c r="G91" s="182"/>
      <c r="H91" s="135"/>
      <c r="I91" s="135"/>
      <c r="J91" s="135"/>
      <c r="K91" s="135"/>
      <c r="L91" s="135"/>
      <c r="M91" s="135"/>
      <c r="N91" s="135"/>
      <c r="O91" s="135"/>
      <c r="P91" s="135"/>
    </row>
    <row r="92" customFormat="false" ht="15.75" hidden="false" customHeight="true" outlineLevel="0" collapsed="false">
      <c r="A92" s="135"/>
      <c r="B92" s="135"/>
      <c r="C92" s="135"/>
      <c r="D92" s="135"/>
      <c r="E92" s="135"/>
      <c r="F92" s="182"/>
      <c r="G92" s="182"/>
      <c r="H92" s="135"/>
      <c r="I92" s="135"/>
      <c r="J92" s="135"/>
      <c r="K92" s="135"/>
      <c r="L92" s="135"/>
      <c r="M92" s="135"/>
      <c r="N92" s="135"/>
      <c r="O92" s="135"/>
      <c r="P92" s="135"/>
    </row>
    <row r="93" customFormat="false" ht="15.75" hidden="false" customHeight="true" outlineLevel="0" collapsed="false">
      <c r="A93" s="135"/>
      <c r="B93" s="135"/>
      <c r="C93" s="135"/>
      <c r="D93" s="135"/>
      <c r="E93" s="135"/>
      <c r="F93" s="182"/>
      <c r="G93" s="182"/>
      <c r="H93" s="135"/>
      <c r="I93" s="135"/>
      <c r="J93" s="135"/>
      <c r="K93" s="135"/>
      <c r="L93" s="135"/>
      <c r="M93" s="135"/>
      <c r="N93" s="135"/>
      <c r="O93" s="135"/>
      <c r="P93" s="135"/>
    </row>
    <row r="94" customFormat="false" ht="15.75" hidden="false" customHeight="true" outlineLevel="0" collapsed="false">
      <c r="A94" s="135"/>
      <c r="B94" s="135"/>
      <c r="C94" s="135"/>
      <c r="D94" s="135"/>
      <c r="E94" s="135"/>
      <c r="F94" s="182"/>
      <c r="G94" s="182"/>
      <c r="H94" s="135"/>
      <c r="I94" s="135"/>
      <c r="J94" s="135"/>
      <c r="K94" s="135"/>
      <c r="L94" s="135"/>
      <c r="M94" s="135"/>
      <c r="N94" s="135"/>
      <c r="O94" s="135"/>
      <c r="P94" s="135"/>
    </row>
    <row r="95" customFormat="false" ht="15.75" hidden="false" customHeight="true" outlineLevel="0" collapsed="false">
      <c r="A95" s="135"/>
      <c r="B95" s="135"/>
      <c r="C95" s="135"/>
      <c r="D95" s="135"/>
      <c r="E95" s="135"/>
      <c r="F95" s="182"/>
      <c r="G95" s="182"/>
      <c r="H95" s="135"/>
      <c r="I95" s="135"/>
      <c r="J95" s="135"/>
      <c r="K95" s="135"/>
      <c r="L95" s="135"/>
      <c r="M95" s="135"/>
      <c r="N95" s="135"/>
      <c r="O95" s="135"/>
      <c r="P95" s="135"/>
    </row>
    <row r="96" customFormat="false" ht="15.75" hidden="false" customHeight="true" outlineLevel="0" collapsed="false">
      <c r="A96" s="135"/>
      <c r="B96" s="135"/>
      <c r="C96" s="135"/>
      <c r="D96" s="135"/>
      <c r="E96" s="135"/>
      <c r="F96" s="182"/>
      <c r="G96" s="182"/>
      <c r="H96" s="135"/>
      <c r="I96" s="135"/>
      <c r="J96" s="135"/>
      <c r="K96" s="135"/>
      <c r="L96" s="135"/>
      <c r="M96" s="135"/>
      <c r="N96" s="135"/>
      <c r="O96" s="135"/>
      <c r="P96" s="135"/>
    </row>
    <row r="97" customFormat="false" ht="15.75" hidden="false" customHeight="true" outlineLevel="0" collapsed="false">
      <c r="A97" s="135"/>
      <c r="B97" s="135"/>
      <c r="C97" s="135"/>
      <c r="D97" s="135"/>
      <c r="E97" s="135"/>
      <c r="F97" s="182"/>
      <c r="G97" s="182"/>
      <c r="H97" s="135"/>
      <c r="I97" s="135"/>
      <c r="J97" s="135"/>
      <c r="K97" s="135"/>
      <c r="L97" s="135"/>
      <c r="M97" s="135"/>
      <c r="N97" s="135"/>
      <c r="O97" s="135"/>
      <c r="P97" s="135"/>
    </row>
    <row r="98" customFormat="false" ht="15.75" hidden="false" customHeight="true" outlineLevel="0" collapsed="false">
      <c r="A98" s="135"/>
      <c r="B98" s="135"/>
      <c r="C98" s="135"/>
      <c r="D98" s="135"/>
      <c r="E98" s="135"/>
      <c r="F98" s="182"/>
      <c r="G98" s="182"/>
      <c r="H98" s="135"/>
      <c r="I98" s="135"/>
      <c r="J98" s="135"/>
      <c r="K98" s="135"/>
      <c r="L98" s="135"/>
      <c r="M98" s="135"/>
      <c r="N98" s="135"/>
      <c r="O98" s="135"/>
      <c r="P98" s="135"/>
    </row>
    <row r="99" customFormat="false" ht="15.75" hidden="false" customHeight="true" outlineLevel="0" collapsed="false">
      <c r="A99" s="135"/>
      <c r="B99" s="135"/>
      <c r="C99" s="135"/>
      <c r="D99" s="135"/>
      <c r="E99" s="135"/>
      <c r="F99" s="182"/>
      <c r="G99" s="182"/>
      <c r="H99" s="135"/>
      <c r="I99" s="135"/>
      <c r="J99" s="135"/>
      <c r="K99" s="135"/>
      <c r="L99" s="135"/>
      <c r="M99" s="135"/>
      <c r="N99" s="135"/>
      <c r="O99" s="135"/>
      <c r="P99" s="135"/>
    </row>
    <row r="100" customFormat="false" ht="15.75" hidden="false" customHeight="true" outlineLevel="0" collapsed="false">
      <c r="A100" s="135"/>
      <c r="B100" s="135"/>
      <c r="C100" s="135"/>
      <c r="D100" s="135"/>
      <c r="E100" s="135"/>
      <c r="F100" s="182"/>
      <c r="G100" s="182"/>
      <c r="H100" s="135"/>
      <c r="I100" s="135"/>
      <c r="J100" s="135"/>
      <c r="K100" s="135"/>
      <c r="L100" s="135"/>
      <c r="M100" s="135"/>
      <c r="N100" s="135"/>
      <c r="O100" s="135"/>
      <c r="P100" s="135"/>
    </row>
    <row r="101" customFormat="false" ht="15.75" hidden="false" customHeight="true" outlineLevel="0" collapsed="false">
      <c r="A101" s="135"/>
      <c r="B101" s="135"/>
      <c r="C101" s="135"/>
      <c r="D101" s="135"/>
      <c r="E101" s="135"/>
      <c r="F101" s="182"/>
      <c r="G101" s="182"/>
      <c r="H101" s="135"/>
      <c r="I101" s="135"/>
      <c r="J101" s="135"/>
      <c r="K101" s="135"/>
      <c r="L101" s="135"/>
      <c r="M101" s="135"/>
      <c r="N101" s="135"/>
      <c r="O101" s="135"/>
      <c r="P101" s="135"/>
    </row>
    <row r="102" customFormat="false" ht="15.75" hidden="false" customHeight="true" outlineLevel="0" collapsed="false">
      <c r="A102" s="135"/>
      <c r="B102" s="135"/>
      <c r="C102" s="135"/>
      <c r="D102" s="135"/>
      <c r="E102" s="135"/>
      <c r="F102" s="182"/>
      <c r="G102" s="182"/>
      <c r="H102" s="135"/>
      <c r="I102" s="135"/>
      <c r="J102" s="135"/>
      <c r="K102" s="135"/>
      <c r="L102" s="135"/>
      <c r="M102" s="135"/>
      <c r="N102" s="135"/>
      <c r="O102" s="135"/>
      <c r="P102" s="135"/>
    </row>
    <row r="103" customFormat="false" ht="15.75" hidden="false" customHeight="true" outlineLevel="0" collapsed="false">
      <c r="A103" s="135"/>
      <c r="B103" s="135"/>
      <c r="C103" s="135"/>
      <c r="D103" s="135"/>
      <c r="E103" s="135"/>
      <c r="F103" s="182"/>
      <c r="G103" s="182"/>
      <c r="H103" s="135"/>
      <c r="I103" s="135"/>
      <c r="J103" s="135"/>
      <c r="K103" s="135"/>
      <c r="L103" s="135"/>
      <c r="M103" s="135"/>
      <c r="N103" s="135"/>
      <c r="O103" s="135"/>
      <c r="P103" s="135"/>
    </row>
    <row r="104" customFormat="false" ht="15.75" hidden="false" customHeight="true" outlineLevel="0" collapsed="false">
      <c r="A104" s="135"/>
      <c r="B104" s="135"/>
      <c r="C104" s="135"/>
      <c r="D104" s="135"/>
      <c r="E104" s="135"/>
      <c r="F104" s="182"/>
      <c r="G104" s="182"/>
      <c r="H104" s="135"/>
      <c r="I104" s="135"/>
      <c r="J104" s="135"/>
      <c r="K104" s="135"/>
      <c r="L104" s="135"/>
      <c r="M104" s="135"/>
      <c r="N104" s="135"/>
      <c r="O104" s="135"/>
      <c r="P104" s="135"/>
    </row>
    <row r="105" customFormat="false" ht="15.75" hidden="false" customHeight="true" outlineLevel="0" collapsed="false">
      <c r="A105" s="135"/>
      <c r="B105" s="135"/>
      <c r="C105" s="135"/>
      <c r="D105" s="135"/>
      <c r="E105" s="135"/>
      <c r="F105" s="182"/>
      <c r="G105" s="182"/>
      <c r="H105" s="135"/>
      <c r="I105" s="135"/>
      <c r="J105" s="135"/>
      <c r="K105" s="135"/>
      <c r="L105" s="135"/>
      <c r="M105" s="135"/>
      <c r="N105" s="135"/>
      <c r="O105" s="135"/>
      <c r="P105" s="135"/>
    </row>
    <row r="106" customFormat="false" ht="15.75" hidden="false" customHeight="true" outlineLevel="0" collapsed="false">
      <c r="A106" s="135"/>
      <c r="B106" s="135"/>
      <c r="C106" s="135"/>
      <c r="D106" s="135"/>
      <c r="E106" s="135"/>
      <c r="F106" s="182"/>
      <c r="G106" s="182"/>
      <c r="H106" s="135"/>
      <c r="I106" s="135"/>
      <c r="J106" s="135"/>
      <c r="K106" s="135"/>
      <c r="L106" s="135"/>
      <c r="M106" s="135"/>
      <c r="N106" s="135"/>
      <c r="O106" s="135"/>
      <c r="P106" s="135"/>
    </row>
    <row r="107" customFormat="false" ht="15.75" hidden="false" customHeight="true" outlineLevel="0" collapsed="false">
      <c r="A107" s="135"/>
      <c r="B107" s="135"/>
      <c r="C107" s="135"/>
      <c r="D107" s="135"/>
      <c r="E107" s="135"/>
      <c r="F107" s="182"/>
      <c r="G107" s="182"/>
      <c r="H107" s="135"/>
      <c r="I107" s="135"/>
      <c r="J107" s="135"/>
      <c r="K107" s="135"/>
      <c r="L107" s="135"/>
      <c r="M107" s="135"/>
      <c r="N107" s="135"/>
      <c r="O107" s="135"/>
      <c r="P107" s="135"/>
    </row>
    <row r="108" customFormat="false" ht="15.75" hidden="false" customHeight="true" outlineLevel="0" collapsed="false">
      <c r="A108" s="135"/>
      <c r="B108" s="135"/>
      <c r="C108" s="135"/>
      <c r="D108" s="135"/>
      <c r="E108" s="135"/>
      <c r="F108" s="182"/>
      <c r="G108" s="182"/>
      <c r="H108" s="135"/>
      <c r="I108" s="135"/>
      <c r="J108" s="135"/>
      <c r="K108" s="135"/>
      <c r="L108" s="135"/>
      <c r="M108" s="135"/>
      <c r="N108" s="135"/>
      <c r="O108" s="135"/>
      <c r="P108" s="135"/>
    </row>
    <row r="109" customFormat="false" ht="15.75" hidden="false" customHeight="true" outlineLevel="0" collapsed="false">
      <c r="A109" s="135"/>
      <c r="B109" s="135"/>
      <c r="C109" s="135"/>
      <c r="D109" s="135"/>
      <c r="E109" s="135"/>
      <c r="F109" s="182"/>
      <c r="G109" s="182"/>
      <c r="H109" s="135"/>
      <c r="I109" s="135"/>
      <c r="J109" s="135"/>
      <c r="K109" s="135"/>
      <c r="L109" s="135"/>
      <c r="M109" s="135"/>
      <c r="N109" s="135"/>
      <c r="O109" s="135"/>
      <c r="P109" s="135"/>
    </row>
    <row r="110" customFormat="false" ht="15.75" hidden="false" customHeight="true" outlineLevel="0" collapsed="false">
      <c r="A110" s="135"/>
      <c r="B110" s="135"/>
      <c r="C110" s="135"/>
      <c r="D110" s="135"/>
      <c r="E110" s="135"/>
      <c r="F110" s="182"/>
      <c r="G110" s="182"/>
      <c r="H110" s="135"/>
      <c r="I110" s="135"/>
      <c r="J110" s="135"/>
      <c r="K110" s="135"/>
      <c r="L110" s="135"/>
      <c r="M110" s="135"/>
      <c r="N110" s="135"/>
      <c r="O110" s="135"/>
      <c r="P110" s="135"/>
    </row>
    <row r="111" customFormat="false" ht="15.75" hidden="false" customHeight="true" outlineLevel="0" collapsed="false">
      <c r="A111" s="135"/>
      <c r="B111" s="135"/>
      <c r="C111" s="135"/>
      <c r="D111" s="135"/>
      <c r="E111" s="135"/>
      <c r="F111" s="182"/>
      <c r="G111" s="182"/>
      <c r="H111" s="135"/>
      <c r="I111" s="135"/>
      <c r="J111" s="135"/>
      <c r="K111" s="135"/>
      <c r="L111" s="135"/>
      <c r="M111" s="135"/>
      <c r="N111" s="135"/>
      <c r="O111" s="135"/>
      <c r="P111" s="135"/>
    </row>
    <row r="112" customFormat="false" ht="15.75" hidden="false" customHeight="true" outlineLevel="0" collapsed="false">
      <c r="A112" s="135"/>
      <c r="B112" s="135"/>
      <c r="C112" s="135"/>
      <c r="D112" s="135"/>
      <c r="E112" s="135"/>
      <c r="F112" s="182"/>
      <c r="G112" s="182"/>
      <c r="H112" s="135"/>
      <c r="I112" s="135"/>
      <c r="J112" s="135"/>
      <c r="K112" s="135"/>
      <c r="L112" s="135"/>
      <c r="M112" s="135"/>
      <c r="N112" s="135"/>
      <c r="O112" s="135"/>
      <c r="P112" s="135"/>
    </row>
    <row r="113" customFormat="false" ht="15.75" hidden="false" customHeight="true" outlineLevel="0" collapsed="false">
      <c r="A113" s="135"/>
      <c r="B113" s="135"/>
      <c r="C113" s="135"/>
      <c r="D113" s="135"/>
      <c r="E113" s="135"/>
      <c r="F113" s="182"/>
      <c r="G113" s="182"/>
      <c r="H113" s="135"/>
      <c r="I113" s="135"/>
      <c r="J113" s="135"/>
      <c r="K113" s="135"/>
      <c r="L113" s="135"/>
      <c r="M113" s="135"/>
      <c r="N113" s="135"/>
      <c r="O113" s="135"/>
      <c r="P113" s="135"/>
    </row>
    <row r="114" customFormat="false" ht="15.75" hidden="false" customHeight="true" outlineLevel="0" collapsed="false">
      <c r="A114" s="135"/>
      <c r="B114" s="135"/>
      <c r="C114" s="135"/>
      <c r="D114" s="135"/>
      <c r="E114" s="135"/>
      <c r="F114" s="182"/>
      <c r="G114" s="182"/>
      <c r="H114" s="135"/>
      <c r="I114" s="135"/>
      <c r="J114" s="135"/>
      <c r="K114" s="135"/>
      <c r="L114" s="135"/>
      <c r="M114" s="135"/>
      <c r="N114" s="135"/>
      <c r="O114" s="135"/>
      <c r="P114" s="135"/>
    </row>
    <row r="115" customFormat="false" ht="15.75" hidden="false" customHeight="true" outlineLevel="0" collapsed="false">
      <c r="A115" s="135"/>
      <c r="B115" s="135"/>
      <c r="C115" s="135"/>
      <c r="D115" s="135"/>
      <c r="E115" s="135"/>
      <c r="F115" s="182"/>
      <c r="G115" s="182"/>
      <c r="H115" s="135"/>
      <c r="I115" s="135"/>
      <c r="J115" s="135"/>
      <c r="K115" s="135"/>
      <c r="L115" s="135"/>
      <c r="M115" s="135"/>
      <c r="N115" s="135"/>
      <c r="O115" s="135"/>
      <c r="P115" s="135"/>
    </row>
    <row r="116" customFormat="false" ht="15.75" hidden="false" customHeight="true" outlineLevel="0" collapsed="false">
      <c r="A116" s="135"/>
      <c r="B116" s="135"/>
      <c r="C116" s="135"/>
      <c r="D116" s="135"/>
      <c r="E116" s="135"/>
      <c r="F116" s="182"/>
      <c r="G116" s="182"/>
      <c r="H116" s="135"/>
      <c r="I116" s="135"/>
      <c r="J116" s="135"/>
      <c r="K116" s="135"/>
      <c r="L116" s="135"/>
      <c r="M116" s="135"/>
      <c r="N116" s="135"/>
      <c r="O116" s="135"/>
      <c r="P116" s="135"/>
    </row>
    <row r="117" customFormat="false" ht="15.75" hidden="false" customHeight="true" outlineLevel="0" collapsed="false">
      <c r="A117" s="135"/>
      <c r="B117" s="135"/>
      <c r="C117" s="135"/>
      <c r="D117" s="135"/>
      <c r="E117" s="135"/>
      <c r="F117" s="182"/>
      <c r="G117" s="182"/>
      <c r="H117" s="135"/>
      <c r="I117" s="135"/>
      <c r="J117" s="135"/>
      <c r="K117" s="135"/>
      <c r="L117" s="135"/>
      <c r="M117" s="135"/>
      <c r="N117" s="135"/>
      <c r="O117" s="135"/>
      <c r="P117" s="135"/>
    </row>
    <row r="118" customFormat="false" ht="15.75" hidden="false" customHeight="true" outlineLevel="0" collapsed="false">
      <c r="A118" s="135"/>
      <c r="B118" s="135"/>
      <c r="C118" s="135"/>
      <c r="D118" s="135"/>
      <c r="E118" s="135"/>
      <c r="F118" s="182"/>
      <c r="G118" s="182"/>
      <c r="H118" s="135"/>
      <c r="I118" s="135"/>
      <c r="J118" s="135"/>
      <c r="K118" s="135"/>
      <c r="L118" s="135"/>
      <c r="M118" s="135"/>
      <c r="N118" s="135"/>
      <c r="O118" s="135"/>
      <c r="P118" s="135"/>
    </row>
    <row r="119" customFormat="false" ht="15.75" hidden="false" customHeight="true" outlineLevel="0" collapsed="false">
      <c r="A119" s="135"/>
      <c r="B119" s="135"/>
      <c r="C119" s="135"/>
      <c r="D119" s="135"/>
      <c r="E119" s="135"/>
      <c r="F119" s="182"/>
      <c r="G119" s="182"/>
      <c r="H119" s="135"/>
      <c r="I119" s="135"/>
      <c r="J119" s="135"/>
      <c r="K119" s="135"/>
      <c r="L119" s="135"/>
      <c r="M119" s="135"/>
      <c r="N119" s="135"/>
      <c r="O119" s="135"/>
      <c r="P119" s="135"/>
    </row>
    <row r="120" customFormat="false" ht="15.75" hidden="false" customHeight="true" outlineLevel="0" collapsed="false">
      <c r="A120" s="135"/>
      <c r="B120" s="135"/>
      <c r="C120" s="135"/>
      <c r="D120" s="135"/>
      <c r="E120" s="135"/>
      <c r="F120" s="182"/>
      <c r="G120" s="182"/>
      <c r="H120" s="135"/>
      <c r="I120" s="135"/>
      <c r="J120" s="135"/>
      <c r="K120" s="135"/>
      <c r="L120" s="135"/>
      <c r="M120" s="135"/>
      <c r="N120" s="135"/>
      <c r="O120" s="135"/>
      <c r="P120" s="135"/>
    </row>
    <row r="121" customFormat="false" ht="15.75" hidden="false" customHeight="true" outlineLevel="0" collapsed="false">
      <c r="A121" s="135"/>
      <c r="B121" s="135"/>
      <c r="C121" s="135"/>
      <c r="D121" s="135"/>
      <c r="E121" s="135"/>
      <c r="F121" s="182"/>
      <c r="G121" s="182"/>
      <c r="H121" s="135"/>
      <c r="I121" s="135"/>
      <c r="J121" s="135"/>
      <c r="K121" s="135"/>
      <c r="L121" s="135"/>
      <c r="M121" s="135"/>
      <c r="N121" s="135"/>
      <c r="O121" s="135"/>
      <c r="P121" s="135"/>
    </row>
    <row r="122" customFormat="false" ht="15.75" hidden="false" customHeight="true" outlineLevel="0" collapsed="false">
      <c r="A122" s="135"/>
      <c r="B122" s="135"/>
      <c r="C122" s="135"/>
      <c r="D122" s="135"/>
      <c r="E122" s="135"/>
      <c r="F122" s="182"/>
      <c r="G122" s="182"/>
      <c r="H122" s="135"/>
      <c r="I122" s="135"/>
      <c r="J122" s="135"/>
      <c r="K122" s="135"/>
      <c r="L122" s="135"/>
      <c r="M122" s="135"/>
      <c r="N122" s="135"/>
      <c r="O122" s="135"/>
      <c r="P122" s="135"/>
    </row>
    <row r="123" customFormat="false" ht="15.75" hidden="false" customHeight="true" outlineLevel="0" collapsed="false">
      <c r="A123" s="135"/>
      <c r="B123" s="135"/>
      <c r="C123" s="135"/>
      <c r="D123" s="135"/>
      <c r="E123" s="135"/>
      <c r="F123" s="182"/>
      <c r="G123" s="182"/>
      <c r="H123" s="135"/>
      <c r="I123" s="135"/>
      <c r="J123" s="135"/>
      <c r="K123" s="135"/>
      <c r="L123" s="135"/>
      <c r="M123" s="135"/>
      <c r="N123" s="135"/>
      <c r="O123" s="135"/>
      <c r="P123" s="135"/>
    </row>
    <row r="124" customFormat="false" ht="15.75" hidden="false" customHeight="true" outlineLevel="0" collapsed="false">
      <c r="A124" s="135"/>
      <c r="B124" s="135"/>
      <c r="C124" s="135"/>
      <c r="D124" s="135"/>
      <c r="E124" s="135"/>
      <c r="F124" s="182"/>
      <c r="G124" s="182"/>
      <c r="H124" s="135"/>
      <c r="I124" s="135"/>
      <c r="J124" s="135"/>
      <c r="K124" s="135"/>
      <c r="L124" s="135"/>
      <c r="M124" s="135"/>
      <c r="N124" s="135"/>
      <c r="O124" s="135"/>
      <c r="P124" s="135"/>
    </row>
    <row r="125" customFormat="false" ht="15.75" hidden="false" customHeight="true" outlineLevel="0" collapsed="false">
      <c r="A125" s="135"/>
      <c r="B125" s="135"/>
      <c r="C125" s="135"/>
      <c r="D125" s="135"/>
      <c r="E125" s="135"/>
      <c r="F125" s="182"/>
      <c r="G125" s="182"/>
      <c r="H125" s="135"/>
      <c r="I125" s="135"/>
      <c r="J125" s="135"/>
      <c r="K125" s="135"/>
      <c r="L125" s="135"/>
      <c r="M125" s="135"/>
      <c r="N125" s="135"/>
      <c r="O125" s="135"/>
      <c r="P125" s="135"/>
    </row>
    <row r="126" customFormat="false" ht="15.75" hidden="false" customHeight="true" outlineLevel="0" collapsed="false">
      <c r="A126" s="135"/>
      <c r="B126" s="135"/>
      <c r="C126" s="135"/>
      <c r="D126" s="135"/>
      <c r="E126" s="135"/>
      <c r="F126" s="182"/>
      <c r="G126" s="182"/>
      <c r="H126" s="135"/>
      <c r="I126" s="135"/>
      <c r="J126" s="135"/>
      <c r="K126" s="135"/>
      <c r="L126" s="135"/>
      <c r="M126" s="135"/>
      <c r="N126" s="135"/>
      <c r="O126" s="135"/>
      <c r="P126" s="135"/>
    </row>
    <row r="127" customFormat="false" ht="15.75" hidden="false" customHeight="true" outlineLevel="0" collapsed="false">
      <c r="A127" s="135"/>
      <c r="B127" s="135"/>
      <c r="C127" s="135"/>
      <c r="D127" s="135"/>
      <c r="E127" s="135"/>
      <c r="F127" s="182"/>
      <c r="G127" s="182"/>
      <c r="H127" s="135"/>
      <c r="I127" s="135"/>
      <c r="J127" s="135"/>
      <c r="K127" s="135"/>
      <c r="L127" s="135"/>
      <c r="M127" s="135"/>
      <c r="N127" s="135"/>
      <c r="O127" s="135"/>
      <c r="P127" s="135"/>
    </row>
    <row r="128" customFormat="false" ht="15.75" hidden="false" customHeight="true" outlineLevel="0" collapsed="false">
      <c r="A128" s="135"/>
      <c r="B128" s="135"/>
      <c r="C128" s="135"/>
      <c r="D128" s="135"/>
      <c r="E128" s="135"/>
      <c r="F128" s="182"/>
      <c r="G128" s="182"/>
      <c r="H128" s="135"/>
      <c r="I128" s="135"/>
      <c r="J128" s="135"/>
      <c r="K128" s="135"/>
      <c r="L128" s="135"/>
      <c r="M128" s="135"/>
      <c r="N128" s="135"/>
      <c r="O128" s="135"/>
      <c r="P128" s="135"/>
    </row>
    <row r="129" customFormat="false" ht="15.75" hidden="false" customHeight="true" outlineLevel="0" collapsed="false">
      <c r="A129" s="135"/>
      <c r="B129" s="135"/>
      <c r="C129" s="135"/>
      <c r="D129" s="135"/>
      <c r="E129" s="135"/>
      <c r="F129" s="182"/>
      <c r="G129" s="182"/>
      <c r="H129" s="135"/>
      <c r="I129" s="135"/>
      <c r="J129" s="135"/>
      <c r="K129" s="135"/>
      <c r="L129" s="135"/>
      <c r="M129" s="135"/>
      <c r="N129" s="135"/>
      <c r="O129" s="135"/>
      <c r="P129" s="135"/>
    </row>
    <row r="130" customFormat="false" ht="15.75" hidden="false" customHeight="true" outlineLevel="0" collapsed="false">
      <c r="A130" s="135"/>
      <c r="B130" s="135"/>
      <c r="C130" s="135"/>
      <c r="D130" s="135"/>
      <c r="E130" s="135"/>
      <c r="F130" s="182"/>
      <c r="G130" s="182"/>
      <c r="H130" s="135"/>
      <c r="I130" s="135"/>
      <c r="J130" s="135"/>
      <c r="K130" s="135"/>
      <c r="L130" s="135"/>
      <c r="M130" s="135"/>
      <c r="N130" s="135"/>
      <c r="O130" s="135"/>
      <c r="P130" s="135"/>
    </row>
    <row r="131" customFormat="false" ht="15.75" hidden="false" customHeight="true" outlineLevel="0" collapsed="false">
      <c r="A131" s="135"/>
      <c r="B131" s="135"/>
      <c r="C131" s="135"/>
      <c r="D131" s="135"/>
      <c r="E131" s="135"/>
      <c r="F131" s="182"/>
      <c r="G131" s="182"/>
      <c r="H131" s="135"/>
      <c r="I131" s="135"/>
      <c r="J131" s="135"/>
      <c r="K131" s="135"/>
      <c r="L131" s="135"/>
      <c r="M131" s="135"/>
      <c r="N131" s="135"/>
      <c r="O131" s="135"/>
      <c r="P131" s="135"/>
    </row>
    <row r="132" customFormat="false" ht="15.75" hidden="false" customHeight="true" outlineLevel="0" collapsed="false">
      <c r="A132" s="135"/>
      <c r="B132" s="135"/>
      <c r="C132" s="135"/>
      <c r="D132" s="135"/>
      <c r="E132" s="135"/>
      <c r="F132" s="182"/>
      <c r="G132" s="182"/>
      <c r="H132" s="135"/>
      <c r="I132" s="135"/>
      <c r="J132" s="135"/>
      <c r="K132" s="135"/>
      <c r="L132" s="135"/>
      <c r="M132" s="135"/>
      <c r="N132" s="135"/>
      <c r="O132" s="135"/>
      <c r="P132" s="135"/>
    </row>
    <row r="133" customFormat="false" ht="15.75" hidden="false" customHeight="true" outlineLevel="0" collapsed="false">
      <c r="A133" s="135"/>
      <c r="B133" s="135"/>
      <c r="C133" s="135"/>
      <c r="D133" s="135"/>
      <c r="E133" s="135"/>
      <c r="F133" s="182"/>
      <c r="G133" s="182"/>
      <c r="H133" s="135"/>
      <c r="I133" s="135"/>
      <c r="J133" s="135"/>
      <c r="K133" s="135"/>
      <c r="L133" s="135"/>
      <c r="M133" s="135"/>
      <c r="N133" s="135"/>
      <c r="O133" s="135"/>
      <c r="P133" s="135"/>
    </row>
    <row r="134" customFormat="false" ht="15.75" hidden="false" customHeight="true" outlineLevel="0" collapsed="false">
      <c r="A134" s="135"/>
      <c r="B134" s="135"/>
      <c r="C134" s="135"/>
      <c r="D134" s="135"/>
      <c r="E134" s="135"/>
      <c r="F134" s="182"/>
      <c r="G134" s="182"/>
      <c r="H134" s="135"/>
      <c r="I134" s="135"/>
      <c r="J134" s="135"/>
      <c r="K134" s="135"/>
      <c r="L134" s="135"/>
      <c r="M134" s="135"/>
      <c r="N134" s="135"/>
      <c r="O134" s="135"/>
      <c r="P134" s="135"/>
    </row>
    <row r="135" customFormat="false" ht="15.75" hidden="false" customHeight="true" outlineLevel="0" collapsed="false">
      <c r="A135" s="135"/>
      <c r="B135" s="135"/>
      <c r="C135" s="135"/>
      <c r="D135" s="135"/>
      <c r="E135" s="135"/>
      <c r="F135" s="182"/>
      <c r="G135" s="182"/>
      <c r="H135" s="135"/>
      <c r="I135" s="135"/>
      <c r="J135" s="135"/>
      <c r="K135" s="135"/>
      <c r="L135" s="135"/>
      <c r="M135" s="135"/>
      <c r="N135" s="135"/>
      <c r="O135" s="135"/>
      <c r="P135" s="135"/>
    </row>
    <row r="136" customFormat="false" ht="15.75" hidden="false" customHeight="true" outlineLevel="0" collapsed="false">
      <c r="A136" s="135"/>
      <c r="B136" s="135"/>
      <c r="C136" s="135"/>
      <c r="D136" s="135"/>
      <c r="E136" s="135"/>
      <c r="F136" s="182"/>
      <c r="G136" s="182"/>
      <c r="H136" s="135"/>
      <c r="I136" s="135"/>
      <c r="J136" s="135"/>
      <c r="K136" s="135"/>
      <c r="L136" s="135"/>
      <c r="M136" s="135"/>
      <c r="N136" s="135"/>
      <c r="O136" s="135"/>
      <c r="P136" s="135"/>
    </row>
    <row r="137" customFormat="false" ht="15.75" hidden="false" customHeight="true" outlineLevel="0" collapsed="false">
      <c r="A137" s="135"/>
      <c r="B137" s="135"/>
      <c r="C137" s="135"/>
      <c r="D137" s="135"/>
      <c r="E137" s="135"/>
      <c r="F137" s="182"/>
      <c r="G137" s="182"/>
      <c r="H137" s="135"/>
      <c r="I137" s="135"/>
      <c r="J137" s="135"/>
      <c r="K137" s="135"/>
      <c r="L137" s="135"/>
      <c r="M137" s="135"/>
      <c r="N137" s="135"/>
      <c r="O137" s="135"/>
      <c r="P137" s="135"/>
    </row>
    <row r="138" customFormat="false" ht="15.75" hidden="false" customHeight="true" outlineLevel="0" collapsed="false">
      <c r="A138" s="135"/>
      <c r="B138" s="135"/>
      <c r="C138" s="135"/>
      <c r="D138" s="135"/>
      <c r="E138" s="135"/>
      <c r="F138" s="182"/>
      <c r="G138" s="182"/>
      <c r="H138" s="135"/>
      <c r="I138" s="135"/>
      <c r="J138" s="135"/>
      <c r="K138" s="135"/>
      <c r="L138" s="135"/>
      <c r="M138" s="135"/>
      <c r="N138" s="135"/>
      <c r="O138" s="135"/>
      <c r="P138" s="135"/>
    </row>
    <row r="139" customFormat="false" ht="15.75" hidden="false" customHeight="true" outlineLevel="0" collapsed="false">
      <c r="A139" s="135"/>
      <c r="B139" s="135"/>
      <c r="C139" s="135"/>
      <c r="D139" s="135"/>
      <c r="E139" s="135"/>
      <c r="F139" s="182"/>
      <c r="G139" s="182"/>
      <c r="H139" s="135"/>
      <c r="I139" s="135"/>
      <c r="J139" s="135"/>
      <c r="K139" s="135"/>
      <c r="L139" s="135"/>
      <c r="M139" s="135"/>
      <c r="N139" s="135"/>
      <c r="O139" s="135"/>
      <c r="P139" s="135"/>
    </row>
    <row r="140" customFormat="false" ht="15.75" hidden="false" customHeight="true" outlineLevel="0" collapsed="false">
      <c r="A140" s="135"/>
      <c r="B140" s="135"/>
      <c r="C140" s="135"/>
      <c r="D140" s="135"/>
      <c r="E140" s="135"/>
      <c r="F140" s="182"/>
      <c r="G140" s="182"/>
      <c r="H140" s="135"/>
      <c r="I140" s="135"/>
      <c r="J140" s="135"/>
      <c r="K140" s="135"/>
      <c r="L140" s="135"/>
      <c r="M140" s="135"/>
      <c r="N140" s="135"/>
      <c r="O140" s="135"/>
      <c r="P140" s="135"/>
    </row>
    <row r="141" customFormat="false" ht="15.75" hidden="false" customHeight="true" outlineLevel="0" collapsed="false">
      <c r="A141" s="135"/>
      <c r="B141" s="135"/>
      <c r="C141" s="135"/>
      <c r="D141" s="135"/>
      <c r="E141" s="135"/>
      <c r="F141" s="182"/>
      <c r="G141" s="182"/>
      <c r="H141" s="135"/>
      <c r="I141" s="135"/>
      <c r="J141" s="135"/>
      <c r="K141" s="135"/>
      <c r="L141" s="135"/>
      <c r="M141" s="135"/>
      <c r="N141" s="135"/>
      <c r="O141" s="135"/>
      <c r="P141" s="135"/>
    </row>
    <row r="142" customFormat="false" ht="15.75" hidden="false" customHeight="true" outlineLevel="0" collapsed="false">
      <c r="A142" s="135"/>
      <c r="B142" s="135"/>
      <c r="C142" s="135"/>
      <c r="D142" s="135"/>
      <c r="E142" s="135"/>
      <c r="F142" s="182"/>
      <c r="G142" s="182"/>
      <c r="H142" s="135"/>
      <c r="I142" s="135"/>
      <c r="J142" s="135"/>
      <c r="K142" s="135"/>
      <c r="L142" s="135"/>
      <c r="M142" s="135"/>
      <c r="N142" s="135"/>
      <c r="O142" s="135"/>
      <c r="P142" s="135"/>
    </row>
    <row r="143" customFormat="false" ht="15.75" hidden="false" customHeight="true" outlineLevel="0" collapsed="false">
      <c r="A143" s="135"/>
      <c r="B143" s="135"/>
      <c r="C143" s="135"/>
      <c r="D143" s="135"/>
      <c r="E143" s="135"/>
      <c r="F143" s="182"/>
      <c r="G143" s="182"/>
      <c r="H143" s="135"/>
      <c r="I143" s="135"/>
      <c r="J143" s="135"/>
      <c r="K143" s="135"/>
      <c r="L143" s="135"/>
      <c r="M143" s="135"/>
      <c r="N143" s="135"/>
      <c r="O143" s="135"/>
      <c r="P143" s="135"/>
    </row>
    <row r="144" customFormat="false" ht="15.75" hidden="false" customHeight="true" outlineLevel="0" collapsed="false">
      <c r="A144" s="135"/>
      <c r="B144" s="135"/>
      <c r="C144" s="135"/>
      <c r="D144" s="135"/>
      <c r="E144" s="135"/>
      <c r="F144" s="182"/>
      <c r="G144" s="182"/>
      <c r="H144" s="135"/>
      <c r="I144" s="135"/>
      <c r="J144" s="135"/>
      <c r="K144" s="135"/>
      <c r="L144" s="135"/>
      <c r="M144" s="135"/>
      <c r="N144" s="135"/>
      <c r="O144" s="135"/>
      <c r="P144" s="135"/>
    </row>
    <row r="145" customFormat="false" ht="15.75" hidden="false" customHeight="true" outlineLevel="0" collapsed="false">
      <c r="A145" s="135"/>
      <c r="B145" s="135"/>
      <c r="C145" s="135"/>
      <c r="D145" s="135"/>
      <c r="E145" s="135"/>
      <c r="F145" s="182"/>
      <c r="G145" s="182"/>
      <c r="H145" s="135"/>
      <c r="I145" s="135"/>
      <c r="J145" s="135"/>
      <c r="K145" s="135"/>
      <c r="L145" s="135"/>
      <c r="M145" s="135"/>
      <c r="N145" s="135"/>
      <c r="O145" s="135"/>
      <c r="P145" s="135"/>
    </row>
    <row r="146" customFormat="false" ht="15.75" hidden="false" customHeight="true" outlineLevel="0" collapsed="false">
      <c r="A146" s="135"/>
      <c r="B146" s="135"/>
      <c r="C146" s="135"/>
      <c r="D146" s="135"/>
      <c r="E146" s="135"/>
      <c r="F146" s="182"/>
      <c r="G146" s="182"/>
      <c r="H146" s="135"/>
      <c r="I146" s="135"/>
      <c r="J146" s="135"/>
      <c r="K146" s="135"/>
      <c r="L146" s="135"/>
      <c r="M146" s="135"/>
      <c r="N146" s="135"/>
      <c r="O146" s="135"/>
      <c r="P146" s="135"/>
    </row>
    <row r="147" customFormat="false" ht="15.75" hidden="false" customHeight="true" outlineLevel="0" collapsed="false">
      <c r="A147" s="135"/>
      <c r="B147" s="135"/>
      <c r="C147" s="135"/>
      <c r="D147" s="135"/>
      <c r="E147" s="135"/>
      <c r="F147" s="182"/>
      <c r="G147" s="182"/>
      <c r="H147" s="135"/>
      <c r="I147" s="135"/>
      <c r="J147" s="135"/>
      <c r="K147" s="135"/>
      <c r="L147" s="135"/>
      <c r="M147" s="135"/>
      <c r="N147" s="135"/>
      <c r="O147" s="135"/>
      <c r="P147" s="135"/>
    </row>
    <row r="148" customFormat="false" ht="15.75" hidden="false" customHeight="true" outlineLevel="0" collapsed="false">
      <c r="A148" s="135"/>
      <c r="B148" s="135"/>
      <c r="C148" s="135"/>
      <c r="D148" s="135"/>
      <c r="E148" s="135"/>
      <c r="F148" s="182"/>
      <c r="G148" s="182"/>
      <c r="H148" s="135"/>
      <c r="I148" s="135"/>
      <c r="J148" s="135"/>
      <c r="K148" s="135"/>
      <c r="L148" s="135"/>
      <c r="M148" s="135"/>
      <c r="N148" s="135"/>
      <c r="O148" s="135"/>
      <c r="P148" s="135"/>
    </row>
    <row r="149" customFormat="false" ht="15.75" hidden="false" customHeight="true" outlineLevel="0" collapsed="false">
      <c r="A149" s="135"/>
      <c r="B149" s="135"/>
      <c r="C149" s="135"/>
      <c r="D149" s="135"/>
      <c r="E149" s="135"/>
      <c r="F149" s="182"/>
      <c r="G149" s="182"/>
      <c r="H149" s="135"/>
      <c r="I149" s="135"/>
      <c r="J149" s="135"/>
      <c r="K149" s="135"/>
      <c r="L149" s="135"/>
      <c r="M149" s="135"/>
      <c r="N149" s="135"/>
      <c r="O149" s="135"/>
      <c r="P149" s="135"/>
    </row>
    <row r="150" customFormat="false" ht="15.75" hidden="false" customHeight="true" outlineLevel="0" collapsed="false">
      <c r="A150" s="135"/>
      <c r="B150" s="135"/>
      <c r="C150" s="135"/>
      <c r="D150" s="135"/>
      <c r="E150" s="135"/>
      <c r="F150" s="182"/>
      <c r="G150" s="182"/>
      <c r="H150" s="135"/>
      <c r="I150" s="135"/>
      <c r="J150" s="135"/>
      <c r="K150" s="135"/>
      <c r="L150" s="135"/>
      <c r="M150" s="135"/>
      <c r="N150" s="135"/>
      <c r="O150" s="135"/>
      <c r="P150" s="135"/>
    </row>
    <row r="151" customFormat="false" ht="15.75" hidden="false" customHeight="true" outlineLevel="0" collapsed="false">
      <c r="A151" s="135"/>
      <c r="B151" s="135"/>
      <c r="C151" s="135"/>
      <c r="D151" s="135"/>
      <c r="E151" s="135"/>
      <c r="F151" s="182"/>
      <c r="G151" s="182"/>
      <c r="H151" s="135"/>
      <c r="I151" s="135"/>
      <c r="J151" s="135"/>
      <c r="K151" s="135"/>
      <c r="L151" s="135"/>
      <c r="M151" s="135"/>
      <c r="N151" s="135"/>
      <c r="O151" s="135"/>
      <c r="P151" s="135"/>
    </row>
    <row r="152" customFormat="false" ht="15.75" hidden="false" customHeight="true" outlineLevel="0" collapsed="false">
      <c r="A152" s="135"/>
      <c r="B152" s="135"/>
      <c r="C152" s="135"/>
      <c r="D152" s="135"/>
      <c r="E152" s="135"/>
      <c r="F152" s="182"/>
      <c r="G152" s="182"/>
      <c r="H152" s="135"/>
      <c r="I152" s="135"/>
      <c r="J152" s="135"/>
      <c r="K152" s="135"/>
      <c r="L152" s="135"/>
      <c r="M152" s="135"/>
      <c r="N152" s="135"/>
      <c r="O152" s="135"/>
      <c r="P152" s="135"/>
    </row>
    <row r="153" customFormat="false" ht="15.75" hidden="false" customHeight="true" outlineLevel="0" collapsed="false">
      <c r="A153" s="135"/>
      <c r="B153" s="135"/>
      <c r="C153" s="135"/>
      <c r="D153" s="135"/>
      <c r="E153" s="135"/>
      <c r="F153" s="182"/>
      <c r="G153" s="182"/>
      <c r="H153" s="135"/>
      <c r="I153" s="135"/>
      <c r="J153" s="135"/>
      <c r="K153" s="135"/>
      <c r="L153" s="135"/>
      <c r="M153" s="135"/>
      <c r="N153" s="135"/>
      <c r="O153" s="135"/>
      <c r="P153" s="135"/>
    </row>
    <row r="154" customFormat="false" ht="15.75" hidden="false" customHeight="true" outlineLevel="0" collapsed="false">
      <c r="A154" s="135"/>
      <c r="B154" s="135"/>
      <c r="C154" s="135"/>
      <c r="D154" s="135"/>
      <c r="E154" s="135"/>
      <c r="F154" s="182"/>
      <c r="G154" s="182"/>
      <c r="H154" s="135"/>
      <c r="I154" s="135"/>
      <c r="J154" s="135"/>
      <c r="K154" s="135"/>
      <c r="L154" s="135"/>
      <c r="M154" s="135"/>
      <c r="N154" s="135"/>
      <c r="O154" s="135"/>
      <c r="P154" s="135"/>
    </row>
    <row r="155" customFormat="false" ht="15.75" hidden="false" customHeight="true" outlineLevel="0" collapsed="false">
      <c r="A155" s="135"/>
      <c r="B155" s="135"/>
      <c r="C155" s="135"/>
      <c r="D155" s="135"/>
      <c r="E155" s="135"/>
      <c r="F155" s="182"/>
      <c r="G155" s="182"/>
      <c r="H155" s="135"/>
      <c r="I155" s="135"/>
      <c r="J155" s="135"/>
      <c r="K155" s="135"/>
      <c r="L155" s="135"/>
      <c r="M155" s="135"/>
      <c r="N155" s="135"/>
      <c r="O155" s="135"/>
      <c r="P155" s="135"/>
    </row>
    <row r="156" customFormat="false" ht="15.75" hidden="false" customHeight="true" outlineLevel="0" collapsed="false">
      <c r="A156" s="135"/>
      <c r="B156" s="135"/>
      <c r="C156" s="135"/>
      <c r="D156" s="135"/>
      <c r="E156" s="135"/>
      <c r="F156" s="182"/>
      <c r="G156" s="182"/>
      <c r="H156" s="135"/>
      <c r="I156" s="135"/>
      <c r="J156" s="135"/>
      <c r="K156" s="135"/>
      <c r="L156" s="135"/>
      <c r="M156" s="135"/>
      <c r="N156" s="135"/>
      <c r="O156" s="135"/>
      <c r="P156" s="135"/>
    </row>
    <row r="157" customFormat="false" ht="15.75" hidden="false" customHeight="true" outlineLevel="0" collapsed="false">
      <c r="A157" s="135"/>
      <c r="B157" s="135"/>
      <c r="C157" s="135"/>
      <c r="D157" s="135"/>
      <c r="E157" s="135"/>
      <c r="F157" s="182"/>
      <c r="G157" s="182"/>
      <c r="H157" s="135"/>
      <c r="I157" s="135"/>
      <c r="J157" s="135"/>
      <c r="K157" s="135"/>
      <c r="L157" s="135"/>
      <c r="M157" s="135"/>
      <c r="N157" s="135"/>
      <c r="O157" s="135"/>
      <c r="P157" s="135"/>
    </row>
    <row r="158" customFormat="false" ht="15.75" hidden="false" customHeight="true" outlineLevel="0" collapsed="false">
      <c r="A158" s="135"/>
      <c r="B158" s="135"/>
      <c r="C158" s="135"/>
      <c r="D158" s="135"/>
      <c r="E158" s="135"/>
      <c r="F158" s="182"/>
      <c r="G158" s="182"/>
      <c r="H158" s="135"/>
      <c r="I158" s="135"/>
      <c r="J158" s="135"/>
      <c r="K158" s="135"/>
      <c r="L158" s="135"/>
      <c r="M158" s="135"/>
      <c r="N158" s="135"/>
      <c r="O158" s="135"/>
      <c r="P158" s="135"/>
    </row>
    <row r="159" customFormat="false" ht="15.75" hidden="false" customHeight="true" outlineLevel="0" collapsed="false">
      <c r="A159" s="135"/>
      <c r="B159" s="135"/>
      <c r="C159" s="135"/>
      <c r="D159" s="135"/>
      <c r="E159" s="135"/>
      <c r="F159" s="182"/>
      <c r="G159" s="182"/>
      <c r="H159" s="135"/>
      <c r="I159" s="135"/>
      <c r="J159" s="135"/>
      <c r="K159" s="135"/>
      <c r="L159" s="135"/>
      <c r="M159" s="135"/>
      <c r="N159" s="135"/>
      <c r="O159" s="135"/>
      <c r="P159" s="135"/>
    </row>
    <row r="160" customFormat="false" ht="15.75" hidden="false" customHeight="true" outlineLevel="0" collapsed="false">
      <c r="A160" s="135"/>
      <c r="B160" s="135"/>
      <c r="C160" s="135"/>
      <c r="D160" s="135"/>
      <c r="E160" s="135"/>
      <c r="F160" s="182"/>
      <c r="G160" s="182"/>
      <c r="H160" s="135"/>
      <c r="I160" s="135"/>
      <c r="J160" s="135"/>
      <c r="K160" s="135"/>
      <c r="L160" s="135"/>
      <c r="M160" s="135"/>
      <c r="N160" s="135"/>
      <c r="O160" s="135"/>
      <c r="P160" s="135"/>
    </row>
    <row r="161" customFormat="false" ht="15.75" hidden="false" customHeight="true" outlineLevel="0" collapsed="false">
      <c r="A161" s="135"/>
      <c r="B161" s="135"/>
      <c r="C161" s="135"/>
      <c r="D161" s="135"/>
      <c r="E161" s="135"/>
      <c r="F161" s="182"/>
      <c r="G161" s="182"/>
      <c r="H161" s="135"/>
      <c r="I161" s="135"/>
      <c r="J161" s="135"/>
      <c r="K161" s="135"/>
      <c r="L161" s="135"/>
      <c r="M161" s="135"/>
      <c r="N161" s="135"/>
      <c r="O161" s="135"/>
      <c r="P161" s="135"/>
    </row>
    <row r="162" customFormat="false" ht="15.75" hidden="false" customHeight="true" outlineLevel="0" collapsed="false">
      <c r="A162" s="135"/>
      <c r="B162" s="135"/>
      <c r="C162" s="135"/>
      <c r="D162" s="135"/>
      <c r="E162" s="135"/>
      <c r="F162" s="182"/>
      <c r="G162" s="182"/>
      <c r="H162" s="135"/>
      <c r="I162" s="135"/>
      <c r="J162" s="135"/>
      <c r="K162" s="135"/>
      <c r="L162" s="135"/>
      <c r="M162" s="135"/>
      <c r="N162" s="135"/>
      <c r="O162" s="135"/>
      <c r="P162" s="135"/>
    </row>
    <row r="163" customFormat="false" ht="15.75" hidden="false" customHeight="true" outlineLevel="0" collapsed="false">
      <c r="A163" s="135"/>
      <c r="B163" s="135"/>
      <c r="C163" s="135"/>
      <c r="D163" s="135"/>
      <c r="E163" s="135"/>
      <c r="F163" s="182"/>
      <c r="G163" s="182"/>
      <c r="H163" s="135"/>
      <c r="I163" s="135"/>
      <c r="J163" s="135"/>
      <c r="K163" s="135"/>
      <c r="L163" s="135"/>
      <c r="M163" s="135"/>
      <c r="N163" s="135"/>
      <c r="O163" s="135"/>
      <c r="P163" s="135"/>
    </row>
    <row r="164" customFormat="false" ht="15.75" hidden="false" customHeight="true" outlineLevel="0" collapsed="false">
      <c r="A164" s="135"/>
      <c r="B164" s="135"/>
      <c r="C164" s="135"/>
      <c r="D164" s="135"/>
      <c r="E164" s="135"/>
      <c r="F164" s="182"/>
      <c r="G164" s="182"/>
      <c r="H164" s="135"/>
      <c r="I164" s="135"/>
      <c r="J164" s="135"/>
      <c r="K164" s="135"/>
      <c r="L164" s="135"/>
      <c r="M164" s="135"/>
      <c r="N164" s="135"/>
      <c r="O164" s="135"/>
      <c r="P164" s="135"/>
    </row>
    <row r="165" customFormat="false" ht="15.75" hidden="false" customHeight="true" outlineLevel="0" collapsed="false">
      <c r="A165" s="135"/>
      <c r="B165" s="135"/>
      <c r="C165" s="135"/>
      <c r="D165" s="135"/>
      <c r="E165" s="135"/>
      <c r="F165" s="182"/>
      <c r="G165" s="182"/>
      <c r="H165" s="135"/>
      <c r="I165" s="135"/>
      <c r="J165" s="135"/>
      <c r="K165" s="135"/>
      <c r="L165" s="135"/>
      <c r="M165" s="135"/>
      <c r="N165" s="135"/>
      <c r="O165" s="135"/>
      <c r="P165" s="135"/>
    </row>
    <row r="166" customFormat="false" ht="15.75" hidden="false" customHeight="true" outlineLevel="0" collapsed="false">
      <c r="A166" s="135"/>
      <c r="B166" s="135"/>
      <c r="C166" s="135"/>
      <c r="D166" s="135"/>
      <c r="E166" s="135"/>
      <c r="F166" s="182"/>
      <c r="G166" s="182"/>
      <c r="H166" s="135"/>
      <c r="I166" s="135"/>
      <c r="J166" s="135"/>
      <c r="K166" s="135"/>
      <c r="L166" s="135"/>
      <c r="M166" s="135"/>
      <c r="N166" s="135"/>
      <c r="O166" s="135"/>
      <c r="P166" s="135"/>
    </row>
    <row r="167" customFormat="false" ht="15.75" hidden="false" customHeight="true" outlineLevel="0" collapsed="false">
      <c r="A167" s="135"/>
      <c r="B167" s="135"/>
      <c r="C167" s="135"/>
      <c r="D167" s="135"/>
      <c r="E167" s="135"/>
      <c r="F167" s="182"/>
      <c r="G167" s="182"/>
      <c r="H167" s="135"/>
      <c r="I167" s="135"/>
      <c r="J167" s="135"/>
      <c r="K167" s="135"/>
      <c r="L167" s="135"/>
      <c r="M167" s="135"/>
      <c r="N167" s="135"/>
      <c r="O167" s="135"/>
      <c r="P167" s="135"/>
    </row>
    <row r="168" customFormat="false" ht="15.75" hidden="false" customHeight="true" outlineLevel="0" collapsed="false">
      <c r="A168" s="135"/>
      <c r="B168" s="135"/>
      <c r="C168" s="135"/>
      <c r="D168" s="135"/>
      <c r="E168" s="135"/>
      <c r="F168" s="182"/>
      <c r="G168" s="182"/>
      <c r="H168" s="135"/>
      <c r="I168" s="135"/>
      <c r="J168" s="135"/>
      <c r="K168" s="135"/>
      <c r="L168" s="135"/>
      <c r="M168" s="135"/>
      <c r="N168" s="135"/>
      <c r="O168" s="135"/>
      <c r="P168" s="135"/>
    </row>
    <row r="169" customFormat="false" ht="15.75" hidden="false" customHeight="true" outlineLevel="0" collapsed="false">
      <c r="A169" s="135"/>
      <c r="B169" s="135"/>
      <c r="C169" s="135"/>
      <c r="D169" s="135"/>
      <c r="E169" s="135"/>
      <c r="F169" s="182"/>
      <c r="G169" s="182"/>
      <c r="H169" s="135"/>
      <c r="I169" s="135"/>
      <c r="J169" s="135"/>
      <c r="K169" s="135"/>
      <c r="L169" s="135"/>
      <c r="M169" s="135"/>
      <c r="N169" s="135"/>
      <c r="O169" s="135"/>
      <c r="P169" s="135"/>
    </row>
    <row r="170" customFormat="false" ht="15.75" hidden="false" customHeight="true" outlineLevel="0" collapsed="false">
      <c r="A170" s="135"/>
      <c r="B170" s="135"/>
      <c r="C170" s="135"/>
      <c r="D170" s="135"/>
      <c r="E170" s="135"/>
      <c r="F170" s="182"/>
      <c r="G170" s="182"/>
      <c r="H170" s="135"/>
      <c r="I170" s="135"/>
      <c r="J170" s="135"/>
      <c r="K170" s="135"/>
      <c r="L170" s="135"/>
      <c r="M170" s="135"/>
      <c r="N170" s="135"/>
      <c r="O170" s="135"/>
      <c r="P170" s="135"/>
    </row>
    <row r="171" customFormat="false" ht="15.75" hidden="false" customHeight="true" outlineLevel="0" collapsed="false">
      <c r="A171" s="135"/>
      <c r="B171" s="135"/>
      <c r="C171" s="135"/>
      <c r="D171" s="135"/>
      <c r="E171" s="135"/>
      <c r="F171" s="182"/>
      <c r="G171" s="182"/>
      <c r="H171" s="135"/>
      <c r="I171" s="135"/>
      <c r="J171" s="135"/>
      <c r="K171" s="135"/>
      <c r="L171" s="135"/>
      <c r="M171" s="135"/>
      <c r="N171" s="135"/>
      <c r="O171" s="135"/>
      <c r="P171" s="135"/>
    </row>
    <row r="172" customFormat="false" ht="15.75" hidden="false" customHeight="true" outlineLevel="0" collapsed="false">
      <c r="A172" s="135"/>
      <c r="B172" s="135"/>
      <c r="C172" s="135"/>
      <c r="D172" s="135"/>
      <c r="E172" s="135"/>
      <c r="F172" s="182"/>
      <c r="G172" s="182"/>
      <c r="H172" s="135"/>
      <c r="I172" s="135"/>
      <c r="J172" s="135"/>
      <c r="K172" s="135"/>
      <c r="L172" s="135"/>
      <c r="M172" s="135"/>
      <c r="N172" s="135"/>
      <c r="O172" s="135"/>
      <c r="P172" s="135"/>
    </row>
    <row r="173" customFormat="false" ht="15.75" hidden="false" customHeight="true" outlineLevel="0" collapsed="false">
      <c r="A173" s="135"/>
      <c r="B173" s="135"/>
      <c r="C173" s="135"/>
      <c r="D173" s="135"/>
      <c r="E173" s="135"/>
      <c r="F173" s="182"/>
      <c r="G173" s="182"/>
      <c r="H173" s="135"/>
      <c r="I173" s="135"/>
      <c r="J173" s="135"/>
      <c r="K173" s="135"/>
      <c r="L173" s="135"/>
      <c r="M173" s="135"/>
      <c r="N173" s="135"/>
      <c r="O173" s="135"/>
      <c r="P173" s="135"/>
    </row>
    <row r="174" customFormat="false" ht="15.75" hidden="false" customHeight="true" outlineLevel="0" collapsed="false">
      <c r="A174" s="135"/>
      <c r="B174" s="135"/>
      <c r="C174" s="135"/>
      <c r="D174" s="135"/>
      <c r="E174" s="135"/>
      <c r="F174" s="182"/>
      <c r="G174" s="182"/>
      <c r="H174" s="135"/>
      <c r="I174" s="135"/>
      <c r="J174" s="135"/>
      <c r="K174" s="135"/>
      <c r="L174" s="135"/>
      <c r="M174" s="135"/>
      <c r="N174" s="135"/>
      <c r="O174" s="135"/>
      <c r="P174" s="135"/>
    </row>
    <row r="175" customFormat="false" ht="15.75" hidden="false" customHeight="true" outlineLevel="0" collapsed="false">
      <c r="A175" s="135"/>
      <c r="B175" s="135"/>
      <c r="C175" s="135"/>
      <c r="D175" s="135"/>
      <c r="E175" s="135"/>
      <c r="F175" s="182"/>
      <c r="G175" s="182"/>
      <c r="H175" s="135"/>
      <c r="I175" s="135"/>
      <c r="J175" s="135"/>
      <c r="K175" s="135"/>
      <c r="L175" s="135"/>
      <c r="M175" s="135"/>
      <c r="N175" s="135"/>
      <c r="O175" s="135"/>
      <c r="P175" s="135"/>
    </row>
    <row r="176" customFormat="false" ht="15.75" hidden="false" customHeight="true" outlineLevel="0" collapsed="false">
      <c r="A176" s="135"/>
      <c r="B176" s="135"/>
      <c r="C176" s="135"/>
      <c r="D176" s="135"/>
      <c r="E176" s="135"/>
      <c r="F176" s="182"/>
      <c r="G176" s="182"/>
      <c r="H176" s="135"/>
      <c r="I176" s="135"/>
      <c r="J176" s="135"/>
      <c r="K176" s="135"/>
      <c r="L176" s="135"/>
      <c r="M176" s="135"/>
      <c r="N176" s="135"/>
      <c r="O176" s="135"/>
      <c r="P176" s="135"/>
    </row>
    <row r="177" customFormat="false" ht="15.75" hidden="false" customHeight="true" outlineLevel="0" collapsed="false">
      <c r="A177" s="135"/>
      <c r="B177" s="135"/>
      <c r="C177" s="135"/>
      <c r="D177" s="135"/>
      <c r="E177" s="135"/>
      <c r="F177" s="182"/>
      <c r="G177" s="182"/>
      <c r="H177" s="135"/>
      <c r="I177" s="135"/>
      <c r="J177" s="135"/>
      <c r="K177" s="135"/>
      <c r="L177" s="135"/>
      <c r="M177" s="135"/>
      <c r="N177" s="135"/>
      <c r="O177" s="135"/>
      <c r="P177" s="135"/>
    </row>
    <row r="178" customFormat="false" ht="15.75" hidden="false" customHeight="true" outlineLevel="0" collapsed="false">
      <c r="A178" s="135"/>
      <c r="B178" s="135"/>
      <c r="C178" s="135"/>
      <c r="D178" s="135"/>
      <c r="E178" s="135"/>
      <c r="F178" s="182"/>
      <c r="G178" s="182"/>
      <c r="H178" s="135"/>
      <c r="I178" s="135"/>
      <c r="J178" s="135"/>
      <c r="K178" s="135"/>
      <c r="L178" s="135"/>
      <c r="M178" s="135"/>
      <c r="N178" s="135"/>
      <c r="O178" s="135"/>
      <c r="P178" s="135"/>
    </row>
    <row r="179" customFormat="false" ht="15.75" hidden="false" customHeight="true" outlineLevel="0" collapsed="false">
      <c r="A179" s="135"/>
      <c r="B179" s="135"/>
      <c r="C179" s="135"/>
      <c r="D179" s="135"/>
      <c r="E179" s="135"/>
      <c r="F179" s="182"/>
      <c r="G179" s="182"/>
      <c r="H179" s="135"/>
      <c r="I179" s="135"/>
      <c r="J179" s="135"/>
      <c r="K179" s="135"/>
      <c r="L179" s="135"/>
      <c r="M179" s="135"/>
      <c r="N179" s="135"/>
      <c r="O179" s="135"/>
      <c r="P179" s="135"/>
    </row>
    <row r="180" customFormat="false" ht="15.75" hidden="false" customHeight="true" outlineLevel="0" collapsed="false">
      <c r="A180" s="135"/>
      <c r="B180" s="135"/>
      <c r="C180" s="135"/>
      <c r="D180" s="135"/>
      <c r="E180" s="135"/>
      <c r="F180" s="182"/>
      <c r="G180" s="182"/>
      <c r="H180" s="135"/>
      <c r="I180" s="135"/>
      <c r="J180" s="135"/>
      <c r="K180" s="135"/>
      <c r="L180" s="135"/>
      <c r="M180" s="135"/>
      <c r="N180" s="135"/>
      <c r="O180" s="135"/>
      <c r="P180" s="135"/>
    </row>
    <row r="181" customFormat="false" ht="15.75" hidden="false" customHeight="true" outlineLevel="0" collapsed="false">
      <c r="A181" s="135"/>
      <c r="B181" s="135"/>
      <c r="C181" s="135"/>
      <c r="D181" s="135"/>
      <c r="E181" s="135"/>
      <c r="F181" s="182"/>
      <c r="G181" s="182"/>
      <c r="H181" s="135"/>
      <c r="I181" s="135"/>
      <c r="J181" s="135"/>
      <c r="K181" s="135"/>
      <c r="L181" s="135"/>
      <c r="M181" s="135"/>
      <c r="N181" s="135"/>
      <c r="O181" s="135"/>
      <c r="P181" s="135"/>
    </row>
    <row r="182" customFormat="false" ht="15.75" hidden="false" customHeight="true" outlineLevel="0" collapsed="false">
      <c r="A182" s="135"/>
      <c r="B182" s="135"/>
      <c r="C182" s="135"/>
      <c r="D182" s="135"/>
      <c r="E182" s="135"/>
      <c r="F182" s="182"/>
      <c r="G182" s="182"/>
      <c r="H182" s="135"/>
      <c r="I182" s="135"/>
      <c r="J182" s="135"/>
      <c r="K182" s="135"/>
      <c r="L182" s="135"/>
      <c r="M182" s="135"/>
      <c r="N182" s="135"/>
      <c r="O182" s="135"/>
      <c r="P182" s="135"/>
    </row>
    <row r="183" customFormat="false" ht="15.75" hidden="false" customHeight="true" outlineLevel="0" collapsed="false">
      <c r="A183" s="135"/>
      <c r="B183" s="135"/>
      <c r="C183" s="135"/>
      <c r="D183" s="135"/>
      <c r="E183" s="135"/>
      <c r="F183" s="182"/>
      <c r="G183" s="182"/>
      <c r="H183" s="135"/>
      <c r="I183" s="135"/>
      <c r="J183" s="135"/>
      <c r="K183" s="135"/>
      <c r="L183" s="135"/>
      <c r="M183" s="135"/>
      <c r="N183" s="135"/>
      <c r="O183" s="135"/>
      <c r="P183" s="135"/>
    </row>
    <row r="184" customFormat="false" ht="15.75" hidden="false" customHeight="true" outlineLevel="0" collapsed="false">
      <c r="A184" s="135"/>
      <c r="B184" s="135"/>
      <c r="C184" s="135"/>
      <c r="D184" s="135"/>
      <c r="E184" s="135"/>
      <c r="F184" s="182"/>
      <c r="G184" s="182"/>
      <c r="H184" s="135"/>
      <c r="I184" s="135"/>
      <c r="J184" s="135"/>
      <c r="K184" s="135"/>
      <c r="L184" s="135"/>
      <c r="M184" s="135"/>
      <c r="N184" s="135"/>
      <c r="O184" s="135"/>
      <c r="P184" s="135"/>
    </row>
    <row r="185" customFormat="false" ht="15.75" hidden="false" customHeight="true" outlineLevel="0" collapsed="false">
      <c r="A185" s="135"/>
      <c r="B185" s="135"/>
      <c r="C185" s="135"/>
      <c r="D185" s="135"/>
      <c r="E185" s="135"/>
      <c r="F185" s="182"/>
      <c r="G185" s="182"/>
      <c r="H185" s="135"/>
      <c r="I185" s="135"/>
      <c r="J185" s="135"/>
      <c r="K185" s="135"/>
      <c r="L185" s="135"/>
      <c r="M185" s="135"/>
      <c r="N185" s="135"/>
      <c r="O185" s="135"/>
      <c r="P185" s="135"/>
    </row>
    <row r="186" customFormat="false" ht="15.75" hidden="false" customHeight="true" outlineLevel="0" collapsed="false">
      <c r="A186" s="135"/>
      <c r="B186" s="135"/>
      <c r="C186" s="135"/>
      <c r="D186" s="135"/>
      <c r="E186" s="135"/>
      <c r="F186" s="182"/>
      <c r="G186" s="182"/>
      <c r="H186" s="135"/>
      <c r="I186" s="135"/>
      <c r="J186" s="135"/>
      <c r="K186" s="135"/>
      <c r="L186" s="135"/>
      <c r="M186" s="135"/>
      <c r="N186" s="135"/>
      <c r="O186" s="135"/>
      <c r="P186" s="135"/>
    </row>
    <row r="187" customFormat="false" ht="15.75" hidden="false" customHeight="true" outlineLevel="0" collapsed="false">
      <c r="A187" s="135"/>
      <c r="B187" s="135"/>
      <c r="C187" s="135"/>
      <c r="D187" s="135"/>
      <c r="E187" s="135"/>
      <c r="F187" s="182"/>
      <c r="G187" s="182"/>
      <c r="H187" s="135"/>
      <c r="I187" s="135"/>
      <c r="J187" s="135"/>
      <c r="K187" s="135"/>
      <c r="L187" s="135"/>
      <c r="M187" s="135"/>
      <c r="N187" s="135"/>
      <c r="O187" s="135"/>
      <c r="P187" s="135"/>
    </row>
    <row r="188" customFormat="false" ht="15.75" hidden="false" customHeight="true" outlineLevel="0" collapsed="false">
      <c r="A188" s="135"/>
      <c r="B188" s="135"/>
      <c r="C188" s="135"/>
      <c r="D188" s="135"/>
      <c r="E188" s="135"/>
      <c r="F188" s="182"/>
      <c r="G188" s="182"/>
      <c r="H188" s="135"/>
      <c r="I188" s="135"/>
      <c r="J188" s="135"/>
      <c r="K188" s="135"/>
      <c r="L188" s="135"/>
      <c r="M188" s="135"/>
      <c r="N188" s="135"/>
      <c r="O188" s="135"/>
      <c r="P188" s="135"/>
    </row>
    <row r="189" customFormat="false" ht="15.75" hidden="false" customHeight="true" outlineLevel="0" collapsed="false">
      <c r="A189" s="135"/>
      <c r="B189" s="135"/>
      <c r="C189" s="135"/>
      <c r="D189" s="135"/>
      <c r="E189" s="135"/>
      <c r="F189" s="182"/>
      <c r="G189" s="182"/>
      <c r="H189" s="135"/>
      <c r="I189" s="135"/>
      <c r="J189" s="135"/>
      <c r="K189" s="135"/>
      <c r="L189" s="135"/>
      <c r="M189" s="135"/>
      <c r="N189" s="135"/>
      <c r="O189" s="135"/>
      <c r="P189" s="135"/>
    </row>
    <row r="190" customFormat="false" ht="15.75" hidden="false" customHeight="true" outlineLevel="0" collapsed="false">
      <c r="A190" s="135"/>
      <c r="B190" s="135"/>
      <c r="C190" s="135"/>
      <c r="D190" s="135"/>
      <c r="E190" s="135"/>
      <c r="F190" s="182"/>
      <c r="G190" s="182"/>
      <c r="H190" s="135"/>
      <c r="I190" s="135"/>
      <c r="J190" s="135"/>
      <c r="K190" s="135"/>
      <c r="L190" s="135"/>
      <c r="M190" s="135"/>
      <c r="N190" s="135"/>
      <c r="O190" s="135"/>
      <c r="P190" s="135"/>
    </row>
    <row r="191" customFormat="false" ht="15.75" hidden="false" customHeight="true" outlineLevel="0" collapsed="false">
      <c r="A191" s="135"/>
      <c r="B191" s="135"/>
      <c r="C191" s="135"/>
      <c r="D191" s="135"/>
      <c r="E191" s="135"/>
      <c r="F191" s="182"/>
      <c r="G191" s="182"/>
      <c r="H191" s="135"/>
      <c r="I191" s="135"/>
      <c r="J191" s="135"/>
      <c r="K191" s="135"/>
      <c r="L191" s="135"/>
      <c r="M191" s="135"/>
      <c r="N191" s="135"/>
      <c r="O191" s="135"/>
      <c r="P191" s="135"/>
    </row>
    <row r="192" customFormat="false" ht="15.75" hidden="false" customHeight="true" outlineLevel="0" collapsed="false">
      <c r="A192" s="135"/>
      <c r="B192" s="135"/>
      <c r="C192" s="135"/>
      <c r="D192" s="135"/>
      <c r="E192" s="135"/>
      <c r="F192" s="182"/>
      <c r="G192" s="182"/>
      <c r="H192" s="135"/>
      <c r="I192" s="135"/>
      <c r="J192" s="135"/>
      <c r="K192" s="135"/>
      <c r="L192" s="135"/>
      <c r="M192" s="135"/>
      <c r="N192" s="135"/>
      <c r="O192" s="135"/>
      <c r="P192" s="135"/>
    </row>
    <row r="193" customFormat="false" ht="15.75" hidden="false" customHeight="true" outlineLevel="0" collapsed="false">
      <c r="A193" s="135"/>
      <c r="B193" s="135"/>
      <c r="C193" s="135"/>
      <c r="D193" s="135"/>
      <c r="E193" s="135"/>
      <c r="F193" s="182"/>
      <c r="G193" s="182"/>
      <c r="H193" s="135"/>
      <c r="I193" s="135"/>
      <c r="J193" s="135"/>
      <c r="K193" s="135"/>
      <c r="L193" s="135"/>
      <c r="M193" s="135"/>
      <c r="N193" s="135"/>
      <c r="O193" s="135"/>
      <c r="P193" s="135"/>
    </row>
    <row r="194" customFormat="false" ht="15.75" hidden="false" customHeight="true" outlineLevel="0" collapsed="false">
      <c r="A194" s="135"/>
      <c r="B194" s="135"/>
      <c r="C194" s="135"/>
      <c r="D194" s="135"/>
      <c r="E194" s="135"/>
      <c r="F194" s="182"/>
      <c r="G194" s="182"/>
      <c r="H194" s="135"/>
      <c r="I194" s="135"/>
      <c r="J194" s="135"/>
      <c r="K194" s="135"/>
      <c r="L194" s="135"/>
      <c r="M194" s="135"/>
      <c r="N194" s="135"/>
      <c r="O194" s="135"/>
      <c r="P194" s="135"/>
    </row>
    <row r="195" customFormat="false" ht="15.75" hidden="false" customHeight="true" outlineLevel="0" collapsed="false">
      <c r="A195" s="135"/>
      <c r="B195" s="135"/>
      <c r="C195" s="135"/>
      <c r="D195" s="135"/>
      <c r="E195" s="135"/>
      <c r="F195" s="182"/>
      <c r="G195" s="182"/>
      <c r="H195" s="135"/>
      <c r="I195" s="135"/>
      <c r="J195" s="135"/>
      <c r="K195" s="135"/>
      <c r="L195" s="135"/>
      <c r="M195" s="135"/>
      <c r="N195" s="135"/>
      <c r="O195" s="135"/>
      <c r="P195" s="135"/>
    </row>
    <row r="196" customFormat="false" ht="15.75" hidden="false" customHeight="true" outlineLevel="0" collapsed="false">
      <c r="A196" s="135"/>
      <c r="B196" s="135"/>
      <c r="C196" s="135"/>
      <c r="D196" s="135"/>
      <c r="E196" s="135"/>
      <c r="F196" s="182"/>
      <c r="G196" s="182"/>
      <c r="H196" s="135"/>
      <c r="I196" s="135"/>
      <c r="J196" s="135"/>
      <c r="K196" s="135"/>
      <c r="L196" s="135"/>
      <c r="M196" s="135"/>
      <c r="N196" s="135"/>
      <c r="O196" s="135"/>
      <c r="P196" s="135"/>
    </row>
    <row r="197" customFormat="false" ht="15.75" hidden="false" customHeight="true" outlineLevel="0" collapsed="false">
      <c r="A197" s="135"/>
      <c r="B197" s="135"/>
      <c r="C197" s="135"/>
      <c r="D197" s="135"/>
      <c r="E197" s="135"/>
      <c r="F197" s="182"/>
      <c r="G197" s="182"/>
      <c r="H197" s="135"/>
      <c r="I197" s="135"/>
      <c r="J197" s="135"/>
      <c r="K197" s="135"/>
      <c r="L197" s="135"/>
      <c r="M197" s="135"/>
      <c r="N197" s="135"/>
      <c r="O197" s="135"/>
      <c r="P197" s="135"/>
    </row>
    <row r="198" customFormat="false" ht="15.75" hidden="false" customHeight="true" outlineLevel="0" collapsed="false">
      <c r="A198" s="135"/>
      <c r="B198" s="135"/>
      <c r="C198" s="135"/>
      <c r="D198" s="135"/>
      <c r="E198" s="135"/>
      <c r="F198" s="182"/>
      <c r="G198" s="182"/>
      <c r="H198" s="135"/>
      <c r="I198" s="135"/>
      <c r="J198" s="135"/>
      <c r="K198" s="135"/>
      <c r="L198" s="135"/>
      <c r="M198" s="135"/>
      <c r="N198" s="135"/>
      <c r="O198" s="135"/>
      <c r="P198" s="135"/>
    </row>
    <row r="199" customFormat="false" ht="15.75" hidden="false" customHeight="true" outlineLevel="0" collapsed="false">
      <c r="A199" s="135"/>
      <c r="B199" s="135"/>
      <c r="C199" s="135"/>
      <c r="D199" s="135"/>
      <c r="E199" s="135"/>
      <c r="F199" s="182"/>
      <c r="G199" s="182"/>
      <c r="H199" s="135"/>
      <c r="I199" s="135"/>
      <c r="J199" s="135"/>
      <c r="K199" s="135"/>
      <c r="L199" s="135"/>
      <c r="M199" s="135"/>
      <c r="N199" s="135"/>
      <c r="O199" s="135"/>
      <c r="P199" s="135"/>
    </row>
    <row r="200" customFormat="false" ht="15.75" hidden="false" customHeight="true" outlineLevel="0" collapsed="false">
      <c r="A200" s="135"/>
      <c r="B200" s="135"/>
      <c r="C200" s="135"/>
      <c r="D200" s="135"/>
      <c r="E200" s="135"/>
      <c r="F200" s="182"/>
      <c r="G200" s="182"/>
      <c r="H200" s="135"/>
      <c r="I200" s="135"/>
      <c r="J200" s="135"/>
      <c r="K200" s="135"/>
      <c r="L200" s="135"/>
      <c r="M200" s="135"/>
      <c r="N200" s="135"/>
      <c r="O200" s="135"/>
      <c r="P200" s="135"/>
    </row>
    <row r="201" customFormat="false" ht="15.75" hidden="false" customHeight="true" outlineLevel="0" collapsed="false">
      <c r="A201" s="135"/>
      <c r="B201" s="135"/>
      <c r="C201" s="135"/>
      <c r="D201" s="135"/>
      <c r="E201" s="135"/>
      <c r="F201" s="182"/>
      <c r="G201" s="182"/>
      <c r="H201" s="135"/>
      <c r="I201" s="135"/>
      <c r="J201" s="135"/>
      <c r="K201" s="135"/>
      <c r="L201" s="135"/>
      <c r="M201" s="135"/>
      <c r="N201" s="135"/>
      <c r="O201" s="135"/>
      <c r="P201" s="135"/>
    </row>
    <row r="202" customFormat="false" ht="15.75" hidden="false" customHeight="true" outlineLevel="0" collapsed="false">
      <c r="A202" s="135"/>
      <c r="B202" s="135"/>
      <c r="C202" s="135"/>
      <c r="D202" s="135"/>
      <c r="E202" s="135"/>
      <c r="F202" s="182"/>
      <c r="G202" s="182"/>
      <c r="H202" s="135"/>
      <c r="I202" s="135"/>
      <c r="J202" s="135"/>
      <c r="K202" s="135"/>
      <c r="L202" s="135"/>
      <c r="M202" s="135"/>
      <c r="N202" s="135"/>
      <c r="O202" s="135"/>
      <c r="P202" s="135"/>
    </row>
    <row r="203" customFormat="false" ht="15.75" hidden="false" customHeight="true" outlineLevel="0" collapsed="false">
      <c r="A203" s="135"/>
      <c r="B203" s="135"/>
      <c r="C203" s="135"/>
      <c r="D203" s="135"/>
      <c r="E203" s="135"/>
      <c r="F203" s="182"/>
      <c r="G203" s="182"/>
      <c r="H203" s="135"/>
      <c r="I203" s="135"/>
      <c r="J203" s="135"/>
      <c r="K203" s="135"/>
      <c r="L203" s="135"/>
      <c r="M203" s="135"/>
      <c r="N203" s="135"/>
      <c r="O203" s="135"/>
      <c r="P203" s="135"/>
    </row>
    <row r="204" customFormat="false" ht="15.75" hidden="false" customHeight="true" outlineLevel="0" collapsed="false">
      <c r="A204" s="135"/>
      <c r="B204" s="135"/>
      <c r="C204" s="135"/>
      <c r="D204" s="135"/>
      <c r="E204" s="135"/>
      <c r="F204" s="182"/>
      <c r="G204" s="182"/>
      <c r="H204" s="135"/>
      <c r="I204" s="135"/>
      <c r="J204" s="135"/>
      <c r="K204" s="135"/>
      <c r="L204" s="135"/>
      <c r="M204" s="135"/>
      <c r="N204" s="135"/>
      <c r="O204" s="135"/>
      <c r="P204" s="135"/>
    </row>
    <row r="205" customFormat="false" ht="15.75" hidden="false" customHeight="true" outlineLevel="0" collapsed="false">
      <c r="A205" s="135"/>
      <c r="B205" s="135"/>
      <c r="C205" s="135"/>
      <c r="D205" s="135"/>
      <c r="E205" s="135"/>
      <c r="F205" s="182"/>
      <c r="G205" s="182"/>
      <c r="H205" s="135"/>
      <c r="I205" s="135"/>
      <c r="J205" s="135"/>
      <c r="K205" s="135"/>
      <c r="L205" s="135"/>
      <c r="M205" s="135"/>
      <c r="N205" s="135"/>
      <c r="O205" s="135"/>
      <c r="P205" s="135"/>
    </row>
    <row r="206" customFormat="false" ht="15.75" hidden="false" customHeight="true" outlineLevel="0" collapsed="false">
      <c r="A206" s="135"/>
      <c r="B206" s="135"/>
      <c r="C206" s="135"/>
      <c r="D206" s="135"/>
      <c r="E206" s="135"/>
      <c r="F206" s="182"/>
      <c r="G206" s="182"/>
      <c r="H206" s="135"/>
      <c r="I206" s="135"/>
      <c r="J206" s="135"/>
      <c r="K206" s="135"/>
      <c r="L206" s="135"/>
      <c r="M206" s="135"/>
      <c r="N206" s="135"/>
      <c r="O206" s="135"/>
      <c r="P206" s="135"/>
    </row>
    <row r="207" customFormat="false" ht="15.75" hidden="false" customHeight="true" outlineLevel="0" collapsed="false">
      <c r="A207" s="135"/>
      <c r="B207" s="135"/>
      <c r="C207" s="135"/>
      <c r="D207" s="135"/>
      <c r="E207" s="135"/>
      <c r="F207" s="182"/>
      <c r="G207" s="182"/>
      <c r="H207" s="135"/>
      <c r="I207" s="135"/>
      <c r="J207" s="135"/>
      <c r="K207" s="135"/>
      <c r="L207" s="135"/>
      <c r="M207" s="135"/>
      <c r="N207" s="135"/>
      <c r="O207" s="135"/>
      <c r="P207" s="135"/>
    </row>
    <row r="208" customFormat="false" ht="15.75" hidden="false" customHeight="true" outlineLevel="0" collapsed="false">
      <c r="A208" s="135"/>
      <c r="B208" s="135"/>
      <c r="C208" s="135"/>
      <c r="D208" s="135"/>
      <c r="E208" s="135"/>
      <c r="F208" s="182"/>
      <c r="G208" s="182"/>
      <c r="H208" s="135"/>
      <c r="I208" s="135"/>
      <c r="J208" s="135"/>
      <c r="K208" s="135"/>
      <c r="L208" s="135"/>
      <c r="M208" s="135"/>
      <c r="N208" s="135"/>
      <c r="O208" s="135"/>
      <c r="P208" s="135"/>
    </row>
    <row r="209" customFormat="false" ht="15.75" hidden="false" customHeight="true" outlineLevel="0" collapsed="false">
      <c r="A209" s="135"/>
      <c r="B209" s="135"/>
      <c r="C209" s="135"/>
      <c r="D209" s="135"/>
      <c r="E209" s="135"/>
      <c r="F209" s="182"/>
      <c r="G209" s="182"/>
      <c r="H209" s="135"/>
      <c r="I209" s="135"/>
      <c r="J209" s="135"/>
      <c r="K209" s="135"/>
      <c r="L209" s="135"/>
      <c r="M209" s="135"/>
      <c r="N209" s="135"/>
      <c r="O209" s="135"/>
      <c r="P209" s="135"/>
    </row>
    <row r="210" customFormat="false" ht="15.75" hidden="false" customHeight="true" outlineLevel="0" collapsed="false">
      <c r="A210" s="135"/>
      <c r="B210" s="135"/>
      <c r="C210" s="135"/>
      <c r="D210" s="135"/>
      <c r="E210" s="135"/>
      <c r="F210" s="182"/>
      <c r="G210" s="182"/>
      <c r="H210" s="135"/>
      <c r="I210" s="135"/>
      <c r="J210" s="135"/>
      <c r="K210" s="135"/>
      <c r="L210" s="135"/>
      <c r="M210" s="135"/>
      <c r="N210" s="135"/>
      <c r="O210" s="135"/>
      <c r="P210" s="135"/>
    </row>
    <row r="211" customFormat="false" ht="15.75" hidden="false" customHeight="true" outlineLevel="0" collapsed="false">
      <c r="A211" s="135"/>
      <c r="B211" s="135"/>
      <c r="C211" s="135"/>
      <c r="D211" s="135"/>
      <c r="E211" s="135"/>
      <c r="F211" s="182"/>
      <c r="G211" s="182"/>
      <c r="H211" s="135"/>
      <c r="I211" s="135"/>
      <c r="J211" s="135"/>
      <c r="K211" s="135"/>
      <c r="L211" s="135"/>
      <c r="M211" s="135"/>
      <c r="N211" s="135"/>
      <c r="O211" s="135"/>
      <c r="P211" s="135"/>
    </row>
    <row r="212" customFormat="false" ht="15.75" hidden="false" customHeight="true" outlineLevel="0" collapsed="false">
      <c r="A212" s="135"/>
      <c r="B212" s="135"/>
      <c r="C212" s="135"/>
      <c r="D212" s="135"/>
      <c r="E212" s="135"/>
      <c r="F212" s="182"/>
      <c r="G212" s="182"/>
      <c r="H212" s="135"/>
      <c r="I212" s="135"/>
      <c r="J212" s="135"/>
      <c r="K212" s="135"/>
      <c r="L212" s="135"/>
      <c r="M212" s="135"/>
      <c r="N212" s="135"/>
      <c r="O212" s="135"/>
      <c r="P212" s="135"/>
    </row>
    <row r="213" customFormat="false" ht="15.75" hidden="false" customHeight="true" outlineLevel="0" collapsed="false">
      <c r="A213" s="135"/>
      <c r="B213" s="135"/>
      <c r="C213" s="135"/>
      <c r="D213" s="135"/>
      <c r="E213" s="135"/>
      <c r="F213" s="182"/>
      <c r="G213" s="182"/>
      <c r="H213" s="135"/>
      <c r="I213" s="135"/>
      <c r="J213" s="135"/>
      <c r="K213" s="135"/>
      <c r="L213" s="135"/>
      <c r="M213" s="135"/>
      <c r="N213" s="135"/>
      <c r="O213" s="135"/>
      <c r="P213" s="135"/>
    </row>
    <row r="214" customFormat="false" ht="15.75" hidden="false" customHeight="true" outlineLevel="0" collapsed="false">
      <c r="A214" s="135"/>
      <c r="B214" s="135"/>
      <c r="C214" s="135"/>
      <c r="D214" s="135"/>
      <c r="E214" s="135"/>
      <c r="F214" s="182"/>
      <c r="G214" s="182"/>
      <c r="H214" s="135"/>
      <c r="I214" s="135"/>
      <c r="J214" s="135"/>
      <c r="K214" s="135"/>
      <c r="L214" s="135"/>
      <c r="M214" s="135"/>
      <c r="N214" s="135"/>
      <c r="O214" s="135"/>
      <c r="P214" s="135"/>
    </row>
    <row r="215" customFormat="false" ht="15.75" hidden="false" customHeight="true" outlineLevel="0" collapsed="false">
      <c r="A215" s="135"/>
      <c r="B215" s="135"/>
      <c r="C215" s="135"/>
      <c r="D215" s="135"/>
      <c r="E215" s="135"/>
      <c r="F215" s="182"/>
      <c r="G215" s="182"/>
      <c r="H215" s="135"/>
      <c r="I215" s="135"/>
      <c r="J215" s="135"/>
      <c r="K215" s="135"/>
      <c r="L215" s="135"/>
      <c r="M215" s="135"/>
      <c r="N215" s="135"/>
      <c r="O215" s="135"/>
      <c r="P215" s="135"/>
    </row>
    <row r="216" customFormat="false" ht="15.75" hidden="false" customHeight="true" outlineLevel="0" collapsed="false">
      <c r="A216" s="135"/>
      <c r="B216" s="135"/>
      <c r="C216" s="135"/>
      <c r="D216" s="135"/>
      <c r="E216" s="135"/>
      <c r="F216" s="182"/>
      <c r="G216" s="182"/>
      <c r="H216" s="135"/>
      <c r="I216" s="135"/>
      <c r="J216" s="135"/>
      <c r="K216" s="135"/>
      <c r="L216" s="135"/>
      <c r="M216" s="135"/>
      <c r="N216" s="135"/>
      <c r="O216" s="135"/>
      <c r="P216" s="135"/>
    </row>
    <row r="217" customFormat="false" ht="15.75" hidden="false" customHeight="true" outlineLevel="0" collapsed="false">
      <c r="A217" s="135"/>
      <c r="B217" s="135"/>
      <c r="C217" s="135"/>
      <c r="D217" s="135"/>
      <c r="E217" s="135"/>
      <c r="F217" s="182"/>
      <c r="G217" s="182"/>
      <c r="H217" s="135"/>
      <c r="I217" s="135"/>
      <c r="J217" s="135"/>
      <c r="K217" s="135"/>
      <c r="L217" s="135"/>
      <c r="M217" s="135"/>
      <c r="N217" s="135"/>
      <c r="O217" s="135"/>
      <c r="P217" s="135"/>
    </row>
    <row r="218" customFormat="false" ht="15.75" hidden="false" customHeight="true" outlineLevel="0" collapsed="false">
      <c r="A218" s="135"/>
      <c r="B218" s="135"/>
      <c r="C218" s="135"/>
      <c r="D218" s="135"/>
      <c r="E218" s="135"/>
      <c r="F218" s="182"/>
      <c r="G218" s="182"/>
      <c r="H218" s="135"/>
      <c r="I218" s="135"/>
      <c r="J218" s="135"/>
      <c r="K218" s="135"/>
      <c r="L218" s="135"/>
      <c r="M218" s="135"/>
      <c r="N218" s="135"/>
      <c r="O218" s="135"/>
      <c r="P218" s="135"/>
    </row>
    <row r="219" customFormat="false" ht="15.75" hidden="false" customHeight="true" outlineLevel="0" collapsed="false">
      <c r="A219" s="135"/>
      <c r="B219" s="135"/>
      <c r="C219" s="135"/>
      <c r="D219" s="135"/>
      <c r="E219" s="135"/>
      <c r="F219" s="182"/>
      <c r="G219" s="182"/>
      <c r="H219" s="135"/>
      <c r="I219" s="135"/>
      <c r="J219" s="135"/>
      <c r="K219" s="135"/>
      <c r="L219" s="135"/>
      <c r="M219" s="135"/>
      <c r="N219" s="135"/>
      <c r="O219" s="135"/>
      <c r="P219" s="135"/>
    </row>
    <row r="220" customFormat="false" ht="15.75" hidden="false" customHeight="true" outlineLevel="0" collapsed="false">
      <c r="A220" s="135"/>
      <c r="B220" s="135"/>
      <c r="C220" s="135"/>
      <c r="D220" s="135"/>
      <c r="E220" s="135"/>
      <c r="F220" s="182"/>
      <c r="G220" s="182"/>
      <c r="H220" s="135"/>
      <c r="I220" s="135"/>
      <c r="J220" s="135"/>
      <c r="K220" s="135"/>
      <c r="L220" s="135"/>
      <c r="M220" s="135"/>
      <c r="N220" s="135"/>
      <c r="O220" s="135"/>
      <c r="P220" s="135"/>
    </row>
    <row r="221" customFormat="false" ht="15.75" hidden="false" customHeight="true" outlineLevel="0" collapsed="false">
      <c r="A221" s="135"/>
      <c r="B221" s="135"/>
      <c r="C221" s="135"/>
      <c r="D221" s="135"/>
      <c r="E221" s="135"/>
      <c r="F221" s="182"/>
      <c r="G221" s="182"/>
      <c r="H221" s="135"/>
      <c r="I221" s="135"/>
      <c r="J221" s="135"/>
      <c r="K221" s="135"/>
      <c r="L221" s="135"/>
      <c r="M221" s="135"/>
      <c r="N221" s="135"/>
      <c r="O221" s="135"/>
      <c r="P221" s="135"/>
    </row>
    <row r="222" customFormat="false" ht="15.75" hidden="false" customHeight="true" outlineLevel="0" collapsed="false">
      <c r="A222" s="135"/>
      <c r="B222" s="135"/>
      <c r="C222" s="135"/>
      <c r="D222" s="135"/>
      <c r="E222" s="135"/>
      <c r="F222" s="182"/>
      <c r="G222" s="182"/>
      <c r="H222" s="135"/>
      <c r="I222" s="135"/>
      <c r="J222" s="135"/>
      <c r="K222" s="135"/>
      <c r="L222" s="135"/>
      <c r="M222" s="135"/>
      <c r="N222" s="135"/>
      <c r="O222" s="135"/>
      <c r="P222" s="135"/>
    </row>
    <row r="223" customFormat="false" ht="15.75" hidden="false" customHeight="true" outlineLevel="0" collapsed="false">
      <c r="A223" s="135"/>
      <c r="B223" s="135"/>
      <c r="C223" s="135"/>
      <c r="D223" s="135"/>
      <c r="E223" s="135"/>
      <c r="F223" s="182"/>
      <c r="G223" s="182"/>
      <c r="H223" s="135"/>
      <c r="I223" s="135"/>
      <c r="J223" s="135"/>
      <c r="K223" s="135"/>
      <c r="L223" s="135"/>
      <c r="M223" s="135"/>
      <c r="N223" s="135"/>
      <c r="O223" s="135"/>
      <c r="P223" s="135"/>
    </row>
    <row r="224" customFormat="false" ht="15.75" hidden="false" customHeight="true" outlineLevel="0" collapsed="false">
      <c r="A224" s="135"/>
      <c r="B224" s="135"/>
      <c r="C224" s="135"/>
      <c r="D224" s="135"/>
      <c r="E224" s="135"/>
      <c r="F224" s="182"/>
      <c r="G224" s="182"/>
      <c r="H224" s="135"/>
      <c r="I224" s="135"/>
      <c r="J224" s="135"/>
      <c r="K224" s="135"/>
      <c r="L224" s="135"/>
      <c r="M224" s="135"/>
      <c r="N224" s="135"/>
      <c r="O224" s="135"/>
      <c r="P224" s="135"/>
    </row>
    <row r="225" customFormat="false" ht="15.75" hidden="false" customHeight="true" outlineLevel="0" collapsed="false">
      <c r="A225" s="135"/>
      <c r="B225" s="135"/>
      <c r="C225" s="135"/>
      <c r="D225" s="135"/>
      <c r="E225" s="135"/>
      <c r="F225" s="182"/>
      <c r="G225" s="182"/>
      <c r="H225" s="135"/>
      <c r="I225" s="135"/>
      <c r="J225" s="135"/>
      <c r="K225" s="135"/>
      <c r="L225" s="135"/>
      <c r="M225" s="135"/>
      <c r="N225" s="135"/>
      <c r="O225" s="135"/>
      <c r="P225" s="135"/>
    </row>
    <row r="226" customFormat="false" ht="15.75" hidden="false" customHeight="true" outlineLevel="0" collapsed="false">
      <c r="A226" s="135"/>
      <c r="B226" s="135"/>
      <c r="C226" s="135"/>
      <c r="D226" s="135"/>
      <c r="E226" s="135"/>
      <c r="F226" s="182"/>
      <c r="G226" s="182"/>
      <c r="H226" s="135"/>
      <c r="I226" s="135"/>
      <c r="J226" s="135"/>
      <c r="K226" s="135"/>
      <c r="L226" s="135"/>
      <c r="M226" s="135"/>
      <c r="N226" s="135"/>
      <c r="O226" s="135"/>
      <c r="P226" s="135"/>
    </row>
    <row r="227" customFormat="false" ht="15.75" hidden="false" customHeight="true" outlineLevel="0" collapsed="false">
      <c r="A227" s="135"/>
      <c r="B227" s="135"/>
      <c r="C227" s="135"/>
      <c r="D227" s="135"/>
      <c r="E227" s="135"/>
      <c r="F227" s="182"/>
      <c r="G227" s="182"/>
      <c r="H227" s="135"/>
      <c r="I227" s="135"/>
      <c r="J227" s="135"/>
      <c r="K227" s="135"/>
      <c r="L227" s="135"/>
      <c r="M227" s="135"/>
      <c r="N227" s="135"/>
      <c r="O227" s="135"/>
      <c r="P227" s="135"/>
    </row>
    <row r="228" customFormat="false" ht="15.75" hidden="false" customHeight="true" outlineLevel="0" collapsed="false">
      <c r="A228" s="135"/>
      <c r="B228" s="135"/>
      <c r="C228" s="135"/>
      <c r="D228" s="135"/>
      <c r="E228" s="135"/>
      <c r="F228" s="182"/>
      <c r="G228" s="182"/>
      <c r="H228" s="135"/>
      <c r="I228" s="135"/>
      <c r="J228" s="135"/>
      <c r="K228" s="135"/>
      <c r="L228" s="135"/>
      <c r="M228" s="135"/>
      <c r="N228" s="135"/>
      <c r="O228" s="135"/>
      <c r="P228" s="135"/>
    </row>
    <row r="229" customFormat="false" ht="15.75" hidden="false" customHeight="true" outlineLevel="0" collapsed="false">
      <c r="A229" s="135"/>
      <c r="B229" s="135"/>
      <c r="C229" s="135"/>
      <c r="D229" s="135"/>
      <c r="E229" s="135"/>
      <c r="F229" s="182"/>
      <c r="G229" s="182"/>
      <c r="H229" s="135"/>
      <c r="I229" s="135"/>
      <c r="J229" s="135"/>
      <c r="K229" s="135"/>
      <c r="L229" s="135"/>
      <c r="M229" s="135"/>
      <c r="N229" s="135"/>
      <c r="O229" s="135"/>
      <c r="P229" s="135"/>
    </row>
    <row r="230" customFormat="false" ht="15.75" hidden="false" customHeight="true" outlineLevel="0" collapsed="false">
      <c r="A230" s="135"/>
      <c r="B230" s="135"/>
      <c r="C230" s="135"/>
      <c r="D230" s="135"/>
      <c r="E230" s="135"/>
      <c r="F230" s="182"/>
      <c r="G230" s="182"/>
      <c r="H230" s="135"/>
      <c r="I230" s="135"/>
      <c r="J230" s="135"/>
      <c r="K230" s="135"/>
      <c r="L230" s="135"/>
      <c r="M230" s="135"/>
      <c r="N230" s="135"/>
      <c r="O230" s="135"/>
      <c r="P230" s="135"/>
    </row>
    <row r="231" customFormat="false" ht="15.75" hidden="false" customHeight="true" outlineLevel="0" collapsed="false">
      <c r="A231" s="135"/>
      <c r="B231" s="135"/>
      <c r="C231" s="135"/>
      <c r="D231" s="135"/>
      <c r="E231" s="135"/>
      <c r="F231" s="182"/>
      <c r="G231" s="182"/>
      <c r="H231" s="135"/>
      <c r="I231" s="135"/>
      <c r="J231" s="135"/>
      <c r="K231" s="135"/>
      <c r="L231" s="135"/>
      <c r="M231" s="135"/>
      <c r="N231" s="135"/>
      <c r="O231" s="135"/>
      <c r="P231" s="135"/>
    </row>
    <row r="232" customFormat="false" ht="15.75" hidden="false" customHeight="true" outlineLevel="0" collapsed="false">
      <c r="A232" s="135"/>
      <c r="B232" s="135"/>
      <c r="C232" s="135"/>
      <c r="D232" s="135"/>
      <c r="E232" s="135"/>
      <c r="F232" s="182"/>
      <c r="G232" s="182"/>
      <c r="H232" s="135"/>
      <c r="I232" s="135"/>
      <c r="J232" s="135"/>
      <c r="K232" s="135"/>
      <c r="L232" s="135"/>
      <c r="M232" s="135"/>
      <c r="N232" s="135"/>
      <c r="O232" s="135"/>
      <c r="P232" s="135"/>
    </row>
    <row r="233" customFormat="false" ht="15.75" hidden="false" customHeight="true" outlineLevel="0" collapsed="false">
      <c r="A233" s="135"/>
      <c r="B233" s="135"/>
      <c r="C233" s="135"/>
      <c r="D233" s="135"/>
      <c r="E233" s="135"/>
      <c r="F233" s="182"/>
      <c r="G233" s="182"/>
      <c r="H233" s="135"/>
      <c r="I233" s="135"/>
      <c r="J233" s="135"/>
      <c r="K233" s="135"/>
      <c r="L233" s="135"/>
      <c r="M233" s="135"/>
      <c r="N233" s="135"/>
      <c r="O233" s="135"/>
      <c r="P233" s="135"/>
    </row>
    <row r="234" customFormat="false" ht="15.75" hidden="false" customHeight="true" outlineLevel="0" collapsed="false">
      <c r="A234" s="135"/>
      <c r="B234" s="135"/>
      <c r="C234" s="135"/>
      <c r="D234" s="135"/>
      <c r="E234" s="135"/>
      <c r="F234" s="182"/>
      <c r="G234" s="182"/>
      <c r="H234" s="135"/>
      <c r="I234" s="135"/>
      <c r="J234" s="135"/>
      <c r="K234" s="135"/>
      <c r="L234" s="135"/>
      <c r="M234" s="135"/>
      <c r="N234" s="135"/>
      <c r="O234" s="135"/>
      <c r="P234" s="135"/>
    </row>
    <row r="235" customFormat="false" ht="15.75" hidden="false" customHeight="true" outlineLevel="0" collapsed="false">
      <c r="A235" s="135"/>
      <c r="B235" s="135"/>
      <c r="C235" s="135"/>
      <c r="D235" s="135"/>
      <c r="E235" s="135"/>
      <c r="F235" s="182"/>
      <c r="G235" s="182"/>
      <c r="H235" s="135"/>
      <c r="I235" s="135"/>
      <c r="J235" s="135"/>
      <c r="K235" s="135"/>
      <c r="L235" s="135"/>
      <c r="M235" s="135"/>
      <c r="N235" s="135"/>
      <c r="O235" s="135"/>
      <c r="P235" s="135"/>
    </row>
    <row r="236" customFormat="false" ht="15.75" hidden="false" customHeight="true" outlineLevel="0" collapsed="false">
      <c r="A236" s="135"/>
      <c r="B236" s="135"/>
      <c r="C236" s="135"/>
      <c r="D236" s="135"/>
      <c r="E236" s="135"/>
      <c r="F236" s="182"/>
      <c r="G236" s="182"/>
      <c r="H236" s="135"/>
      <c r="I236" s="135"/>
      <c r="J236" s="135"/>
      <c r="K236" s="135"/>
      <c r="L236" s="135"/>
      <c r="M236" s="135"/>
      <c r="N236" s="135"/>
      <c r="O236" s="135"/>
      <c r="P236" s="135"/>
    </row>
    <row r="237" customFormat="false" ht="15.75" hidden="false" customHeight="true" outlineLevel="0" collapsed="false">
      <c r="A237" s="135"/>
      <c r="B237" s="135"/>
      <c r="C237" s="135"/>
      <c r="D237" s="135"/>
      <c r="E237" s="135"/>
      <c r="F237" s="182"/>
      <c r="G237" s="182"/>
      <c r="H237" s="135"/>
      <c r="I237" s="135"/>
      <c r="J237" s="135"/>
      <c r="K237" s="135"/>
      <c r="L237" s="135"/>
      <c r="M237" s="135"/>
      <c r="N237" s="135"/>
      <c r="O237" s="135"/>
      <c r="P237" s="135"/>
    </row>
    <row r="238" customFormat="false" ht="15.75" hidden="false" customHeight="true" outlineLevel="0" collapsed="false">
      <c r="A238" s="135"/>
      <c r="B238" s="135"/>
      <c r="C238" s="135"/>
      <c r="D238" s="135"/>
      <c r="E238" s="135"/>
      <c r="F238" s="182"/>
      <c r="G238" s="182"/>
      <c r="H238" s="135"/>
      <c r="I238" s="135"/>
      <c r="J238" s="135"/>
      <c r="K238" s="135"/>
      <c r="L238" s="135"/>
      <c r="M238" s="135"/>
      <c r="N238" s="135"/>
      <c r="O238" s="135"/>
      <c r="P238" s="135"/>
    </row>
    <row r="239" customFormat="false" ht="15.75" hidden="false" customHeight="true" outlineLevel="0" collapsed="false">
      <c r="A239" s="135"/>
      <c r="B239" s="135"/>
      <c r="C239" s="135"/>
      <c r="D239" s="135"/>
      <c r="E239" s="135"/>
      <c r="F239" s="182"/>
      <c r="G239" s="182"/>
      <c r="H239" s="135"/>
      <c r="I239" s="135"/>
      <c r="J239" s="135"/>
      <c r="K239" s="135"/>
      <c r="L239" s="135"/>
      <c r="M239" s="135"/>
      <c r="N239" s="135"/>
      <c r="O239" s="135"/>
      <c r="P239" s="135"/>
    </row>
    <row r="240" customFormat="false" ht="15.75" hidden="false" customHeight="true" outlineLevel="0" collapsed="false">
      <c r="A240" s="135"/>
      <c r="B240" s="135"/>
      <c r="C240" s="135"/>
      <c r="D240" s="135"/>
      <c r="E240" s="135"/>
      <c r="F240" s="182"/>
      <c r="G240" s="182"/>
      <c r="H240" s="135"/>
      <c r="I240" s="135"/>
      <c r="J240" s="135"/>
      <c r="K240" s="135"/>
      <c r="L240" s="135"/>
      <c r="M240" s="135"/>
      <c r="N240" s="135"/>
      <c r="O240" s="135"/>
      <c r="P240" s="135"/>
    </row>
    <row r="241" customFormat="false" ht="15.75" hidden="false" customHeight="true" outlineLevel="0" collapsed="false">
      <c r="A241" s="135"/>
      <c r="B241" s="135"/>
      <c r="C241" s="135"/>
      <c r="D241" s="135"/>
      <c r="E241" s="135"/>
      <c r="F241" s="182"/>
      <c r="G241" s="182"/>
      <c r="H241" s="135"/>
      <c r="I241" s="135"/>
      <c r="J241" s="135"/>
      <c r="K241" s="135"/>
      <c r="L241" s="135"/>
      <c r="M241" s="135"/>
      <c r="N241" s="135"/>
      <c r="O241" s="135"/>
      <c r="P241" s="135"/>
    </row>
    <row r="242" customFormat="false" ht="15.75" hidden="false" customHeight="true" outlineLevel="0" collapsed="false">
      <c r="A242" s="135"/>
      <c r="B242" s="135"/>
      <c r="C242" s="135"/>
      <c r="D242" s="135"/>
      <c r="E242" s="135"/>
      <c r="F242" s="182"/>
      <c r="G242" s="182"/>
      <c r="H242" s="135"/>
      <c r="I242" s="135"/>
      <c r="J242" s="135"/>
      <c r="K242" s="135"/>
      <c r="L242" s="135"/>
      <c r="M242" s="135"/>
      <c r="N242" s="135"/>
      <c r="O242" s="135"/>
      <c r="P242" s="135"/>
    </row>
    <row r="243" customFormat="false" ht="15.75" hidden="false" customHeight="true" outlineLevel="0" collapsed="false">
      <c r="A243" s="135"/>
      <c r="B243" s="135"/>
      <c r="C243" s="135"/>
      <c r="D243" s="135"/>
      <c r="E243" s="135"/>
      <c r="F243" s="182"/>
      <c r="G243" s="182"/>
      <c r="H243" s="135"/>
      <c r="I243" s="135"/>
      <c r="J243" s="135"/>
      <c r="K243" s="135"/>
      <c r="L243" s="135"/>
      <c r="M243" s="135"/>
      <c r="N243" s="135"/>
      <c r="O243" s="135"/>
      <c r="P243" s="135"/>
    </row>
    <row r="244" customFormat="false" ht="15.75" hidden="false" customHeight="true" outlineLevel="0" collapsed="false">
      <c r="A244" s="135"/>
      <c r="B244" s="135"/>
      <c r="C244" s="135"/>
      <c r="D244" s="135"/>
      <c r="E244" s="135"/>
      <c r="F244" s="182"/>
      <c r="G244" s="182"/>
      <c r="H244" s="135"/>
      <c r="I244" s="135"/>
      <c r="J244" s="135"/>
      <c r="K244" s="135"/>
      <c r="L244" s="135"/>
      <c r="M244" s="135"/>
      <c r="N244" s="135"/>
      <c r="O244" s="135"/>
      <c r="P244" s="135"/>
    </row>
    <row r="245" customFormat="false" ht="15.75" hidden="false" customHeight="true" outlineLevel="0" collapsed="false">
      <c r="A245" s="135"/>
      <c r="B245" s="135"/>
      <c r="C245" s="135"/>
      <c r="D245" s="135"/>
      <c r="E245" s="135"/>
      <c r="F245" s="182"/>
      <c r="G245" s="182"/>
      <c r="H245" s="135"/>
      <c r="I245" s="135"/>
      <c r="J245" s="135"/>
      <c r="K245" s="135"/>
      <c r="L245" s="135"/>
      <c r="M245" s="135"/>
      <c r="N245" s="135"/>
      <c r="O245" s="135"/>
      <c r="P245" s="135"/>
    </row>
    <row r="246" customFormat="false" ht="15.75" hidden="false" customHeight="true" outlineLevel="0" collapsed="false">
      <c r="A246" s="135"/>
      <c r="B246" s="135"/>
      <c r="C246" s="135"/>
      <c r="D246" s="135"/>
      <c r="E246" s="135"/>
      <c r="F246" s="182"/>
      <c r="G246" s="182"/>
      <c r="H246" s="135"/>
      <c r="I246" s="135"/>
      <c r="J246" s="135"/>
      <c r="K246" s="135"/>
      <c r="L246" s="135"/>
      <c r="M246" s="135"/>
      <c r="N246" s="135"/>
      <c r="O246" s="135"/>
      <c r="P246" s="135"/>
    </row>
    <row r="247" customFormat="false" ht="15.75" hidden="false" customHeight="true" outlineLevel="0" collapsed="false">
      <c r="A247" s="135"/>
      <c r="B247" s="135"/>
      <c r="C247" s="135"/>
      <c r="D247" s="135"/>
      <c r="E247" s="135"/>
      <c r="F247" s="182"/>
      <c r="G247" s="182"/>
      <c r="H247" s="135"/>
      <c r="I247" s="135"/>
      <c r="J247" s="135"/>
      <c r="K247" s="135"/>
      <c r="L247" s="135"/>
      <c r="M247" s="135"/>
      <c r="N247" s="135"/>
      <c r="O247" s="135"/>
      <c r="P247" s="135"/>
    </row>
    <row r="248" customFormat="false" ht="15.75" hidden="false" customHeight="true" outlineLevel="0" collapsed="false">
      <c r="A248" s="135"/>
      <c r="B248" s="135"/>
      <c r="C248" s="135"/>
      <c r="D248" s="135"/>
      <c r="E248" s="135"/>
      <c r="F248" s="182"/>
      <c r="G248" s="182"/>
      <c r="H248" s="135"/>
      <c r="I248" s="135"/>
      <c r="J248" s="135"/>
      <c r="K248" s="135"/>
      <c r="L248" s="135"/>
      <c r="M248" s="135"/>
      <c r="N248" s="135"/>
      <c r="O248" s="135"/>
      <c r="P248" s="135"/>
    </row>
    <row r="249" customFormat="false" ht="15.75" hidden="false" customHeight="true" outlineLevel="0" collapsed="false">
      <c r="A249" s="135"/>
      <c r="B249" s="135"/>
      <c r="C249" s="135"/>
      <c r="D249" s="135"/>
      <c r="E249" s="135"/>
      <c r="F249" s="182"/>
      <c r="G249" s="182"/>
      <c r="H249" s="135"/>
      <c r="I249" s="135"/>
      <c r="J249" s="135"/>
      <c r="K249" s="135"/>
      <c r="L249" s="135"/>
      <c r="M249" s="135"/>
      <c r="N249" s="135"/>
      <c r="O249" s="135"/>
      <c r="P249" s="135"/>
    </row>
    <row r="250" customFormat="false" ht="15.75" hidden="false" customHeight="true" outlineLevel="0" collapsed="false">
      <c r="A250" s="135"/>
      <c r="B250" s="135"/>
      <c r="C250" s="135"/>
      <c r="D250" s="135"/>
      <c r="E250" s="135"/>
      <c r="F250" s="182"/>
      <c r="G250" s="182"/>
      <c r="H250" s="135"/>
      <c r="I250" s="135"/>
      <c r="J250" s="135"/>
      <c r="K250" s="135"/>
      <c r="L250" s="135"/>
      <c r="M250" s="135"/>
      <c r="N250" s="135"/>
      <c r="O250" s="135"/>
      <c r="P250" s="135"/>
    </row>
    <row r="251" customFormat="false" ht="15.75" hidden="false" customHeight="true" outlineLevel="0" collapsed="false">
      <c r="A251" s="135"/>
      <c r="B251" s="135"/>
      <c r="C251" s="135"/>
      <c r="D251" s="135"/>
      <c r="E251" s="135"/>
      <c r="F251" s="182"/>
      <c r="G251" s="182"/>
      <c r="H251" s="135"/>
      <c r="I251" s="135"/>
      <c r="J251" s="135"/>
      <c r="K251" s="135"/>
      <c r="L251" s="135"/>
      <c r="M251" s="135"/>
      <c r="N251" s="135"/>
      <c r="O251" s="135"/>
      <c r="P251" s="135"/>
    </row>
    <row r="252" customFormat="false" ht="15.75" hidden="false" customHeight="true" outlineLevel="0" collapsed="false">
      <c r="A252" s="135"/>
      <c r="B252" s="135"/>
      <c r="C252" s="135"/>
      <c r="D252" s="135"/>
      <c r="E252" s="135"/>
      <c r="F252" s="182"/>
      <c r="G252" s="182"/>
      <c r="H252" s="135"/>
      <c r="I252" s="135"/>
      <c r="J252" s="135"/>
      <c r="K252" s="135"/>
      <c r="L252" s="135"/>
      <c r="M252" s="135"/>
      <c r="N252" s="135"/>
      <c r="O252" s="135"/>
      <c r="P252" s="135"/>
    </row>
    <row r="253" customFormat="false" ht="15.75" hidden="false" customHeight="true" outlineLevel="0" collapsed="false">
      <c r="A253" s="135"/>
      <c r="B253" s="135"/>
      <c r="C253" s="135"/>
      <c r="D253" s="135"/>
      <c r="E253" s="135"/>
      <c r="F253" s="182"/>
      <c r="G253" s="182"/>
      <c r="H253" s="135"/>
      <c r="I253" s="135"/>
      <c r="J253" s="135"/>
      <c r="K253" s="135"/>
      <c r="L253" s="135"/>
      <c r="M253" s="135"/>
      <c r="N253" s="135"/>
      <c r="O253" s="135"/>
      <c r="P253" s="135"/>
    </row>
    <row r="254" customFormat="false" ht="15.75" hidden="false" customHeight="true" outlineLevel="0" collapsed="false">
      <c r="A254" s="135"/>
      <c r="B254" s="135"/>
      <c r="C254" s="135"/>
      <c r="D254" s="135"/>
      <c r="E254" s="135"/>
      <c r="F254" s="182"/>
      <c r="G254" s="182"/>
      <c r="H254" s="135"/>
      <c r="I254" s="135"/>
      <c r="J254" s="135"/>
      <c r="K254" s="135"/>
      <c r="L254" s="135"/>
      <c r="M254" s="135"/>
      <c r="N254" s="135"/>
      <c r="O254" s="135"/>
      <c r="P254" s="135"/>
    </row>
    <row r="255" customFormat="false" ht="15.75" hidden="false" customHeight="true" outlineLevel="0" collapsed="false">
      <c r="A255" s="135"/>
      <c r="B255" s="135"/>
      <c r="C255" s="135"/>
      <c r="D255" s="135"/>
      <c r="E255" s="135"/>
      <c r="F255" s="182"/>
      <c r="G255" s="182"/>
      <c r="H255" s="135"/>
      <c r="I255" s="135"/>
      <c r="J255" s="135"/>
      <c r="K255" s="135"/>
      <c r="L255" s="135"/>
      <c r="M255" s="135"/>
      <c r="N255" s="135"/>
      <c r="O255" s="135"/>
      <c r="P255" s="135"/>
    </row>
    <row r="256" customFormat="false" ht="15.75" hidden="false" customHeight="true" outlineLevel="0" collapsed="false">
      <c r="A256" s="135"/>
      <c r="B256" s="135"/>
      <c r="C256" s="135"/>
      <c r="D256" s="135"/>
      <c r="E256" s="135"/>
      <c r="F256" s="182"/>
      <c r="G256" s="182"/>
      <c r="H256" s="135"/>
      <c r="I256" s="135"/>
      <c r="J256" s="135"/>
      <c r="K256" s="135"/>
      <c r="L256" s="135"/>
      <c r="M256" s="135"/>
      <c r="N256" s="135"/>
      <c r="O256" s="135"/>
      <c r="P256" s="135"/>
    </row>
    <row r="257" customFormat="false" ht="15.75" hidden="false" customHeight="true" outlineLevel="0" collapsed="false">
      <c r="A257" s="135"/>
      <c r="B257" s="135"/>
      <c r="C257" s="135"/>
      <c r="D257" s="135"/>
      <c r="E257" s="135"/>
      <c r="F257" s="182"/>
      <c r="G257" s="182"/>
      <c r="H257" s="135"/>
      <c r="I257" s="135"/>
      <c r="J257" s="135"/>
      <c r="K257" s="135"/>
      <c r="L257" s="135"/>
      <c r="M257" s="135"/>
      <c r="N257" s="135"/>
      <c r="O257" s="135"/>
      <c r="P257" s="135"/>
    </row>
    <row r="258" customFormat="false" ht="15.75" hidden="false" customHeight="true" outlineLevel="0" collapsed="false">
      <c r="A258" s="135"/>
      <c r="B258" s="135"/>
      <c r="C258" s="135"/>
      <c r="D258" s="135"/>
      <c r="E258" s="135"/>
      <c r="F258" s="182"/>
      <c r="G258" s="182"/>
      <c r="H258" s="135"/>
      <c r="I258" s="135"/>
      <c r="J258" s="135"/>
      <c r="K258" s="135"/>
      <c r="L258" s="135"/>
      <c r="M258" s="135"/>
      <c r="N258" s="135"/>
      <c r="O258" s="135"/>
      <c r="P258" s="135"/>
    </row>
    <row r="259" customFormat="false" ht="15.75" hidden="false" customHeight="true" outlineLevel="0" collapsed="false">
      <c r="A259" s="135"/>
      <c r="B259" s="135"/>
      <c r="C259" s="135"/>
      <c r="D259" s="135"/>
      <c r="E259" s="135"/>
      <c r="F259" s="182"/>
      <c r="G259" s="182"/>
      <c r="H259" s="135"/>
      <c r="I259" s="135"/>
      <c r="J259" s="135"/>
      <c r="K259" s="135"/>
      <c r="L259" s="135"/>
      <c r="M259" s="135"/>
      <c r="N259" s="135"/>
      <c r="O259" s="135"/>
      <c r="P259" s="135"/>
    </row>
    <row r="260" customFormat="false" ht="15.75" hidden="false" customHeight="true" outlineLevel="0" collapsed="false">
      <c r="A260" s="135"/>
      <c r="B260" s="135"/>
      <c r="C260" s="135"/>
      <c r="D260" s="135"/>
      <c r="E260" s="135"/>
      <c r="F260" s="182"/>
      <c r="G260" s="182"/>
      <c r="H260" s="135"/>
      <c r="I260" s="135"/>
      <c r="J260" s="135"/>
      <c r="K260" s="135"/>
      <c r="L260" s="135"/>
      <c r="M260" s="135"/>
      <c r="N260" s="135"/>
      <c r="O260" s="135"/>
      <c r="P260" s="135"/>
    </row>
    <row r="261" customFormat="false" ht="15.75" hidden="false" customHeight="true" outlineLevel="0" collapsed="false">
      <c r="A261" s="135"/>
      <c r="B261" s="135"/>
      <c r="C261" s="135"/>
      <c r="D261" s="135"/>
      <c r="E261" s="135"/>
      <c r="F261" s="182"/>
      <c r="G261" s="182"/>
      <c r="H261" s="135"/>
      <c r="I261" s="135"/>
      <c r="J261" s="135"/>
      <c r="K261" s="135"/>
      <c r="L261" s="135"/>
      <c r="M261" s="135"/>
      <c r="N261" s="135"/>
      <c r="O261" s="135"/>
      <c r="P261" s="135"/>
    </row>
    <row r="262" customFormat="false" ht="15.75" hidden="false" customHeight="true" outlineLevel="0" collapsed="false">
      <c r="A262" s="135"/>
      <c r="B262" s="135"/>
      <c r="C262" s="135"/>
      <c r="D262" s="135"/>
      <c r="E262" s="135"/>
      <c r="F262" s="182"/>
      <c r="G262" s="182"/>
      <c r="H262" s="135"/>
      <c r="I262" s="135"/>
      <c r="J262" s="135"/>
      <c r="K262" s="135"/>
      <c r="L262" s="135"/>
      <c r="M262" s="135"/>
      <c r="N262" s="135"/>
      <c r="O262" s="135"/>
      <c r="P262" s="135"/>
    </row>
    <row r="263" customFormat="false" ht="15.75" hidden="false" customHeight="true" outlineLevel="0" collapsed="false">
      <c r="A263" s="135"/>
      <c r="B263" s="135"/>
      <c r="C263" s="135"/>
      <c r="D263" s="135"/>
      <c r="E263" s="135"/>
      <c r="F263" s="182"/>
      <c r="G263" s="182"/>
      <c r="H263" s="135"/>
      <c r="I263" s="135"/>
      <c r="J263" s="135"/>
      <c r="K263" s="135"/>
      <c r="L263" s="135"/>
      <c r="M263" s="135"/>
      <c r="N263" s="135"/>
      <c r="O263" s="135"/>
      <c r="P263" s="135"/>
    </row>
    <row r="264" customFormat="false" ht="15.75" hidden="false" customHeight="true" outlineLevel="0" collapsed="false">
      <c r="A264" s="135"/>
      <c r="B264" s="135"/>
      <c r="C264" s="135"/>
      <c r="D264" s="135"/>
      <c r="E264" s="135"/>
      <c r="F264" s="182"/>
      <c r="G264" s="182"/>
      <c r="H264" s="135"/>
      <c r="I264" s="135"/>
      <c r="J264" s="135"/>
      <c r="K264" s="135"/>
      <c r="L264" s="135"/>
      <c r="M264" s="135"/>
      <c r="N264" s="135"/>
      <c r="O264" s="135"/>
      <c r="P264" s="135"/>
    </row>
    <row r="265" customFormat="false" ht="15.75" hidden="false" customHeight="true" outlineLevel="0" collapsed="false">
      <c r="A265" s="135"/>
      <c r="B265" s="135"/>
      <c r="C265" s="135"/>
      <c r="D265" s="135"/>
      <c r="E265" s="135"/>
      <c r="F265" s="182"/>
      <c r="G265" s="182"/>
      <c r="H265" s="135"/>
      <c r="I265" s="135"/>
      <c r="J265" s="135"/>
      <c r="K265" s="135"/>
      <c r="L265" s="135"/>
      <c r="M265" s="135"/>
      <c r="N265" s="135"/>
      <c r="O265" s="135"/>
      <c r="P265" s="135"/>
    </row>
    <row r="266" customFormat="false" ht="15.75" hidden="false" customHeight="true" outlineLevel="0" collapsed="false">
      <c r="A266" s="135"/>
      <c r="B266" s="135"/>
      <c r="C266" s="135"/>
      <c r="D266" s="135"/>
      <c r="E266" s="135"/>
      <c r="F266" s="182"/>
      <c r="G266" s="182"/>
      <c r="H266" s="135"/>
      <c r="I266" s="135"/>
      <c r="J266" s="135"/>
      <c r="K266" s="135"/>
      <c r="L266" s="135"/>
      <c r="M266" s="135"/>
      <c r="N266" s="135"/>
      <c r="O266" s="135"/>
      <c r="P266" s="135"/>
    </row>
    <row r="267" customFormat="false" ht="15.75" hidden="false" customHeight="true" outlineLevel="0" collapsed="false">
      <c r="A267" s="135"/>
      <c r="B267" s="135"/>
      <c r="C267" s="135"/>
      <c r="D267" s="135"/>
      <c r="E267" s="135"/>
      <c r="F267" s="182"/>
      <c r="G267" s="182"/>
      <c r="H267" s="135"/>
      <c r="I267" s="135"/>
      <c r="J267" s="135"/>
      <c r="K267" s="135"/>
      <c r="L267" s="135"/>
      <c r="M267" s="135"/>
      <c r="N267" s="135"/>
      <c r="O267" s="135"/>
      <c r="P267" s="135"/>
    </row>
    <row r="268" customFormat="false" ht="15.75" hidden="false" customHeight="true" outlineLevel="0" collapsed="false">
      <c r="A268" s="135"/>
      <c r="B268" s="135"/>
      <c r="C268" s="135"/>
      <c r="D268" s="135"/>
      <c r="E268" s="135"/>
      <c r="F268" s="182"/>
      <c r="G268" s="182"/>
      <c r="H268" s="135"/>
      <c r="I268" s="135"/>
      <c r="J268" s="135"/>
      <c r="K268" s="135"/>
      <c r="L268" s="135"/>
      <c r="M268" s="135"/>
      <c r="N268" s="135"/>
      <c r="O268" s="135"/>
      <c r="P268" s="135"/>
    </row>
    <row r="269" customFormat="false" ht="15.75" hidden="false" customHeight="true" outlineLevel="0" collapsed="false">
      <c r="A269" s="135"/>
      <c r="B269" s="135"/>
      <c r="C269" s="135"/>
      <c r="D269" s="135"/>
      <c r="E269" s="135"/>
      <c r="F269" s="182"/>
      <c r="G269" s="182"/>
      <c r="H269" s="135"/>
      <c r="I269" s="135"/>
      <c r="J269" s="135"/>
      <c r="K269" s="135"/>
      <c r="L269" s="135"/>
      <c r="M269" s="135"/>
      <c r="N269" s="135"/>
      <c r="O269" s="135"/>
      <c r="P269" s="135"/>
    </row>
    <row r="270" customFormat="false" ht="15.75" hidden="false" customHeight="true" outlineLevel="0" collapsed="false">
      <c r="A270" s="135"/>
      <c r="B270" s="135"/>
      <c r="C270" s="135"/>
      <c r="D270" s="135"/>
      <c r="E270" s="135"/>
      <c r="F270" s="182"/>
      <c r="G270" s="182"/>
      <c r="H270" s="135"/>
      <c r="I270" s="135"/>
      <c r="J270" s="135"/>
      <c r="K270" s="135"/>
      <c r="L270" s="135"/>
      <c r="M270" s="135"/>
      <c r="N270" s="135"/>
      <c r="O270" s="135"/>
      <c r="P270" s="135"/>
    </row>
    <row r="271" customFormat="false" ht="15.75" hidden="false" customHeight="true" outlineLevel="0" collapsed="false">
      <c r="A271" s="135"/>
      <c r="B271" s="135"/>
      <c r="C271" s="135"/>
      <c r="D271" s="135"/>
      <c r="E271" s="135"/>
      <c r="F271" s="182"/>
      <c r="G271" s="182"/>
      <c r="H271" s="135"/>
      <c r="I271" s="135"/>
      <c r="J271" s="135"/>
      <c r="K271" s="135"/>
      <c r="L271" s="135"/>
      <c r="M271" s="135"/>
      <c r="N271" s="135"/>
      <c r="O271" s="135"/>
      <c r="P271" s="135"/>
    </row>
    <row r="272" customFormat="false" ht="15.75" hidden="false" customHeight="true" outlineLevel="0" collapsed="false">
      <c r="A272" s="135"/>
      <c r="B272" s="135"/>
      <c r="C272" s="135"/>
      <c r="D272" s="135"/>
      <c r="E272" s="135"/>
      <c r="F272" s="182"/>
      <c r="G272" s="182"/>
      <c r="H272" s="135"/>
      <c r="I272" s="135"/>
      <c r="J272" s="135"/>
      <c r="K272" s="135"/>
      <c r="L272" s="135"/>
      <c r="M272" s="135"/>
      <c r="N272" s="135"/>
      <c r="O272" s="135"/>
      <c r="P272" s="135"/>
    </row>
    <row r="273" customFormat="false" ht="15.75" hidden="false" customHeight="true" outlineLevel="0" collapsed="false">
      <c r="A273" s="135"/>
      <c r="B273" s="135"/>
      <c r="C273" s="135"/>
      <c r="D273" s="135"/>
      <c r="E273" s="135"/>
      <c r="F273" s="182"/>
      <c r="G273" s="182"/>
      <c r="H273" s="135"/>
      <c r="I273" s="135"/>
      <c r="J273" s="135"/>
      <c r="K273" s="135"/>
      <c r="L273" s="135"/>
      <c r="M273" s="135"/>
      <c r="N273" s="135"/>
      <c r="O273" s="135"/>
      <c r="P273" s="135"/>
    </row>
    <row r="274" customFormat="false" ht="15.75" hidden="false" customHeight="true" outlineLevel="0" collapsed="false">
      <c r="A274" s="135"/>
      <c r="B274" s="135"/>
      <c r="C274" s="135"/>
      <c r="D274" s="135"/>
      <c r="E274" s="135"/>
      <c r="F274" s="182"/>
      <c r="G274" s="182"/>
      <c r="H274" s="135"/>
      <c r="I274" s="135"/>
      <c r="J274" s="135"/>
      <c r="K274" s="135"/>
      <c r="L274" s="135"/>
      <c r="M274" s="135"/>
      <c r="N274" s="135"/>
      <c r="O274" s="135"/>
      <c r="P274" s="135"/>
    </row>
    <row r="275" customFormat="false" ht="15.75" hidden="false" customHeight="true" outlineLevel="0" collapsed="false">
      <c r="A275" s="135"/>
      <c r="B275" s="135"/>
      <c r="C275" s="135"/>
      <c r="D275" s="135"/>
      <c r="E275" s="135"/>
      <c r="F275" s="182"/>
      <c r="G275" s="182"/>
      <c r="H275" s="135"/>
      <c r="I275" s="135"/>
      <c r="J275" s="135"/>
      <c r="K275" s="135"/>
      <c r="L275" s="135"/>
      <c r="M275" s="135"/>
      <c r="N275" s="135"/>
      <c r="O275" s="135"/>
      <c r="P275" s="135"/>
    </row>
    <row r="276" customFormat="false" ht="15.75" hidden="false" customHeight="true" outlineLevel="0" collapsed="false">
      <c r="A276" s="135"/>
      <c r="B276" s="135"/>
      <c r="C276" s="135"/>
      <c r="D276" s="135"/>
      <c r="E276" s="135"/>
      <c r="F276" s="182"/>
      <c r="G276" s="182"/>
      <c r="H276" s="135"/>
      <c r="I276" s="135"/>
      <c r="J276" s="135"/>
      <c r="K276" s="135"/>
      <c r="L276" s="135"/>
      <c r="M276" s="135"/>
      <c r="N276" s="135"/>
      <c r="O276" s="135"/>
      <c r="P276" s="135"/>
    </row>
    <row r="277" customFormat="false" ht="15.75" hidden="false" customHeight="true" outlineLevel="0" collapsed="false">
      <c r="A277" s="135"/>
      <c r="B277" s="135"/>
      <c r="C277" s="135"/>
      <c r="D277" s="135"/>
      <c r="E277" s="135"/>
      <c r="F277" s="182"/>
      <c r="G277" s="182"/>
      <c r="H277" s="135"/>
      <c r="I277" s="135"/>
      <c r="J277" s="135"/>
      <c r="K277" s="135"/>
      <c r="L277" s="135"/>
      <c r="M277" s="135"/>
      <c r="N277" s="135"/>
      <c r="O277" s="135"/>
      <c r="P277" s="135"/>
    </row>
    <row r="278" customFormat="false" ht="15.75" hidden="false" customHeight="true" outlineLevel="0" collapsed="false">
      <c r="A278" s="135"/>
      <c r="B278" s="135"/>
      <c r="C278" s="135"/>
      <c r="D278" s="135"/>
      <c r="E278" s="135"/>
      <c r="F278" s="182"/>
      <c r="G278" s="182"/>
      <c r="H278" s="135"/>
      <c r="I278" s="135"/>
      <c r="J278" s="135"/>
      <c r="K278" s="135"/>
      <c r="L278" s="135"/>
      <c r="M278" s="135"/>
      <c r="N278" s="135"/>
      <c r="O278" s="135"/>
      <c r="P278" s="135"/>
    </row>
    <row r="279" customFormat="false" ht="15.75" hidden="false" customHeight="true" outlineLevel="0" collapsed="false">
      <c r="A279" s="135"/>
      <c r="B279" s="135"/>
      <c r="C279" s="135"/>
      <c r="D279" s="135"/>
      <c r="E279" s="135"/>
      <c r="F279" s="182"/>
      <c r="G279" s="182"/>
      <c r="H279" s="135"/>
      <c r="I279" s="135"/>
      <c r="J279" s="135"/>
      <c r="K279" s="135"/>
      <c r="L279" s="135"/>
      <c r="M279" s="135"/>
      <c r="N279" s="135"/>
      <c r="O279" s="135"/>
      <c r="P279" s="135"/>
    </row>
    <row r="280" customFormat="false" ht="15.75" hidden="false" customHeight="true" outlineLevel="0" collapsed="false">
      <c r="A280" s="135"/>
      <c r="B280" s="135"/>
      <c r="C280" s="135"/>
      <c r="D280" s="135"/>
      <c r="E280" s="135"/>
      <c r="F280" s="182"/>
      <c r="G280" s="182"/>
      <c r="H280" s="135"/>
      <c r="I280" s="135"/>
      <c r="J280" s="135"/>
      <c r="K280" s="135"/>
      <c r="L280" s="135"/>
      <c r="M280" s="135"/>
      <c r="N280" s="135"/>
      <c r="O280" s="135"/>
      <c r="P280" s="135"/>
    </row>
    <row r="281" customFormat="false" ht="15.75" hidden="false" customHeight="true" outlineLevel="0" collapsed="false">
      <c r="A281" s="135"/>
      <c r="B281" s="135"/>
      <c r="C281" s="135"/>
      <c r="D281" s="135"/>
      <c r="E281" s="135"/>
      <c r="F281" s="182"/>
      <c r="G281" s="182"/>
      <c r="H281" s="135"/>
      <c r="I281" s="135"/>
      <c r="J281" s="135"/>
      <c r="K281" s="135"/>
      <c r="L281" s="135"/>
      <c r="M281" s="135"/>
      <c r="N281" s="135"/>
      <c r="O281" s="135"/>
      <c r="P281" s="135"/>
    </row>
    <row r="282" customFormat="false" ht="15.75" hidden="false" customHeight="true" outlineLevel="0" collapsed="false">
      <c r="A282" s="135"/>
      <c r="B282" s="135"/>
      <c r="C282" s="135"/>
      <c r="D282" s="135"/>
      <c r="E282" s="135"/>
      <c r="F282" s="182"/>
      <c r="G282" s="182"/>
      <c r="H282" s="135"/>
      <c r="I282" s="135"/>
      <c r="J282" s="135"/>
      <c r="K282" s="135"/>
      <c r="L282" s="135"/>
      <c r="M282" s="135"/>
      <c r="N282" s="135"/>
      <c r="O282" s="135"/>
      <c r="P282" s="135"/>
    </row>
    <row r="283" customFormat="false" ht="15.75" hidden="false" customHeight="true" outlineLevel="0" collapsed="false">
      <c r="A283" s="135"/>
      <c r="B283" s="135"/>
      <c r="C283" s="135"/>
      <c r="D283" s="135"/>
      <c r="E283" s="135"/>
      <c r="F283" s="182"/>
      <c r="G283" s="182"/>
      <c r="H283" s="135"/>
      <c r="I283" s="135"/>
      <c r="J283" s="135"/>
      <c r="K283" s="135"/>
      <c r="L283" s="135"/>
      <c r="M283" s="135"/>
      <c r="N283" s="135"/>
      <c r="O283" s="135"/>
      <c r="P283" s="135"/>
    </row>
    <row r="284" customFormat="false" ht="15.75" hidden="false" customHeight="true" outlineLevel="0" collapsed="false">
      <c r="A284" s="135"/>
      <c r="B284" s="135"/>
      <c r="C284" s="135"/>
      <c r="D284" s="135"/>
      <c r="E284" s="135"/>
      <c r="F284" s="182"/>
      <c r="G284" s="182"/>
      <c r="H284" s="135"/>
      <c r="I284" s="135"/>
      <c r="J284" s="135"/>
      <c r="K284" s="135"/>
      <c r="L284" s="135"/>
      <c r="M284" s="135"/>
      <c r="N284" s="135"/>
      <c r="O284" s="135"/>
      <c r="P284" s="135"/>
    </row>
    <row r="285" customFormat="false" ht="15.75" hidden="false" customHeight="true" outlineLevel="0" collapsed="false">
      <c r="A285" s="135"/>
      <c r="B285" s="135"/>
      <c r="C285" s="135"/>
      <c r="D285" s="135"/>
      <c r="E285" s="135"/>
      <c r="F285" s="182"/>
      <c r="G285" s="182"/>
      <c r="H285" s="135"/>
      <c r="I285" s="135"/>
      <c r="J285" s="135"/>
      <c r="K285" s="135"/>
      <c r="L285" s="135"/>
      <c r="M285" s="135"/>
      <c r="N285" s="135"/>
      <c r="O285" s="135"/>
      <c r="P285" s="135"/>
    </row>
    <row r="286" customFormat="false" ht="15.75" hidden="false" customHeight="true" outlineLevel="0" collapsed="false">
      <c r="A286" s="135"/>
      <c r="B286" s="135"/>
      <c r="C286" s="135"/>
      <c r="D286" s="135"/>
      <c r="E286" s="135"/>
      <c r="F286" s="182"/>
      <c r="G286" s="182"/>
      <c r="H286" s="135"/>
      <c r="I286" s="135"/>
      <c r="J286" s="135"/>
      <c r="K286" s="135"/>
      <c r="L286" s="135"/>
      <c r="M286" s="135"/>
      <c r="N286" s="135"/>
      <c r="O286" s="135"/>
      <c r="P286" s="135"/>
    </row>
    <row r="287" customFormat="false" ht="15.75" hidden="false" customHeight="true" outlineLevel="0" collapsed="false">
      <c r="A287" s="135"/>
      <c r="B287" s="135"/>
      <c r="C287" s="135"/>
      <c r="D287" s="135"/>
      <c r="E287" s="135"/>
      <c r="F287" s="182"/>
      <c r="G287" s="182"/>
      <c r="H287" s="135"/>
      <c r="I287" s="135"/>
      <c r="J287" s="135"/>
      <c r="K287" s="135"/>
      <c r="L287" s="135"/>
      <c r="M287" s="135"/>
      <c r="N287" s="135"/>
      <c r="O287" s="135"/>
      <c r="P287" s="135"/>
    </row>
    <row r="288" customFormat="false" ht="15.75" hidden="false" customHeight="true" outlineLevel="0" collapsed="false">
      <c r="A288" s="135"/>
      <c r="B288" s="135"/>
      <c r="C288" s="135"/>
      <c r="D288" s="135"/>
      <c r="E288" s="135"/>
      <c r="F288" s="182"/>
      <c r="G288" s="182"/>
      <c r="H288" s="135"/>
      <c r="I288" s="135"/>
      <c r="J288" s="135"/>
      <c r="K288" s="135"/>
      <c r="L288" s="135"/>
      <c r="M288" s="135"/>
      <c r="N288" s="135"/>
      <c r="O288" s="135"/>
      <c r="P288" s="135"/>
    </row>
    <row r="289" customFormat="false" ht="15.75" hidden="false" customHeight="true" outlineLevel="0" collapsed="false">
      <c r="A289" s="135"/>
      <c r="B289" s="135"/>
      <c r="C289" s="135"/>
      <c r="D289" s="135"/>
      <c r="E289" s="135"/>
      <c r="F289" s="182"/>
      <c r="G289" s="182"/>
      <c r="H289" s="135"/>
      <c r="I289" s="135"/>
      <c r="J289" s="135"/>
      <c r="K289" s="135"/>
      <c r="L289" s="135"/>
      <c r="M289" s="135"/>
      <c r="N289" s="135"/>
      <c r="O289" s="135"/>
      <c r="P289" s="135"/>
    </row>
    <row r="290" customFormat="false" ht="15.75" hidden="false" customHeight="true" outlineLevel="0" collapsed="false">
      <c r="A290" s="135"/>
      <c r="B290" s="135"/>
      <c r="C290" s="135"/>
      <c r="D290" s="135"/>
      <c r="E290" s="135"/>
      <c r="F290" s="182"/>
      <c r="G290" s="182"/>
      <c r="H290" s="135"/>
      <c r="I290" s="135"/>
      <c r="J290" s="135"/>
      <c r="K290" s="135"/>
      <c r="L290" s="135"/>
      <c r="M290" s="135"/>
      <c r="N290" s="135"/>
      <c r="O290" s="135"/>
      <c r="P290" s="135"/>
    </row>
    <row r="291" customFormat="false" ht="15.75" hidden="false" customHeight="true" outlineLevel="0" collapsed="false">
      <c r="A291" s="135"/>
      <c r="B291" s="135"/>
      <c r="C291" s="135"/>
      <c r="D291" s="135"/>
      <c r="E291" s="135"/>
      <c r="F291" s="182"/>
      <c r="G291" s="182"/>
      <c r="H291" s="135"/>
      <c r="I291" s="135"/>
      <c r="J291" s="135"/>
      <c r="K291" s="135"/>
      <c r="L291" s="135"/>
      <c r="M291" s="135"/>
      <c r="N291" s="135"/>
      <c r="O291" s="135"/>
      <c r="P291" s="135"/>
    </row>
    <row r="292" customFormat="false" ht="15.75" hidden="false" customHeight="true" outlineLevel="0" collapsed="false">
      <c r="A292" s="135"/>
      <c r="B292" s="135"/>
      <c r="C292" s="135"/>
      <c r="D292" s="135"/>
      <c r="E292" s="135"/>
      <c r="F292" s="182"/>
      <c r="G292" s="182"/>
      <c r="H292" s="135"/>
      <c r="I292" s="135"/>
      <c r="J292" s="135"/>
      <c r="K292" s="135"/>
      <c r="L292" s="135"/>
      <c r="M292" s="135"/>
      <c r="N292" s="135"/>
      <c r="O292" s="135"/>
      <c r="P292" s="135"/>
    </row>
    <row r="293" customFormat="false" ht="15.75" hidden="false" customHeight="true" outlineLevel="0" collapsed="false">
      <c r="A293" s="135"/>
      <c r="B293" s="135"/>
      <c r="C293" s="135"/>
      <c r="D293" s="135"/>
      <c r="E293" s="135"/>
      <c r="F293" s="182"/>
      <c r="G293" s="182"/>
      <c r="H293" s="135"/>
      <c r="I293" s="135"/>
      <c r="J293" s="135"/>
      <c r="K293" s="135"/>
      <c r="L293" s="135"/>
      <c r="M293" s="135"/>
      <c r="N293" s="135"/>
      <c r="O293" s="135"/>
      <c r="P293" s="135"/>
    </row>
    <row r="294" customFormat="false" ht="15.75" hidden="false" customHeight="true" outlineLevel="0" collapsed="false">
      <c r="A294" s="135"/>
      <c r="B294" s="135"/>
      <c r="C294" s="135"/>
      <c r="D294" s="135"/>
      <c r="E294" s="135"/>
      <c r="F294" s="182"/>
      <c r="G294" s="182"/>
      <c r="H294" s="135"/>
      <c r="I294" s="135"/>
      <c r="J294" s="135"/>
      <c r="K294" s="135"/>
      <c r="L294" s="135"/>
      <c r="M294" s="135"/>
      <c r="N294" s="135"/>
      <c r="O294" s="135"/>
      <c r="P294" s="135"/>
    </row>
    <row r="295" customFormat="false" ht="15.75" hidden="false" customHeight="true" outlineLevel="0" collapsed="false">
      <c r="A295" s="135"/>
      <c r="B295" s="135"/>
      <c r="C295" s="135"/>
      <c r="D295" s="135"/>
      <c r="E295" s="135"/>
      <c r="F295" s="182"/>
      <c r="G295" s="182"/>
      <c r="H295" s="135"/>
      <c r="I295" s="135"/>
      <c r="J295" s="135"/>
      <c r="K295" s="135"/>
      <c r="L295" s="135"/>
      <c r="M295" s="135"/>
      <c r="N295" s="135"/>
      <c r="O295" s="135"/>
      <c r="P295" s="135"/>
    </row>
    <row r="296" customFormat="false" ht="15.75" hidden="false" customHeight="true" outlineLevel="0" collapsed="false">
      <c r="A296" s="135"/>
      <c r="B296" s="135"/>
      <c r="C296" s="135"/>
      <c r="D296" s="135"/>
      <c r="E296" s="135"/>
      <c r="F296" s="182"/>
      <c r="G296" s="182"/>
      <c r="H296" s="135"/>
      <c r="I296" s="135"/>
      <c r="J296" s="135"/>
      <c r="K296" s="135"/>
      <c r="L296" s="135"/>
      <c r="M296" s="135"/>
      <c r="N296" s="135"/>
      <c r="O296" s="135"/>
      <c r="P296" s="135"/>
    </row>
    <row r="297" customFormat="false" ht="15.75" hidden="false" customHeight="true" outlineLevel="0" collapsed="false">
      <c r="A297" s="135"/>
      <c r="B297" s="135"/>
      <c r="C297" s="135"/>
      <c r="D297" s="135"/>
      <c r="E297" s="135"/>
      <c r="F297" s="182"/>
      <c r="G297" s="182"/>
      <c r="H297" s="135"/>
      <c r="I297" s="135"/>
      <c r="J297" s="135"/>
      <c r="K297" s="135"/>
      <c r="L297" s="135"/>
      <c r="M297" s="135"/>
      <c r="N297" s="135"/>
      <c r="O297" s="135"/>
      <c r="P297" s="135"/>
    </row>
    <row r="298" customFormat="false" ht="15.75" hidden="false" customHeight="true" outlineLevel="0" collapsed="false">
      <c r="A298" s="135"/>
      <c r="B298" s="135"/>
      <c r="C298" s="135"/>
      <c r="D298" s="135"/>
      <c r="E298" s="135"/>
      <c r="F298" s="182"/>
      <c r="G298" s="182"/>
      <c r="H298" s="135"/>
      <c r="I298" s="135"/>
      <c r="J298" s="135"/>
      <c r="K298" s="135"/>
      <c r="L298" s="135"/>
      <c r="M298" s="135"/>
      <c r="N298" s="135"/>
      <c r="O298" s="135"/>
      <c r="P298" s="135"/>
    </row>
    <row r="299" customFormat="false" ht="15.75" hidden="false" customHeight="true" outlineLevel="0" collapsed="false">
      <c r="A299" s="135"/>
      <c r="B299" s="135"/>
      <c r="C299" s="135"/>
      <c r="D299" s="135"/>
      <c r="E299" s="135"/>
      <c r="F299" s="182"/>
      <c r="G299" s="182"/>
      <c r="H299" s="135"/>
      <c r="I299" s="135"/>
      <c r="J299" s="135"/>
      <c r="K299" s="135"/>
      <c r="L299" s="135"/>
      <c r="M299" s="135"/>
      <c r="N299" s="135"/>
      <c r="O299" s="135"/>
      <c r="P299" s="135"/>
    </row>
    <row r="300" customFormat="false" ht="15.75" hidden="false" customHeight="true" outlineLevel="0" collapsed="false">
      <c r="A300" s="135"/>
      <c r="B300" s="135"/>
      <c r="C300" s="135"/>
      <c r="D300" s="135"/>
      <c r="E300" s="135"/>
      <c r="F300" s="182"/>
      <c r="G300" s="182"/>
      <c r="H300" s="135"/>
      <c r="I300" s="135"/>
      <c r="J300" s="135"/>
      <c r="K300" s="135"/>
      <c r="L300" s="135"/>
      <c r="M300" s="135"/>
      <c r="N300" s="135"/>
      <c r="O300" s="135"/>
      <c r="P300" s="135"/>
    </row>
    <row r="301" customFormat="false" ht="15.75" hidden="false" customHeight="true" outlineLevel="0" collapsed="false">
      <c r="A301" s="135"/>
      <c r="B301" s="135"/>
      <c r="C301" s="135"/>
      <c r="D301" s="135"/>
      <c r="E301" s="135"/>
      <c r="F301" s="182"/>
      <c r="G301" s="182"/>
      <c r="H301" s="135"/>
      <c r="I301" s="135"/>
      <c r="J301" s="135"/>
      <c r="K301" s="135"/>
      <c r="L301" s="135"/>
      <c r="M301" s="135"/>
      <c r="N301" s="135"/>
      <c r="O301" s="135"/>
      <c r="P301" s="135"/>
    </row>
    <row r="302" customFormat="false" ht="15.75" hidden="false" customHeight="true" outlineLevel="0" collapsed="false">
      <c r="A302" s="135"/>
      <c r="B302" s="135"/>
      <c r="C302" s="135"/>
      <c r="D302" s="135"/>
      <c r="E302" s="135"/>
      <c r="F302" s="182"/>
      <c r="G302" s="182"/>
      <c r="H302" s="135"/>
      <c r="I302" s="135"/>
      <c r="J302" s="135"/>
      <c r="K302" s="135"/>
      <c r="L302" s="135"/>
      <c r="M302" s="135"/>
      <c r="N302" s="135"/>
      <c r="O302" s="135"/>
      <c r="P302" s="135"/>
    </row>
    <row r="303" customFormat="false" ht="15.75" hidden="false" customHeight="true" outlineLevel="0" collapsed="false">
      <c r="A303" s="135"/>
      <c r="B303" s="135"/>
      <c r="C303" s="135"/>
      <c r="D303" s="135"/>
      <c r="E303" s="135"/>
      <c r="F303" s="182"/>
      <c r="G303" s="182"/>
      <c r="H303" s="135"/>
      <c r="I303" s="135"/>
      <c r="J303" s="135"/>
      <c r="K303" s="135"/>
      <c r="L303" s="135"/>
      <c r="M303" s="135"/>
      <c r="N303" s="135"/>
      <c r="O303" s="135"/>
      <c r="P303" s="135"/>
    </row>
    <row r="304" customFormat="false" ht="15.75" hidden="false" customHeight="true" outlineLevel="0" collapsed="false">
      <c r="A304" s="135"/>
      <c r="B304" s="135"/>
      <c r="C304" s="135"/>
      <c r="D304" s="135"/>
      <c r="E304" s="135"/>
      <c r="F304" s="182"/>
      <c r="G304" s="182"/>
      <c r="H304" s="135"/>
      <c r="I304" s="135"/>
      <c r="J304" s="135"/>
      <c r="K304" s="135"/>
      <c r="L304" s="135"/>
      <c r="M304" s="135"/>
      <c r="N304" s="135"/>
      <c r="O304" s="135"/>
      <c r="P304" s="135"/>
    </row>
    <row r="305" customFormat="false" ht="15.75" hidden="false" customHeight="true" outlineLevel="0" collapsed="false">
      <c r="A305" s="135"/>
      <c r="B305" s="135"/>
      <c r="C305" s="135"/>
      <c r="D305" s="135"/>
      <c r="E305" s="135"/>
      <c r="F305" s="182"/>
      <c r="G305" s="182"/>
      <c r="H305" s="135"/>
      <c r="I305" s="135"/>
      <c r="J305" s="135"/>
      <c r="K305" s="135"/>
      <c r="L305" s="135"/>
      <c r="M305" s="135"/>
      <c r="N305" s="135"/>
      <c r="O305" s="135"/>
      <c r="P305" s="135"/>
    </row>
    <row r="306" customFormat="false" ht="15.75" hidden="false" customHeight="true" outlineLevel="0" collapsed="false">
      <c r="A306" s="135"/>
      <c r="B306" s="135"/>
      <c r="C306" s="135"/>
      <c r="D306" s="135"/>
      <c r="E306" s="135"/>
      <c r="F306" s="182"/>
      <c r="G306" s="182"/>
      <c r="H306" s="135"/>
      <c r="I306" s="135"/>
      <c r="J306" s="135"/>
      <c r="K306" s="135"/>
      <c r="L306" s="135"/>
      <c r="M306" s="135"/>
      <c r="N306" s="135"/>
      <c r="O306" s="135"/>
      <c r="P306" s="135"/>
    </row>
    <row r="307" customFormat="false" ht="15.75" hidden="false" customHeight="true" outlineLevel="0" collapsed="false">
      <c r="A307" s="135"/>
      <c r="B307" s="135"/>
      <c r="C307" s="135"/>
      <c r="D307" s="135"/>
      <c r="E307" s="135"/>
      <c r="F307" s="182"/>
      <c r="G307" s="182"/>
      <c r="H307" s="135"/>
      <c r="I307" s="135"/>
      <c r="J307" s="135"/>
      <c r="K307" s="135"/>
      <c r="L307" s="135"/>
      <c r="M307" s="135"/>
      <c r="N307" s="135"/>
      <c r="O307" s="135"/>
      <c r="P307" s="135"/>
    </row>
    <row r="308" customFormat="false" ht="15.75" hidden="false" customHeight="true" outlineLevel="0" collapsed="false">
      <c r="A308" s="135"/>
      <c r="B308" s="135"/>
      <c r="C308" s="135"/>
      <c r="D308" s="135"/>
      <c r="E308" s="135"/>
      <c r="F308" s="182"/>
      <c r="G308" s="182"/>
      <c r="H308" s="135"/>
      <c r="I308" s="135"/>
      <c r="J308" s="135"/>
      <c r="K308" s="135"/>
      <c r="L308" s="135"/>
      <c r="M308" s="135"/>
      <c r="N308" s="135"/>
      <c r="O308" s="135"/>
      <c r="P308" s="135"/>
    </row>
    <row r="309" customFormat="false" ht="15.75" hidden="false" customHeight="true" outlineLevel="0" collapsed="false">
      <c r="A309" s="135"/>
      <c r="B309" s="135"/>
      <c r="C309" s="135"/>
      <c r="D309" s="135"/>
      <c r="E309" s="135"/>
      <c r="F309" s="182"/>
      <c r="G309" s="182"/>
      <c r="H309" s="135"/>
      <c r="I309" s="135"/>
      <c r="J309" s="135"/>
      <c r="K309" s="135"/>
      <c r="L309" s="135"/>
      <c r="M309" s="135"/>
      <c r="N309" s="135"/>
      <c r="O309" s="135"/>
      <c r="P309" s="135"/>
    </row>
    <row r="310" customFormat="false" ht="15.75" hidden="false" customHeight="true" outlineLevel="0" collapsed="false">
      <c r="A310" s="135"/>
      <c r="B310" s="135"/>
      <c r="C310" s="135"/>
      <c r="D310" s="135"/>
      <c r="E310" s="135"/>
      <c r="F310" s="182"/>
      <c r="G310" s="182"/>
      <c r="H310" s="135"/>
      <c r="I310" s="135"/>
      <c r="J310" s="135"/>
      <c r="K310" s="135"/>
      <c r="L310" s="135"/>
      <c r="M310" s="135"/>
      <c r="N310" s="135"/>
      <c r="O310" s="135"/>
      <c r="P310" s="135"/>
    </row>
    <row r="311" customFormat="false" ht="15.75" hidden="false" customHeight="true" outlineLevel="0" collapsed="false">
      <c r="A311" s="135"/>
      <c r="B311" s="135"/>
      <c r="C311" s="135"/>
      <c r="D311" s="135"/>
      <c r="E311" s="135"/>
      <c r="F311" s="182"/>
      <c r="G311" s="182"/>
      <c r="H311" s="135"/>
      <c r="I311" s="135"/>
      <c r="J311" s="135"/>
      <c r="K311" s="135"/>
      <c r="L311" s="135"/>
      <c r="M311" s="135"/>
      <c r="N311" s="135"/>
      <c r="O311" s="135"/>
      <c r="P311" s="135"/>
    </row>
    <row r="312" customFormat="false" ht="15.75" hidden="false" customHeight="true" outlineLevel="0" collapsed="false">
      <c r="A312" s="135"/>
      <c r="B312" s="135"/>
      <c r="C312" s="135"/>
      <c r="D312" s="135"/>
      <c r="E312" s="135"/>
      <c r="F312" s="182"/>
      <c r="G312" s="182"/>
      <c r="H312" s="135"/>
      <c r="I312" s="135"/>
      <c r="J312" s="135"/>
      <c r="K312" s="135"/>
      <c r="L312" s="135"/>
      <c r="M312" s="135"/>
      <c r="N312" s="135"/>
      <c r="O312" s="135"/>
      <c r="P312" s="135"/>
    </row>
    <row r="313" customFormat="false" ht="15.75" hidden="false" customHeight="true" outlineLevel="0" collapsed="false">
      <c r="A313" s="135"/>
      <c r="B313" s="135"/>
      <c r="C313" s="135"/>
      <c r="D313" s="135"/>
      <c r="E313" s="135"/>
      <c r="F313" s="182"/>
      <c r="G313" s="182"/>
      <c r="H313" s="135"/>
      <c r="I313" s="135"/>
      <c r="J313" s="135"/>
      <c r="K313" s="135"/>
      <c r="L313" s="135"/>
      <c r="M313" s="135"/>
      <c r="N313" s="135"/>
      <c r="O313" s="135"/>
      <c r="P313" s="135"/>
    </row>
    <row r="314" customFormat="false" ht="15.75" hidden="false" customHeight="true" outlineLevel="0" collapsed="false">
      <c r="A314" s="135"/>
      <c r="B314" s="135"/>
      <c r="C314" s="135"/>
      <c r="D314" s="135"/>
      <c r="E314" s="135"/>
      <c r="F314" s="182"/>
      <c r="G314" s="182"/>
      <c r="H314" s="135"/>
      <c r="I314" s="135"/>
      <c r="J314" s="135"/>
      <c r="K314" s="135"/>
      <c r="L314" s="135"/>
      <c r="M314" s="135"/>
      <c r="N314" s="135"/>
      <c r="O314" s="135"/>
      <c r="P314" s="135"/>
    </row>
    <row r="315" customFormat="false" ht="15.75" hidden="false" customHeight="true" outlineLevel="0" collapsed="false">
      <c r="A315" s="135"/>
      <c r="B315" s="135"/>
      <c r="C315" s="135"/>
      <c r="D315" s="135"/>
      <c r="E315" s="135"/>
      <c r="F315" s="182"/>
      <c r="G315" s="182"/>
      <c r="H315" s="135"/>
      <c r="I315" s="135"/>
      <c r="J315" s="135"/>
      <c r="K315" s="135"/>
      <c r="L315" s="135"/>
      <c r="M315" s="135"/>
      <c r="N315" s="135"/>
      <c r="O315" s="135"/>
      <c r="P315" s="135"/>
    </row>
    <row r="316" customFormat="false" ht="15.75" hidden="false" customHeight="true" outlineLevel="0" collapsed="false">
      <c r="A316" s="135"/>
      <c r="B316" s="135"/>
      <c r="C316" s="135"/>
      <c r="D316" s="135"/>
      <c r="E316" s="135"/>
      <c r="F316" s="182"/>
      <c r="G316" s="182"/>
      <c r="H316" s="135"/>
      <c r="I316" s="135"/>
      <c r="J316" s="135"/>
      <c r="K316" s="135"/>
      <c r="L316" s="135"/>
      <c r="M316" s="135"/>
      <c r="N316" s="135"/>
      <c r="O316" s="135"/>
      <c r="P316" s="135"/>
    </row>
    <row r="317" customFormat="false" ht="15.75" hidden="false" customHeight="true" outlineLevel="0" collapsed="false">
      <c r="A317" s="135"/>
      <c r="B317" s="135"/>
      <c r="C317" s="135"/>
      <c r="D317" s="135"/>
      <c r="E317" s="135"/>
      <c r="F317" s="182"/>
      <c r="G317" s="182"/>
      <c r="H317" s="135"/>
      <c r="I317" s="135"/>
      <c r="J317" s="135"/>
      <c r="K317" s="135"/>
      <c r="L317" s="135"/>
      <c r="M317" s="135"/>
      <c r="N317" s="135"/>
      <c r="O317" s="135"/>
      <c r="P317" s="135"/>
    </row>
    <row r="318" customFormat="false" ht="15.75" hidden="false" customHeight="true" outlineLevel="0" collapsed="false">
      <c r="A318" s="135"/>
      <c r="B318" s="135"/>
      <c r="C318" s="135"/>
      <c r="D318" s="135"/>
      <c r="E318" s="135"/>
      <c r="F318" s="182"/>
      <c r="G318" s="182"/>
      <c r="H318" s="135"/>
      <c r="I318" s="135"/>
      <c r="J318" s="135"/>
      <c r="K318" s="135"/>
      <c r="L318" s="135"/>
      <c r="M318" s="135"/>
      <c r="N318" s="135"/>
      <c r="O318" s="135"/>
      <c r="P318" s="135"/>
    </row>
    <row r="319" customFormat="false" ht="15.75" hidden="false" customHeight="true" outlineLevel="0" collapsed="false">
      <c r="A319" s="135"/>
      <c r="B319" s="135"/>
      <c r="C319" s="135"/>
      <c r="D319" s="135"/>
      <c r="E319" s="135"/>
      <c r="F319" s="182"/>
      <c r="G319" s="182"/>
      <c r="H319" s="135"/>
      <c r="I319" s="135"/>
      <c r="J319" s="135"/>
      <c r="K319" s="135"/>
      <c r="L319" s="135"/>
      <c r="M319" s="135"/>
      <c r="N319" s="135"/>
      <c r="O319" s="135"/>
      <c r="P319" s="135"/>
    </row>
    <row r="320" customFormat="false" ht="15.75" hidden="false" customHeight="true" outlineLevel="0" collapsed="false">
      <c r="A320" s="135"/>
      <c r="B320" s="135"/>
      <c r="C320" s="135"/>
      <c r="D320" s="135"/>
      <c r="E320" s="135"/>
      <c r="F320" s="182"/>
      <c r="G320" s="182"/>
      <c r="H320" s="135"/>
      <c r="I320" s="135"/>
      <c r="J320" s="135"/>
      <c r="K320" s="135"/>
      <c r="L320" s="135"/>
      <c r="M320" s="135"/>
      <c r="N320" s="135"/>
      <c r="O320" s="135"/>
      <c r="P320" s="135"/>
    </row>
    <row r="321" customFormat="false" ht="15.75" hidden="false" customHeight="true" outlineLevel="0" collapsed="false">
      <c r="A321" s="135"/>
      <c r="B321" s="135"/>
      <c r="C321" s="135"/>
      <c r="D321" s="135"/>
      <c r="E321" s="135"/>
      <c r="F321" s="182"/>
      <c r="G321" s="182"/>
      <c r="H321" s="135"/>
      <c r="I321" s="135"/>
      <c r="J321" s="135"/>
      <c r="K321" s="135"/>
      <c r="L321" s="135"/>
      <c r="M321" s="135"/>
      <c r="N321" s="135"/>
      <c r="O321" s="135"/>
      <c r="P321" s="135"/>
    </row>
    <row r="322" customFormat="false" ht="15.75" hidden="false" customHeight="true" outlineLevel="0" collapsed="false">
      <c r="A322" s="135"/>
      <c r="B322" s="135"/>
      <c r="C322" s="135"/>
      <c r="D322" s="135"/>
      <c r="E322" s="135"/>
      <c r="F322" s="182"/>
      <c r="G322" s="182"/>
      <c r="H322" s="135"/>
      <c r="I322" s="135"/>
      <c r="J322" s="135"/>
      <c r="K322" s="135"/>
      <c r="L322" s="135"/>
      <c r="M322" s="135"/>
      <c r="N322" s="135"/>
      <c r="O322" s="135"/>
      <c r="P322" s="135"/>
    </row>
    <row r="323" customFormat="false" ht="15.75" hidden="false" customHeight="true" outlineLevel="0" collapsed="false">
      <c r="A323" s="135"/>
      <c r="B323" s="135"/>
      <c r="C323" s="135"/>
      <c r="D323" s="135"/>
      <c r="E323" s="135"/>
      <c r="F323" s="182"/>
      <c r="G323" s="182"/>
      <c r="H323" s="135"/>
      <c r="I323" s="135"/>
      <c r="J323" s="135"/>
      <c r="K323" s="135"/>
      <c r="L323" s="135"/>
      <c r="M323" s="135"/>
      <c r="N323" s="135"/>
      <c r="O323" s="135"/>
      <c r="P323" s="135"/>
    </row>
    <row r="324" customFormat="false" ht="15.75" hidden="false" customHeight="true" outlineLevel="0" collapsed="false">
      <c r="A324" s="135"/>
      <c r="B324" s="135"/>
      <c r="C324" s="135"/>
      <c r="D324" s="135"/>
      <c r="E324" s="135"/>
      <c r="F324" s="182"/>
      <c r="G324" s="182"/>
      <c r="H324" s="135"/>
      <c r="I324" s="135"/>
      <c r="J324" s="135"/>
      <c r="K324" s="135"/>
      <c r="L324" s="135"/>
      <c r="M324" s="135"/>
      <c r="N324" s="135"/>
      <c r="O324" s="135"/>
      <c r="P324" s="135"/>
    </row>
    <row r="325" customFormat="false" ht="15.75" hidden="false" customHeight="true" outlineLevel="0" collapsed="false">
      <c r="A325" s="135"/>
      <c r="B325" s="135"/>
      <c r="C325" s="135"/>
      <c r="D325" s="135"/>
      <c r="E325" s="135"/>
      <c r="F325" s="182"/>
      <c r="G325" s="182"/>
      <c r="H325" s="135"/>
      <c r="I325" s="135"/>
      <c r="J325" s="135"/>
      <c r="K325" s="135"/>
      <c r="L325" s="135"/>
      <c r="M325" s="135"/>
      <c r="N325" s="135"/>
      <c r="O325" s="135"/>
      <c r="P325" s="135"/>
    </row>
    <row r="326" customFormat="false" ht="15.75" hidden="false" customHeight="true" outlineLevel="0" collapsed="false">
      <c r="A326" s="135"/>
      <c r="B326" s="135"/>
      <c r="C326" s="135"/>
      <c r="D326" s="135"/>
      <c r="E326" s="135"/>
      <c r="F326" s="182"/>
      <c r="G326" s="182"/>
      <c r="H326" s="135"/>
      <c r="I326" s="135"/>
      <c r="J326" s="135"/>
      <c r="K326" s="135"/>
      <c r="L326" s="135"/>
      <c r="M326" s="135"/>
      <c r="N326" s="135"/>
      <c r="O326" s="135"/>
      <c r="P326" s="135"/>
    </row>
    <row r="327" customFormat="false" ht="15.75" hidden="false" customHeight="true" outlineLevel="0" collapsed="false">
      <c r="A327" s="135"/>
      <c r="B327" s="135"/>
      <c r="C327" s="135"/>
      <c r="D327" s="135"/>
      <c r="E327" s="135"/>
      <c r="F327" s="182"/>
      <c r="G327" s="182"/>
      <c r="H327" s="135"/>
      <c r="I327" s="135"/>
      <c r="J327" s="135"/>
      <c r="K327" s="135"/>
      <c r="L327" s="135"/>
      <c r="M327" s="135"/>
      <c r="N327" s="135"/>
      <c r="O327" s="135"/>
      <c r="P327" s="135"/>
    </row>
    <row r="328" customFormat="false" ht="15.75" hidden="false" customHeight="true" outlineLevel="0" collapsed="false">
      <c r="A328" s="135"/>
      <c r="B328" s="135"/>
      <c r="C328" s="135"/>
      <c r="D328" s="135"/>
      <c r="E328" s="135"/>
      <c r="F328" s="182"/>
      <c r="G328" s="182"/>
      <c r="H328" s="135"/>
      <c r="I328" s="135"/>
      <c r="J328" s="135"/>
      <c r="K328" s="135"/>
      <c r="L328" s="135"/>
      <c r="M328" s="135"/>
      <c r="N328" s="135"/>
      <c r="O328" s="135"/>
      <c r="P328" s="135"/>
    </row>
    <row r="329" customFormat="false" ht="15.75" hidden="false" customHeight="true" outlineLevel="0" collapsed="false">
      <c r="A329" s="135"/>
      <c r="B329" s="135"/>
      <c r="C329" s="135"/>
      <c r="D329" s="135"/>
      <c r="E329" s="135"/>
      <c r="F329" s="182"/>
      <c r="G329" s="182"/>
      <c r="H329" s="135"/>
      <c r="I329" s="135"/>
      <c r="J329" s="135"/>
      <c r="K329" s="135"/>
      <c r="L329" s="135"/>
      <c r="M329" s="135"/>
      <c r="N329" s="135"/>
      <c r="O329" s="135"/>
      <c r="P329" s="135"/>
    </row>
    <row r="330" customFormat="false" ht="15.75" hidden="false" customHeight="true" outlineLevel="0" collapsed="false">
      <c r="A330" s="135"/>
      <c r="B330" s="135"/>
      <c r="C330" s="135"/>
      <c r="D330" s="135"/>
      <c r="E330" s="135"/>
      <c r="F330" s="182"/>
      <c r="G330" s="182"/>
      <c r="H330" s="135"/>
      <c r="I330" s="135"/>
      <c r="J330" s="135"/>
      <c r="K330" s="135"/>
      <c r="L330" s="135"/>
      <c r="M330" s="135"/>
      <c r="N330" s="135"/>
      <c r="O330" s="135"/>
      <c r="P330" s="135"/>
    </row>
    <row r="331" customFormat="false" ht="15.75" hidden="false" customHeight="true" outlineLevel="0" collapsed="false">
      <c r="A331" s="135"/>
      <c r="B331" s="135"/>
      <c r="C331" s="135"/>
      <c r="D331" s="135"/>
      <c r="E331" s="135"/>
      <c r="F331" s="182"/>
      <c r="G331" s="182"/>
      <c r="H331" s="135"/>
      <c r="I331" s="135"/>
      <c r="J331" s="135"/>
      <c r="K331" s="135"/>
      <c r="L331" s="135"/>
      <c r="M331" s="135"/>
      <c r="N331" s="135"/>
      <c r="O331" s="135"/>
      <c r="P331" s="135"/>
    </row>
    <row r="332" customFormat="false" ht="15.75" hidden="false" customHeight="true" outlineLevel="0" collapsed="false">
      <c r="A332" s="135"/>
      <c r="B332" s="135"/>
      <c r="C332" s="135"/>
      <c r="D332" s="135"/>
      <c r="E332" s="135"/>
      <c r="F332" s="182"/>
      <c r="G332" s="182"/>
      <c r="H332" s="135"/>
      <c r="I332" s="135"/>
      <c r="J332" s="135"/>
      <c r="K332" s="135"/>
      <c r="L332" s="135"/>
      <c r="M332" s="135"/>
      <c r="N332" s="135"/>
      <c r="O332" s="135"/>
      <c r="P332" s="135"/>
    </row>
    <row r="333" customFormat="false" ht="15.75" hidden="false" customHeight="true" outlineLevel="0" collapsed="false">
      <c r="A333" s="135"/>
      <c r="B333" s="135"/>
      <c r="C333" s="135"/>
      <c r="D333" s="135"/>
      <c r="E333" s="135"/>
      <c r="F333" s="182"/>
      <c r="G333" s="182"/>
      <c r="H333" s="135"/>
      <c r="I333" s="135"/>
      <c r="J333" s="135"/>
      <c r="K333" s="135"/>
      <c r="L333" s="135"/>
      <c r="M333" s="135"/>
      <c r="N333" s="135"/>
      <c r="O333" s="135"/>
      <c r="P333" s="135"/>
    </row>
    <row r="334" customFormat="false" ht="15.75" hidden="false" customHeight="true" outlineLevel="0" collapsed="false">
      <c r="A334" s="135"/>
      <c r="B334" s="135"/>
      <c r="C334" s="135"/>
      <c r="D334" s="135"/>
      <c r="E334" s="135"/>
      <c r="F334" s="182"/>
      <c r="G334" s="182"/>
      <c r="H334" s="135"/>
      <c r="I334" s="135"/>
      <c r="J334" s="135"/>
      <c r="K334" s="135"/>
      <c r="L334" s="135"/>
      <c r="M334" s="135"/>
      <c r="N334" s="135"/>
      <c r="O334" s="135"/>
      <c r="P334" s="135"/>
    </row>
    <row r="335" customFormat="false" ht="15.75" hidden="false" customHeight="true" outlineLevel="0" collapsed="false">
      <c r="A335" s="135"/>
      <c r="B335" s="135"/>
      <c r="C335" s="135"/>
      <c r="D335" s="135"/>
      <c r="E335" s="135"/>
      <c r="F335" s="182"/>
      <c r="G335" s="182"/>
      <c r="H335" s="135"/>
      <c r="I335" s="135"/>
      <c r="J335" s="135"/>
      <c r="K335" s="135"/>
      <c r="L335" s="135"/>
      <c r="M335" s="135"/>
      <c r="N335" s="135"/>
      <c r="O335" s="135"/>
      <c r="P335" s="135"/>
    </row>
    <row r="336" customFormat="false" ht="15.75" hidden="false" customHeight="true" outlineLevel="0" collapsed="false">
      <c r="A336" s="135"/>
      <c r="B336" s="135"/>
      <c r="C336" s="135"/>
      <c r="D336" s="135"/>
      <c r="E336" s="135"/>
      <c r="F336" s="182"/>
      <c r="G336" s="182"/>
      <c r="H336" s="135"/>
      <c r="I336" s="135"/>
      <c r="J336" s="135"/>
      <c r="K336" s="135"/>
      <c r="L336" s="135"/>
      <c r="M336" s="135"/>
      <c r="N336" s="135"/>
      <c r="O336" s="135"/>
      <c r="P336" s="135"/>
    </row>
    <row r="337" customFormat="false" ht="15.75" hidden="false" customHeight="true" outlineLevel="0" collapsed="false">
      <c r="A337" s="135"/>
      <c r="B337" s="135"/>
      <c r="C337" s="135"/>
      <c r="D337" s="135"/>
      <c r="E337" s="135"/>
      <c r="F337" s="182"/>
      <c r="G337" s="182"/>
      <c r="H337" s="135"/>
      <c r="I337" s="135"/>
      <c r="J337" s="135"/>
      <c r="K337" s="135"/>
      <c r="L337" s="135"/>
      <c r="M337" s="135"/>
      <c r="N337" s="135"/>
      <c r="O337" s="135"/>
      <c r="P337" s="135"/>
    </row>
    <row r="338" customFormat="false" ht="15.75" hidden="false" customHeight="true" outlineLevel="0" collapsed="false">
      <c r="A338" s="135"/>
      <c r="B338" s="135"/>
      <c r="C338" s="135"/>
      <c r="D338" s="135"/>
      <c r="E338" s="135"/>
      <c r="F338" s="182"/>
      <c r="G338" s="182"/>
      <c r="H338" s="135"/>
      <c r="I338" s="135"/>
      <c r="J338" s="135"/>
      <c r="K338" s="135"/>
      <c r="L338" s="135"/>
      <c r="M338" s="135"/>
      <c r="N338" s="135"/>
      <c r="O338" s="135"/>
      <c r="P338" s="135"/>
    </row>
    <row r="339" customFormat="false" ht="15.75" hidden="false" customHeight="true" outlineLevel="0" collapsed="false">
      <c r="A339" s="135"/>
      <c r="B339" s="135"/>
      <c r="C339" s="135"/>
      <c r="D339" s="135"/>
      <c r="E339" s="135"/>
      <c r="F339" s="182"/>
      <c r="G339" s="182"/>
      <c r="H339" s="135"/>
      <c r="I339" s="135"/>
      <c r="J339" s="135"/>
      <c r="K339" s="135"/>
      <c r="L339" s="135"/>
      <c r="M339" s="135"/>
      <c r="N339" s="135"/>
      <c r="O339" s="135"/>
      <c r="P339" s="135"/>
    </row>
    <row r="340" customFormat="false" ht="15.75" hidden="false" customHeight="true" outlineLevel="0" collapsed="false">
      <c r="A340" s="135"/>
      <c r="B340" s="135"/>
      <c r="C340" s="135"/>
      <c r="D340" s="135"/>
      <c r="E340" s="135"/>
      <c r="F340" s="182"/>
      <c r="G340" s="182"/>
      <c r="H340" s="135"/>
      <c r="I340" s="135"/>
      <c r="J340" s="135"/>
      <c r="K340" s="135"/>
      <c r="L340" s="135"/>
      <c r="M340" s="135"/>
      <c r="N340" s="135"/>
      <c r="O340" s="135"/>
      <c r="P340" s="135"/>
    </row>
    <row r="341" customFormat="false" ht="15.75" hidden="false" customHeight="true" outlineLevel="0" collapsed="false">
      <c r="A341" s="135"/>
      <c r="B341" s="135"/>
      <c r="C341" s="135"/>
      <c r="D341" s="135"/>
      <c r="E341" s="135"/>
      <c r="F341" s="182"/>
      <c r="G341" s="182"/>
      <c r="H341" s="135"/>
      <c r="I341" s="135"/>
      <c r="J341" s="135"/>
      <c r="K341" s="135"/>
      <c r="L341" s="135"/>
      <c r="M341" s="135"/>
      <c r="N341" s="135"/>
      <c r="O341" s="135"/>
      <c r="P341" s="135"/>
    </row>
    <row r="342" customFormat="false" ht="15.75" hidden="false" customHeight="true" outlineLevel="0" collapsed="false">
      <c r="A342" s="135"/>
      <c r="B342" s="135"/>
      <c r="C342" s="135"/>
      <c r="D342" s="135"/>
      <c r="E342" s="135"/>
      <c r="F342" s="182"/>
      <c r="G342" s="182"/>
      <c r="H342" s="135"/>
      <c r="I342" s="135"/>
      <c r="J342" s="135"/>
      <c r="K342" s="135"/>
      <c r="L342" s="135"/>
      <c r="M342" s="135"/>
      <c r="N342" s="135"/>
      <c r="O342" s="135"/>
      <c r="P342" s="135"/>
    </row>
    <row r="343" customFormat="false" ht="15.75" hidden="false" customHeight="true" outlineLevel="0" collapsed="false">
      <c r="A343" s="135"/>
      <c r="B343" s="135"/>
      <c r="C343" s="135"/>
      <c r="D343" s="135"/>
      <c r="E343" s="135"/>
      <c r="F343" s="182"/>
      <c r="G343" s="182"/>
      <c r="H343" s="135"/>
      <c r="I343" s="135"/>
      <c r="J343" s="135"/>
      <c r="K343" s="135"/>
      <c r="L343" s="135"/>
      <c r="M343" s="135"/>
      <c r="N343" s="135"/>
      <c r="O343" s="135"/>
      <c r="P343" s="135"/>
    </row>
    <row r="344" customFormat="false" ht="15.75" hidden="false" customHeight="true" outlineLevel="0" collapsed="false">
      <c r="A344" s="135"/>
      <c r="B344" s="135"/>
      <c r="C344" s="135"/>
      <c r="D344" s="135"/>
      <c r="E344" s="135"/>
      <c r="F344" s="182"/>
      <c r="G344" s="182"/>
      <c r="H344" s="135"/>
      <c r="I344" s="135"/>
      <c r="J344" s="135"/>
      <c r="K344" s="135"/>
      <c r="L344" s="135"/>
      <c r="M344" s="135"/>
      <c r="N344" s="135"/>
      <c r="O344" s="135"/>
      <c r="P344" s="135"/>
    </row>
    <row r="345" customFormat="false" ht="15.75" hidden="false" customHeight="true" outlineLevel="0" collapsed="false">
      <c r="A345" s="135"/>
      <c r="B345" s="135"/>
      <c r="C345" s="135"/>
      <c r="D345" s="135"/>
      <c r="E345" s="135"/>
      <c r="F345" s="182"/>
      <c r="G345" s="182"/>
      <c r="H345" s="135"/>
      <c r="I345" s="135"/>
      <c r="J345" s="135"/>
      <c r="K345" s="135"/>
      <c r="L345" s="135"/>
      <c r="M345" s="135"/>
      <c r="N345" s="135"/>
      <c r="O345" s="135"/>
      <c r="P345" s="135"/>
    </row>
    <row r="346" customFormat="false" ht="15.75" hidden="false" customHeight="true" outlineLevel="0" collapsed="false">
      <c r="A346" s="135"/>
      <c r="B346" s="135"/>
      <c r="C346" s="135"/>
      <c r="D346" s="135"/>
      <c r="E346" s="135"/>
      <c r="F346" s="182"/>
      <c r="G346" s="182"/>
      <c r="H346" s="135"/>
      <c r="I346" s="135"/>
      <c r="J346" s="135"/>
      <c r="K346" s="135"/>
      <c r="L346" s="135"/>
      <c r="M346" s="135"/>
      <c r="N346" s="135"/>
      <c r="O346" s="135"/>
      <c r="P346" s="135"/>
    </row>
    <row r="347" customFormat="false" ht="15.75" hidden="false" customHeight="true" outlineLevel="0" collapsed="false">
      <c r="A347" s="135"/>
      <c r="B347" s="135"/>
      <c r="C347" s="135"/>
      <c r="D347" s="135"/>
      <c r="E347" s="135"/>
      <c r="F347" s="182"/>
      <c r="G347" s="182"/>
      <c r="H347" s="135"/>
      <c r="I347" s="135"/>
      <c r="J347" s="135"/>
      <c r="K347" s="135"/>
      <c r="L347" s="135"/>
      <c r="M347" s="135"/>
      <c r="N347" s="135"/>
      <c r="O347" s="135"/>
      <c r="P347" s="135"/>
    </row>
    <row r="348" customFormat="false" ht="15.75" hidden="false" customHeight="true" outlineLevel="0" collapsed="false">
      <c r="A348" s="135"/>
      <c r="B348" s="135"/>
      <c r="C348" s="135"/>
      <c r="D348" s="135"/>
      <c r="E348" s="135"/>
      <c r="F348" s="182"/>
      <c r="G348" s="182"/>
      <c r="H348" s="135"/>
      <c r="I348" s="135"/>
      <c r="J348" s="135"/>
      <c r="K348" s="135"/>
      <c r="L348" s="135"/>
      <c r="M348" s="135"/>
      <c r="N348" s="135"/>
      <c r="O348" s="135"/>
      <c r="P348" s="135"/>
    </row>
    <row r="349" customFormat="false" ht="15.75" hidden="false" customHeight="true" outlineLevel="0" collapsed="false">
      <c r="A349" s="135"/>
      <c r="B349" s="135"/>
      <c r="C349" s="135"/>
      <c r="D349" s="135"/>
      <c r="E349" s="135"/>
      <c r="F349" s="182"/>
      <c r="G349" s="182"/>
      <c r="H349" s="135"/>
      <c r="I349" s="135"/>
      <c r="J349" s="135"/>
      <c r="K349" s="135"/>
      <c r="L349" s="135"/>
      <c r="M349" s="135"/>
      <c r="N349" s="135"/>
      <c r="O349" s="135"/>
      <c r="P349" s="135"/>
    </row>
    <row r="350" customFormat="false" ht="15.75" hidden="false" customHeight="true" outlineLevel="0" collapsed="false">
      <c r="A350" s="135"/>
      <c r="B350" s="135"/>
      <c r="C350" s="135"/>
      <c r="D350" s="135"/>
      <c r="E350" s="135"/>
      <c r="F350" s="182"/>
      <c r="G350" s="182"/>
      <c r="H350" s="135"/>
      <c r="I350" s="135"/>
      <c r="J350" s="135"/>
      <c r="K350" s="135"/>
      <c r="L350" s="135"/>
      <c r="M350" s="135"/>
      <c r="N350" s="135"/>
      <c r="O350" s="135"/>
      <c r="P350" s="135"/>
    </row>
    <row r="351" customFormat="false" ht="15.75" hidden="false" customHeight="true" outlineLevel="0" collapsed="false">
      <c r="A351" s="135"/>
      <c r="B351" s="135"/>
      <c r="C351" s="135"/>
      <c r="D351" s="135"/>
      <c r="E351" s="135"/>
      <c r="F351" s="182"/>
      <c r="G351" s="182"/>
      <c r="H351" s="135"/>
      <c r="I351" s="135"/>
      <c r="J351" s="135"/>
      <c r="K351" s="135"/>
      <c r="L351" s="135"/>
      <c r="M351" s="135"/>
      <c r="N351" s="135"/>
      <c r="O351" s="135"/>
      <c r="P351" s="135"/>
    </row>
    <row r="352" customFormat="false" ht="15.75" hidden="false" customHeight="true" outlineLevel="0" collapsed="false">
      <c r="A352" s="135"/>
      <c r="B352" s="135"/>
      <c r="C352" s="135"/>
      <c r="D352" s="135"/>
      <c r="E352" s="135"/>
      <c r="F352" s="182"/>
      <c r="G352" s="182"/>
      <c r="H352" s="135"/>
      <c r="I352" s="135"/>
      <c r="J352" s="135"/>
      <c r="K352" s="135"/>
      <c r="L352" s="135"/>
      <c r="M352" s="135"/>
      <c r="N352" s="135"/>
      <c r="O352" s="135"/>
      <c r="P352" s="135"/>
    </row>
    <row r="353" customFormat="false" ht="15.75" hidden="false" customHeight="true" outlineLevel="0" collapsed="false">
      <c r="A353" s="135"/>
      <c r="B353" s="135"/>
      <c r="C353" s="135"/>
      <c r="D353" s="135"/>
      <c r="E353" s="135"/>
      <c r="F353" s="182"/>
      <c r="G353" s="182"/>
      <c r="H353" s="135"/>
      <c r="I353" s="135"/>
      <c r="J353" s="135"/>
      <c r="K353" s="135"/>
      <c r="L353" s="135"/>
      <c r="M353" s="135"/>
      <c r="N353" s="135"/>
      <c r="O353" s="135"/>
      <c r="P353" s="135"/>
    </row>
    <row r="354" customFormat="false" ht="15.75" hidden="false" customHeight="true" outlineLevel="0" collapsed="false">
      <c r="A354" s="135"/>
      <c r="B354" s="135"/>
      <c r="C354" s="135"/>
      <c r="D354" s="135"/>
      <c r="E354" s="135"/>
      <c r="F354" s="182"/>
      <c r="G354" s="182"/>
      <c r="H354" s="135"/>
      <c r="I354" s="135"/>
      <c r="J354" s="135"/>
      <c r="K354" s="135"/>
      <c r="L354" s="135"/>
      <c r="M354" s="135"/>
      <c r="N354" s="135"/>
      <c r="O354" s="135"/>
      <c r="P354" s="135"/>
    </row>
    <row r="355" customFormat="false" ht="15.75" hidden="false" customHeight="true" outlineLevel="0" collapsed="false">
      <c r="A355" s="135"/>
      <c r="B355" s="135"/>
      <c r="C355" s="135"/>
      <c r="D355" s="135"/>
      <c r="E355" s="135"/>
      <c r="F355" s="182"/>
      <c r="G355" s="182"/>
      <c r="H355" s="135"/>
      <c r="I355" s="135"/>
      <c r="J355" s="135"/>
      <c r="K355" s="135"/>
      <c r="L355" s="135"/>
      <c r="M355" s="135"/>
      <c r="N355" s="135"/>
      <c r="O355" s="135"/>
      <c r="P355" s="135"/>
    </row>
    <row r="356" customFormat="false" ht="15.75" hidden="false" customHeight="true" outlineLevel="0" collapsed="false">
      <c r="A356" s="135"/>
      <c r="B356" s="135"/>
      <c r="C356" s="135"/>
      <c r="D356" s="135"/>
      <c r="E356" s="135"/>
      <c r="F356" s="182"/>
      <c r="G356" s="182"/>
      <c r="H356" s="135"/>
      <c r="I356" s="135"/>
      <c r="J356" s="135"/>
      <c r="K356" s="135"/>
      <c r="L356" s="135"/>
      <c r="M356" s="135"/>
      <c r="N356" s="135"/>
      <c r="O356" s="135"/>
      <c r="P356" s="135"/>
    </row>
    <row r="357" customFormat="false" ht="15.75" hidden="false" customHeight="true" outlineLevel="0" collapsed="false">
      <c r="A357" s="135"/>
      <c r="B357" s="135"/>
      <c r="C357" s="135"/>
      <c r="D357" s="135"/>
      <c r="E357" s="135"/>
      <c r="F357" s="182"/>
      <c r="G357" s="182"/>
      <c r="H357" s="135"/>
      <c r="I357" s="135"/>
      <c r="J357" s="135"/>
      <c r="K357" s="135"/>
      <c r="L357" s="135"/>
      <c r="M357" s="135"/>
      <c r="N357" s="135"/>
      <c r="O357" s="135"/>
      <c r="P357" s="135"/>
    </row>
    <row r="358" customFormat="false" ht="15.75" hidden="false" customHeight="true" outlineLevel="0" collapsed="false">
      <c r="A358" s="135"/>
      <c r="B358" s="135"/>
      <c r="C358" s="135"/>
      <c r="D358" s="135"/>
      <c r="E358" s="135"/>
      <c r="F358" s="182"/>
      <c r="G358" s="182"/>
      <c r="H358" s="135"/>
      <c r="I358" s="135"/>
      <c r="J358" s="135"/>
      <c r="K358" s="135"/>
      <c r="L358" s="135"/>
      <c r="M358" s="135"/>
      <c r="N358" s="135"/>
      <c r="O358" s="135"/>
      <c r="P358" s="135"/>
    </row>
    <row r="359" customFormat="false" ht="15.75" hidden="false" customHeight="true" outlineLevel="0" collapsed="false">
      <c r="A359" s="135"/>
      <c r="B359" s="135"/>
      <c r="C359" s="135"/>
      <c r="D359" s="135"/>
      <c r="E359" s="135"/>
      <c r="F359" s="182"/>
      <c r="G359" s="182"/>
      <c r="H359" s="135"/>
      <c r="I359" s="135"/>
      <c r="J359" s="135"/>
      <c r="K359" s="135"/>
      <c r="L359" s="135"/>
      <c r="M359" s="135"/>
      <c r="N359" s="135"/>
      <c r="O359" s="135"/>
      <c r="P359" s="135"/>
    </row>
    <row r="360" customFormat="false" ht="15.75" hidden="false" customHeight="true" outlineLevel="0" collapsed="false">
      <c r="A360" s="135"/>
      <c r="B360" s="135"/>
      <c r="C360" s="135"/>
      <c r="D360" s="135"/>
      <c r="E360" s="135"/>
      <c r="F360" s="182"/>
      <c r="G360" s="182"/>
      <c r="H360" s="135"/>
      <c r="I360" s="135"/>
      <c r="J360" s="135"/>
      <c r="K360" s="135"/>
      <c r="L360" s="135"/>
      <c r="M360" s="135"/>
      <c r="N360" s="135"/>
      <c r="O360" s="135"/>
      <c r="P360" s="135"/>
    </row>
    <row r="361" customFormat="false" ht="15.75" hidden="false" customHeight="true" outlineLevel="0" collapsed="false">
      <c r="A361" s="135"/>
      <c r="B361" s="135"/>
      <c r="C361" s="135"/>
      <c r="D361" s="135"/>
      <c r="E361" s="135"/>
      <c r="F361" s="182"/>
      <c r="G361" s="182"/>
      <c r="H361" s="135"/>
      <c r="I361" s="135"/>
      <c r="J361" s="135"/>
      <c r="K361" s="135"/>
      <c r="L361" s="135"/>
      <c r="M361" s="135"/>
      <c r="N361" s="135"/>
      <c r="O361" s="135"/>
      <c r="P361" s="135"/>
    </row>
    <row r="362" customFormat="false" ht="15.75" hidden="false" customHeight="true" outlineLevel="0" collapsed="false">
      <c r="A362" s="135"/>
      <c r="B362" s="135"/>
      <c r="C362" s="135"/>
      <c r="D362" s="135"/>
      <c r="E362" s="135"/>
      <c r="F362" s="182"/>
      <c r="G362" s="182"/>
      <c r="H362" s="135"/>
      <c r="I362" s="135"/>
      <c r="J362" s="135"/>
      <c r="K362" s="135"/>
      <c r="L362" s="135"/>
      <c r="M362" s="135"/>
      <c r="N362" s="135"/>
      <c r="O362" s="135"/>
      <c r="P362" s="135"/>
    </row>
    <row r="363" customFormat="false" ht="15.75" hidden="false" customHeight="true" outlineLevel="0" collapsed="false">
      <c r="A363" s="135"/>
      <c r="B363" s="135"/>
      <c r="C363" s="135"/>
      <c r="D363" s="135"/>
      <c r="E363" s="135"/>
      <c r="F363" s="182"/>
      <c r="G363" s="182"/>
      <c r="H363" s="135"/>
      <c r="I363" s="135"/>
      <c r="J363" s="135"/>
      <c r="K363" s="135"/>
      <c r="L363" s="135"/>
      <c r="M363" s="135"/>
      <c r="N363" s="135"/>
      <c r="O363" s="135"/>
      <c r="P363" s="135"/>
    </row>
    <row r="364" customFormat="false" ht="15.75" hidden="false" customHeight="true" outlineLevel="0" collapsed="false">
      <c r="A364" s="135"/>
      <c r="B364" s="135"/>
      <c r="C364" s="135"/>
      <c r="D364" s="135"/>
      <c r="E364" s="135"/>
      <c r="F364" s="182"/>
      <c r="G364" s="182"/>
      <c r="H364" s="135"/>
      <c r="I364" s="135"/>
      <c r="J364" s="135"/>
      <c r="K364" s="135"/>
      <c r="L364" s="135"/>
      <c r="M364" s="135"/>
      <c r="N364" s="135"/>
      <c r="O364" s="135"/>
      <c r="P364" s="135"/>
    </row>
    <row r="365" customFormat="false" ht="15.75" hidden="false" customHeight="true" outlineLevel="0" collapsed="false">
      <c r="A365" s="135"/>
      <c r="B365" s="135"/>
      <c r="C365" s="135"/>
      <c r="D365" s="135"/>
      <c r="E365" s="135"/>
      <c r="F365" s="182"/>
      <c r="G365" s="182"/>
      <c r="H365" s="135"/>
      <c r="I365" s="135"/>
      <c r="J365" s="135"/>
      <c r="K365" s="135"/>
      <c r="L365" s="135"/>
      <c r="M365" s="135"/>
      <c r="N365" s="135"/>
      <c r="O365" s="135"/>
      <c r="P365" s="135"/>
    </row>
    <row r="366" customFormat="false" ht="15.75" hidden="false" customHeight="true" outlineLevel="0" collapsed="false">
      <c r="A366" s="135"/>
      <c r="B366" s="135"/>
      <c r="C366" s="135"/>
      <c r="D366" s="135"/>
      <c r="E366" s="135"/>
      <c r="F366" s="182"/>
      <c r="G366" s="182"/>
      <c r="H366" s="135"/>
      <c r="I366" s="135"/>
      <c r="J366" s="135"/>
      <c r="K366" s="135"/>
      <c r="L366" s="135"/>
      <c r="M366" s="135"/>
      <c r="N366" s="135"/>
      <c r="O366" s="135"/>
      <c r="P366" s="135"/>
    </row>
    <row r="367" customFormat="false" ht="15.75" hidden="false" customHeight="true" outlineLevel="0" collapsed="false">
      <c r="A367" s="135"/>
      <c r="B367" s="135"/>
      <c r="C367" s="135"/>
      <c r="D367" s="135"/>
      <c r="E367" s="135"/>
      <c r="F367" s="182"/>
      <c r="G367" s="182"/>
      <c r="H367" s="135"/>
      <c r="I367" s="135"/>
      <c r="J367" s="135"/>
      <c r="K367" s="135"/>
      <c r="L367" s="135"/>
      <c r="M367" s="135"/>
      <c r="N367" s="135"/>
      <c r="O367" s="135"/>
      <c r="P367" s="135"/>
    </row>
    <row r="368" customFormat="false" ht="15.75" hidden="false" customHeight="true" outlineLevel="0" collapsed="false">
      <c r="A368" s="135"/>
      <c r="B368" s="135"/>
      <c r="C368" s="135"/>
      <c r="D368" s="135"/>
      <c r="E368" s="135"/>
      <c r="F368" s="182"/>
      <c r="G368" s="182"/>
      <c r="H368" s="135"/>
      <c r="I368" s="135"/>
      <c r="J368" s="135"/>
      <c r="K368" s="135"/>
      <c r="L368" s="135"/>
      <c r="M368" s="135"/>
      <c r="N368" s="135"/>
      <c r="O368" s="135"/>
      <c r="P368" s="135"/>
    </row>
    <row r="369" customFormat="false" ht="15.75" hidden="false" customHeight="true" outlineLevel="0" collapsed="false">
      <c r="A369" s="135"/>
      <c r="B369" s="135"/>
      <c r="C369" s="135"/>
      <c r="D369" s="135"/>
      <c r="E369" s="135"/>
      <c r="F369" s="182"/>
      <c r="G369" s="182"/>
      <c r="H369" s="135"/>
      <c r="I369" s="135"/>
      <c r="J369" s="135"/>
      <c r="K369" s="135"/>
      <c r="L369" s="135"/>
      <c r="M369" s="135"/>
      <c r="N369" s="135"/>
      <c r="O369" s="135"/>
      <c r="P369" s="135"/>
    </row>
    <row r="370" customFormat="false" ht="15.75" hidden="false" customHeight="true" outlineLevel="0" collapsed="false">
      <c r="A370" s="135"/>
      <c r="B370" s="135"/>
      <c r="C370" s="135"/>
      <c r="D370" s="135"/>
      <c r="E370" s="135"/>
      <c r="F370" s="182"/>
      <c r="G370" s="182"/>
      <c r="H370" s="135"/>
      <c r="I370" s="135"/>
      <c r="J370" s="135"/>
      <c r="K370" s="135"/>
      <c r="L370" s="135"/>
      <c r="M370" s="135"/>
      <c r="N370" s="135"/>
      <c r="O370" s="135"/>
      <c r="P370" s="135"/>
    </row>
    <row r="371" customFormat="false" ht="15.75" hidden="false" customHeight="true" outlineLevel="0" collapsed="false">
      <c r="A371" s="135"/>
      <c r="B371" s="135"/>
      <c r="C371" s="135"/>
      <c r="D371" s="135"/>
      <c r="E371" s="135"/>
      <c r="F371" s="182"/>
      <c r="G371" s="182"/>
      <c r="H371" s="135"/>
      <c r="I371" s="135"/>
      <c r="J371" s="135"/>
      <c r="K371" s="135"/>
      <c r="L371" s="135"/>
      <c r="M371" s="135"/>
      <c r="N371" s="135"/>
      <c r="O371" s="135"/>
      <c r="P371" s="135"/>
    </row>
    <row r="372" customFormat="false" ht="15.75" hidden="false" customHeight="true" outlineLevel="0" collapsed="false">
      <c r="A372" s="135"/>
      <c r="B372" s="135"/>
      <c r="C372" s="135"/>
      <c r="D372" s="135"/>
      <c r="E372" s="135"/>
      <c r="F372" s="182"/>
      <c r="G372" s="182"/>
      <c r="H372" s="135"/>
      <c r="I372" s="135"/>
      <c r="J372" s="135"/>
      <c r="K372" s="135"/>
      <c r="L372" s="135"/>
      <c r="M372" s="135"/>
      <c r="N372" s="135"/>
      <c r="O372" s="135"/>
      <c r="P372" s="135"/>
    </row>
    <row r="373" customFormat="false" ht="15.75" hidden="false" customHeight="true" outlineLevel="0" collapsed="false">
      <c r="A373" s="135"/>
      <c r="B373" s="135"/>
      <c r="C373" s="135"/>
      <c r="D373" s="135"/>
      <c r="E373" s="135"/>
      <c r="F373" s="182"/>
      <c r="G373" s="182"/>
      <c r="H373" s="135"/>
      <c r="I373" s="135"/>
      <c r="J373" s="135"/>
      <c r="K373" s="135"/>
      <c r="L373" s="135"/>
      <c r="M373" s="135"/>
      <c r="N373" s="135"/>
      <c r="O373" s="135"/>
      <c r="P373" s="135"/>
    </row>
    <row r="374" customFormat="false" ht="15.75" hidden="false" customHeight="true" outlineLevel="0" collapsed="false">
      <c r="A374" s="135"/>
      <c r="B374" s="135"/>
      <c r="C374" s="135"/>
      <c r="D374" s="135"/>
      <c r="E374" s="135"/>
      <c r="F374" s="182"/>
      <c r="G374" s="182"/>
      <c r="H374" s="135"/>
      <c r="I374" s="135"/>
      <c r="J374" s="135"/>
      <c r="K374" s="135"/>
      <c r="L374" s="135"/>
      <c r="M374" s="135"/>
      <c r="N374" s="135"/>
      <c r="O374" s="135"/>
      <c r="P374" s="135"/>
    </row>
    <row r="375" customFormat="false" ht="15.75" hidden="false" customHeight="true" outlineLevel="0" collapsed="false">
      <c r="A375" s="135"/>
      <c r="B375" s="135"/>
      <c r="C375" s="135"/>
      <c r="D375" s="135"/>
      <c r="E375" s="135"/>
      <c r="F375" s="182"/>
      <c r="G375" s="182"/>
      <c r="H375" s="135"/>
      <c r="I375" s="135"/>
      <c r="J375" s="135"/>
      <c r="K375" s="135"/>
      <c r="L375" s="135"/>
      <c r="M375" s="135"/>
      <c r="N375" s="135"/>
      <c r="O375" s="135"/>
      <c r="P375" s="135"/>
    </row>
    <row r="376" customFormat="false" ht="15.75" hidden="false" customHeight="true" outlineLevel="0" collapsed="false">
      <c r="A376" s="135"/>
      <c r="B376" s="135"/>
      <c r="C376" s="135"/>
      <c r="D376" s="135"/>
      <c r="E376" s="135"/>
      <c r="F376" s="182"/>
      <c r="G376" s="182"/>
      <c r="H376" s="135"/>
      <c r="I376" s="135"/>
      <c r="J376" s="135"/>
      <c r="K376" s="135"/>
      <c r="L376" s="135"/>
      <c r="M376" s="135"/>
      <c r="N376" s="135"/>
      <c r="O376" s="135"/>
      <c r="P376" s="135"/>
    </row>
    <row r="377" customFormat="false" ht="15.75" hidden="false" customHeight="true" outlineLevel="0" collapsed="false">
      <c r="A377" s="135"/>
      <c r="B377" s="135"/>
      <c r="C377" s="135"/>
      <c r="D377" s="135"/>
      <c r="E377" s="135"/>
      <c r="F377" s="182"/>
      <c r="G377" s="182"/>
      <c r="H377" s="135"/>
      <c r="I377" s="135"/>
      <c r="J377" s="135"/>
      <c r="K377" s="135"/>
      <c r="L377" s="135"/>
      <c r="M377" s="135"/>
      <c r="N377" s="135"/>
      <c r="O377" s="135"/>
      <c r="P377" s="135"/>
    </row>
    <row r="378" customFormat="false" ht="15.75" hidden="false" customHeight="true" outlineLevel="0" collapsed="false">
      <c r="A378" s="135"/>
      <c r="B378" s="135"/>
      <c r="C378" s="135"/>
      <c r="D378" s="135"/>
      <c r="E378" s="135"/>
      <c r="F378" s="182"/>
      <c r="G378" s="182"/>
      <c r="H378" s="135"/>
      <c r="I378" s="135"/>
      <c r="J378" s="135"/>
      <c r="K378" s="135"/>
      <c r="L378" s="135"/>
      <c r="M378" s="135"/>
      <c r="N378" s="135"/>
      <c r="O378" s="135"/>
      <c r="P378" s="135"/>
    </row>
    <row r="379" customFormat="false" ht="15.75" hidden="false" customHeight="true" outlineLevel="0" collapsed="false">
      <c r="A379" s="135"/>
      <c r="B379" s="135"/>
      <c r="C379" s="135"/>
      <c r="D379" s="135"/>
      <c r="E379" s="135"/>
      <c r="F379" s="182"/>
      <c r="G379" s="182"/>
      <c r="H379" s="135"/>
      <c r="I379" s="135"/>
      <c r="J379" s="135"/>
      <c r="K379" s="135"/>
      <c r="L379" s="135"/>
      <c r="M379" s="135"/>
      <c r="N379" s="135"/>
      <c r="O379" s="135"/>
      <c r="P379" s="135"/>
    </row>
    <row r="380" customFormat="false" ht="15.75" hidden="false" customHeight="true" outlineLevel="0" collapsed="false">
      <c r="A380" s="135"/>
      <c r="B380" s="135"/>
      <c r="C380" s="135"/>
      <c r="D380" s="135"/>
      <c r="E380" s="135"/>
      <c r="F380" s="182"/>
      <c r="G380" s="182"/>
      <c r="H380" s="135"/>
      <c r="I380" s="135"/>
      <c r="J380" s="135"/>
      <c r="K380" s="135"/>
      <c r="L380" s="135"/>
      <c r="M380" s="135"/>
      <c r="N380" s="135"/>
      <c r="O380" s="135"/>
      <c r="P380" s="135"/>
    </row>
    <row r="381" customFormat="false" ht="15.75" hidden="false" customHeight="true" outlineLevel="0" collapsed="false">
      <c r="A381" s="135"/>
      <c r="B381" s="135"/>
      <c r="C381" s="135"/>
      <c r="D381" s="135"/>
      <c r="E381" s="135"/>
      <c r="F381" s="182"/>
      <c r="G381" s="182"/>
      <c r="H381" s="135"/>
      <c r="I381" s="135"/>
      <c r="J381" s="135"/>
      <c r="K381" s="135"/>
      <c r="L381" s="135"/>
      <c r="M381" s="135"/>
      <c r="N381" s="135"/>
      <c r="O381" s="135"/>
      <c r="P381" s="135"/>
    </row>
    <row r="382" customFormat="false" ht="15.75" hidden="false" customHeight="true" outlineLevel="0" collapsed="false">
      <c r="A382" s="135"/>
      <c r="B382" s="135"/>
      <c r="C382" s="135"/>
      <c r="D382" s="135"/>
      <c r="E382" s="135"/>
      <c r="F382" s="182"/>
      <c r="G382" s="182"/>
      <c r="H382" s="135"/>
      <c r="I382" s="135"/>
      <c r="J382" s="135"/>
      <c r="K382" s="135"/>
      <c r="L382" s="135"/>
      <c r="M382" s="135"/>
      <c r="N382" s="135"/>
      <c r="O382" s="135"/>
      <c r="P382" s="135"/>
    </row>
    <row r="383" customFormat="false" ht="15.75" hidden="false" customHeight="true" outlineLevel="0" collapsed="false">
      <c r="A383" s="135"/>
      <c r="B383" s="135"/>
      <c r="C383" s="135"/>
      <c r="D383" s="135"/>
      <c r="E383" s="135"/>
      <c r="F383" s="182"/>
      <c r="G383" s="182"/>
      <c r="H383" s="135"/>
      <c r="I383" s="135"/>
      <c r="J383" s="135"/>
      <c r="K383" s="135"/>
      <c r="L383" s="135"/>
      <c r="M383" s="135"/>
      <c r="N383" s="135"/>
      <c r="O383" s="135"/>
      <c r="P383" s="135"/>
    </row>
    <row r="384" customFormat="false" ht="15.75" hidden="false" customHeight="true" outlineLevel="0" collapsed="false">
      <c r="A384" s="135"/>
      <c r="B384" s="135"/>
      <c r="C384" s="135"/>
      <c r="D384" s="135"/>
      <c r="E384" s="135"/>
      <c r="F384" s="182"/>
      <c r="G384" s="182"/>
      <c r="H384" s="135"/>
      <c r="I384" s="135"/>
      <c r="J384" s="135"/>
      <c r="K384" s="135"/>
      <c r="L384" s="135"/>
      <c r="M384" s="135"/>
      <c r="N384" s="135"/>
      <c r="O384" s="135"/>
      <c r="P384" s="135"/>
    </row>
    <row r="385" customFormat="false" ht="15.75" hidden="false" customHeight="true" outlineLevel="0" collapsed="false">
      <c r="A385" s="135"/>
      <c r="B385" s="135"/>
      <c r="C385" s="135"/>
      <c r="D385" s="135"/>
      <c r="E385" s="135"/>
      <c r="F385" s="182"/>
      <c r="G385" s="182"/>
      <c r="H385" s="135"/>
      <c r="I385" s="135"/>
      <c r="J385" s="135"/>
      <c r="K385" s="135"/>
      <c r="L385" s="135"/>
      <c r="M385" s="135"/>
      <c r="N385" s="135"/>
      <c r="O385" s="135"/>
      <c r="P385" s="135"/>
    </row>
    <row r="386" customFormat="false" ht="15.75" hidden="false" customHeight="true" outlineLevel="0" collapsed="false">
      <c r="A386" s="135"/>
      <c r="B386" s="135"/>
      <c r="C386" s="135"/>
      <c r="D386" s="135"/>
      <c r="E386" s="135"/>
      <c r="F386" s="182"/>
      <c r="G386" s="182"/>
      <c r="H386" s="135"/>
      <c r="I386" s="135"/>
      <c r="J386" s="135"/>
      <c r="K386" s="135"/>
      <c r="L386" s="135"/>
      <c r="M386" s="135"/>
      <c r="N386" s="135"/>
      <c r="O386" s="135"/>
      <c r="P386" s="135"/>
    </row>
    <row r="387" customFormat="false" ht="15.75" hidden="false" customHeight="true" outlineLevel="0" collapsed="false">
      <c r="A387" s="135"/>
      <c r="B387" s="135"/>
      <c r="C387" s="135"/>
      <c r="D387" s="135"/>
      <c r="E387" s="135"/>
      <c r="F387" s="182"/>
      <c r="G387" s="182"/>
      <c r="H387" s="135"/>
      <c r="I387" s="135"/>
      <c r="J387" s="135"/>
      <c r="K387" s="135"/>
      <c r="L387" s="135"/>
      <c r="M387" s="135"/>
      <c r="N387" s="135"/>
      <c r="O387" s="135"/>
      <c r="P387" s="135"/>
    </row>
    <row r="388" customFormat="false" ht="15.75" hidden="false" customHeight="true" outlineLevel="0" collapsed="false">
      <c r="A388" s="135"/>
      <c r="B388" s="135"/>
      <c r="C388" s="135"/>
      <c r="D388" s="135"/>
      <c r="E388" s="135"/>
      <c r="F388" s="182"/>
      <c r="G388" s="182"/>
      <c r="H388" s="135"/>
      <c r="I388" s="135"/>
      <c r="J388" s="135"/>
      <c r="K388" s="135"/>
      <c r="L388" s="135"/>
      <c r="M388" s="135"/>
      <c r="N388" s="135"/>
      <c r="O388" s="135"/>
      <c r="P388" s="135"/>
    </row>
    <row r="389" customFormat="false" ht="15.75" hidden="false" customHeight="true" outlineLevel="0" collapsed="false">
      <c r="A389" s="135"/>
      <c r="B389" s="135"/>
      <c r="C389" s="135"/>
      <c r="D389" s="135"/>
      <c r="E389" s="135"/>
      <c r="F389" s="182"/>
      <c r="G389" s="182"/>
      <c r="H389" s="135"/>
      <c r="I389" s="135"/>
      <c r="J389" s="135"/>
      <c r="K389" s="135"/>
      <c r="L389" s="135"/>
      <c r="M389" s="135"/>
      <c r="N389" s="135"/>
      <c r="O389" s="135"/>
      <c r="P389" s="135"/>
    </row>
    <row r="390" customFormat="false" ht="15.75" hidden="false" customHeight="true" outlineLevel="0" collapsed="false">
      <c r="A390" s="135"/>
      <c r="B390" s="135"/>
      <c r="C390" s="135"/>
      <c r="D390" s="135"/>
      <c r="E390" s="135"/>
      <c r="F390" s="182"/>
      <c r="G390" s="182"/>
      <c r="H390" s="135"/>
      <c r="I390" s="135"/>
      <c r="J390" s="135"/>
      <c r="K390" s="135"/>
      <c r="L390" s="135"/>
      <c r="M390" s="135"/>
      <c r="N390" s="135"/>
      <c r="O390" s="135"/>
      <c r="P390" s="135"/>
    </row>
    <row r="391" customFormat="false" ht="15.75" hidden="false" customHeight="true" outlineLevel="0" collapsed="false">
      <c r="A391" s="135"/>
      <c r="B391" s="135"/>
      <c r="C391" s="135"/>
      <c r="D391" s="135"/>
      <c r="E391" s="135"/>
      <c r="F391" s="182"/>
      <c r="G391" s="182"/>
      <c r="H391" s="135"/>
      <c r="I391" s="135"/>
      <c r="J391" s="135"/>
      <c r="K391" s="135"/>
      <c r="L391" s="135"/>
      <c r="M391" s="135"/>
      <c r="N391" s="135"/>
      <c r="O391" s="135"/>
      <c r="P391" s="135"/>
    </row>
    <row r="392" customFormat="false" ht="15.75" hidden="false" customHeight="true" outlineLevel="0" collapsed="false">
      <c r="A392" s="135"/>
      <c r="B392" s="135"/>
      <c r="C392" s="135"/>
      <c r="D392" s="135"/>
      <c r="E392" s="135"/>
      <c r="F392" s="182"/>
      <c r="G392" s="182"/>
      <c r="H392" s="135"/>
      <c r="I392" s="135"/>
      <c r="J392" s="135"/>
      <c r="K392" s="135"/>
      <c r="L392" s="135"/>
      <c r="M392" s="135"/>
      <c r="N392" s="135"/>
      <c r="O392" s="135"/>
      <c r="P392" s="135"/>
    </row>
    <row r="393" customFormat="false" ht="15.75" hidden="false" customHeight="true" outlineLevel="0" collapsed="false">
      <c r="A393" s="135"/>
      <c r="B393" s="135"/>
      <c r="C393" s="135"/>
      <c r="D393" s="135"/>
      <c r="E393" s="135"/>
      <c r="F393" s="182"/>
      <c r="G393" s="182"/>
      <c r="H393" s="135"/>
      <c r="I393" s="135"/>
      <c r="J393" s="135"/>
      <c r="K393" s="135"/>
      <c r="L393" s="135"/>
      <c r="M393" s="135"/>
      <c r="N393" s="135"/>
      <c r="O393" s="135"/>
      <c r="P393" s="135"/>
    </row>
    <row r="394" customFormat="false" ht="15.75" hidden="false" customHeight="true" outlineLevel="0" collapsed="false">
      <c r="A394" s="135"/>
      <c r="B394" s="135"/>
      <c r="C394" s="135"/>
      <c r="D394" s="135"/>
      <c r="E394" s="135"/>
      <c r="F394" s="182"/>
      <c r="G394" s="182"/>
      <c r="H394" s="135"/>
      <c r="I394" s="135"/>
      <c r="J394" s="135"/>
      <c r="K394" s="135"/>
      <c r="L394" s="135"/>
      <c r="M394" s="135"/>
      <c r="N394" s="135"/>
      <c r="O394" s="135"/>
      <c r="P394" s="135"/>
    </row>
    <row r="395" customFormat="false" ht="15.75" hidden="false" customHeight="true" outlineLevel="0" collapsed="false">
      <c r="A395" s="135"/>
      <c r="B395" s="135"/>
      <c r="C395" s="135"/>
      <c r="D395" s="135"/>
      <c r="E395" s="135"/>
      <c r="F395" s="182"/>
      <c r="G395" s="182"/>
      <c r="H395" s="135"/>
      <c r="I395" s="135"/>
      <c r="J395" s="135"/>
      <c r="K395" s="135"/>
      <c r="L395" s="135"/>
      <c r="M395" s="135"/>
      <c r="N395" s="135"/>
      <c r="O395" s="135"/>
      <c r="P395" s="135"/>
    </row>
    <row r="396" customFormat="false" ht="15.75" hidden="false" customHeight="true" outlineLevel="0" collapsed="false">
      <c r="A396" s="135"/>
      <c r="B396" s="135"/>
      <c r="C396" s="135"/>
      <c r="D396" s="135"/>
      <c r="E396" s="135"/>
      <c r="F396" s="182"/>
      <c r="G396" s="182"/>
      <c r="H396" s="135"/>
      <c r="I396" s="135"/>
      <c r="J396" s="135"/>
      <c r="K396" s="135"/>
      <c r="L396" s="135"/>
      <c r="M396" s="135"/>
      <c r="N396" s="135"/>
      <c r="O396" s="135"/>
      <c r="P396" s="135"/>
    </row>
    <row r="397" customFormat="false" ht="15.75" hidden="false" customHeight="true" outlineLevel="0" collapsed="false">
      <c r="A397" s="135"/>
      <c r="B397" s="135"/>
      <c r="C397" s="135"/>
      <c r="D397" s="135"/>
      <c r="E397" s="135"/>
      <c r="F397" s="182"/>
      <c r="G397" s="182"/>
      <c r="H397" s="135"/>
      <c r="I397" s="135"/>
      <c r="J397" s="135"/>
      <c r="K397" s="135"/>
      <c r="L397" s="135"/>
      <c r="M397" s="135"/>
      <c r="N397" s="135"/>
      <c r="O397" s="135"/>
      <c r="P397" s="135"/>
    </row>
    <row r="398" customFormat="false" ht="15.75" hidden="false" customHeight="true" outlineLevel="0" collapsed="false">
      <c r="A398" s="135"/>
      <c r="B398" s="135"/>
      <c r="C398" s="135"/>
      <c r="D398" s="135"/>
      <c r="E398" s="135"/>
      <c r="F398" s="182"/>
      <c r="G398" s="182"/>
      <c r="H398" s="135"/>
      <c r="I398" s="135"/>
      <c r="J398" s="135"/>
      <c r="K398" s="135"/>
      <c r="L398" s="135"/>
      <c r="M398" s="135"/>
      <c r="N398" s="135"/>
      <c r="O398" s="135"/>
      <c r="P398" s="135"/>
    </row>
    <row r="399" customFormat="false" ht="15.75" hidden="false" customHeight="true" outlineLevel="0" collapsed="false">
      <c r="A399" s="135"/>
      <c r="B399" s="135"/>
      <c r="C399" s="135"/>
      <c r="D399" s="135"/>
      <c r="E399" s="135"/>
      <c r="F399" s="182"/>
      <c r="G399" s="182"/>
      <c r="H399" s="135"/>
      <c r="I399" s="135"/>
      <c r="J399" s="135"/>
      <c r="K399" s="135"/>
      <c r="L399" s="135"/>
      <c r="M399" s="135"/>
      <c r="N399" s="135"/>
      <c r="O399" s="135"/>
      <c r="P399" s="135"/>
    </row>
    <row r="400" customFormat="false" ht="15.75" hidden="false" customHeight="true" outlineLevel="0" collapsed="false">
      <c r="A400" s="135"/>
      <c r="B400" s="135"/>
      <c r="C400" s="135"/>
      <c r="D400" s="135"/>
      <c r="E400" s="135"/>
      <c r="F400" s="182"/>
      <c r="G400" s="182"/>
      <c r="H400" s="135"/>
      <c r="I400" s="135"/>
      <c r="J400" s="135"/>
      <c r="K400" s="135"/>
      <c r="L400" s="135"/>
      <c r="M400" s="135"/>
      <c r="N400" s="135"/>
      <c r="O400" s="135"/>
      <c r="P400" s="135"/>
    </row>
    <row r="401" customFormat="false" ht="15.75" hidden="false" customHeight="true" outlineLevel="0" collapsed="false">
      <c r="A401" s="135"/>
      <c r="B401" s="135"/>
      <c r="C401" s="135"/>
      <c r="D401" s="135"/>
      <c r="E401" s="135"/>
      <c r="F401" s="182"/>
      <c r="G401" s="182"/>
      <c r="H401" s="135"/>
      <c r="I401" s="135"/>
      <c r="J401" s="135"/>
      <c r="K401" s="135"/>
      <c r="L401" s="135"/>
      <c r="M401" s="135"/>
      <c r="N401" s="135"/>
      <c r="O401" s="135"/>
      <c r="P401" s="135"/>
    </row>
    <row r="402" customFormat="false" ht="15.75" hidden="false" customHeight="true" outlineLevel="0" collapsed="false">
      <c r="A402" s="135"/>
      <c r="B402" s="135"/>
      <c r="C402" s="135"/>
      <c r="D402" s="135"/>
      <c r="E402" s="135"/>
      <c r="F402" s="182"/>
      <c r="G402" s="182"/>
      <c r="H402" s="135"/>
      <c r="I402" s="135"/>
      <c r="J402" s="135"/>
      <c r="K402" s="135"/>
      <c r="L402" s="135"/>
      <c r="M402" s="135"/>
      <c r="N402" s="135"/>
      <c r="O402" s="135"/>
      <c r="P402" s="135"/>
    </row>
    <row r="403" customFormat="false" ht="15.75" hidden="false" customHeight="true" outlineLevel="0" collapsed="false">
      <c r="A403" s="135"/>
      <c r="B403" s="135"/>
      <c r="C403" s="135"/>
      <c r="D403" s="135"/>
      <c r="E403" s="135"/>
      <c r="F403" s="182"/>
      <c r="G403" s="182"/>
      <c r="H403" s="135"/>
      <c r="I403" s="135"/>
      <c r="J403" s="135"/>
      <c r="K403" s="135"/>
      <c r="L403" s="135"/>
      <c r="M403" s="135"/>
      <c r="N403" s="135"/>
      <c r="O403" s="135"/>
      <c r="P403" s="135"/>
    </row>
    <row r="404" customFormat="false" ht="15.75" hidden="false" customHeight="true" outlineLevel="0" collapsed="false">
      <c r="A404" s="135"/>
      <c r="B404" s="135"/>
      <c r="C404" s="135"/>
      <c r="D404" s="135"/>
      <c r="E404" s="135"/>
      <c r="F404" s="182"/>
      <c r="G404" s="182"/>
      <c r="H404" s="135"/>
      <c r="I404" s="135"/>
      <c r="J404" s="135"/>
      <c r="K404" s="135"/>
      <c r="L404" s="135"/>
      <c r="M404" s="135"/>
      <c r="N404" s="135"/>
      <c r="O404" s="135"/>
      <c r="P404" s="135"/>
    </row>
    <row r="405" customFormat="false" ht="15.75" hidden="false" customHeight="true" outlineLevel="0" collapsed="false">
      <c r="A405" s="135"/>
      <c r="B405" s="135"/>
      <c r="C405" s="135"/>
      <c r="D405" s="135"/>
      <c r="E405" s="135"/>
      <c r="F405" s="182"/>
      <c r="G405" s="182"/>
      <c r="H405" s="135"/>
      <c r="I405" s="135"/>
      <c r="J405" s="135"/>
      <c r="K405" s="135"/>
      <c r="L405" s="135"/>
      <c r="M405" s="135"/>
      <c r="N405" s="135"/>
      <c r="O405" s="135"/>
      <c r="P405" s="135"/>
    </row>
    <row r="406" customFormat="false" ht="15.75" hidden="false" customHeight="true" outlineLevel="0" collapsed="false">
      <c r="A406" s="135"/>
      <c r="B406" s="135"/>
      <c r="C406" s="135"/>
      <c r="D406" s="135"/>
      <c r="E406" s="135"/>
      <c r="F406" s="182"/>
      <c r="G406" s="182"/>
      <c r="H406" s="135"/>
      <c r="I406" s="135"/>
      <c r="J406" s="135"/>
      <c r="K406" s="135"/>
      <c r="L406" s="135"/>
      <c r="M406" s="135"/>
      <c r="N406" s="135"/>
      <c r="O406" s="135"/>
      <c r="P406" s="135"/>
    </row>
    <row r="407" customFormat="false" ht="15.75" hidden="false" customHeight="true" outlineLevel="0" collapsed="false">
      <c r="A407" s="135"/>
      <c r="B407" s="135"/>
      <c r="C407" s="135"/>
      <c r="D407" s="135"/>
      <c r="E407" s="135"/>
      <c r="F407" s="182"/>
      <c r="G407" s="182"/>
      <c r="H407" s="135"/>
      <c r="I407" s="135"/>
      <c r="J407" s="135"/>
      <c r="K407" s="135"/>
      <c r="L407" s="135"/>
      <c r="M407" s="135"/>
      <c r="N407" s="135"/>
      <c r="O407" s="135"/>
      <c r="P407" s="135"/>
    </row>
    <row r="408" customFormat="false" ht="15.75" hidden="false" customHeight="true" outlineLevel="0" collapsed="false">
      <c r="A408" s="135"/>
      <c r="B408" s="135"/>
      <c r="C408" s="135"/>
      <c r="D408" s="135"/>
      <c r="E408" s="135"/>
      <c r="F408" s="182"/>
      <c r="G408" s="182"/>
      <c r="H408" s="135"/>
      <c r="I408" s="135"/>
      <c r="J408" s="135"/>
      <c r="K408" s="135"/>
      <c r="L408" s="135"/>
      <c r="M408" s="135"/>
      <c r="N408" s="135"/>
      <c r="O408" s="135"/>
      <c r="P408" s="135"/>
    </row>
    <row r="409" customFormat="false" ht="15.75" hidden="false" customHeight="true" outlineLevel="0" collapsed="false">
      <c r="A409" s="135"/>
      <c r="B409" s="135"/>
      <c r="C409" s="135"/>
      <c r="D409" s="135"/>
      <c r="E409" s="135"/>
      <c r="F409" s="182"/>
      <c r="G409" s="182"/>
      <c r="H409" s="135"/>
      <c r="I409" s="135"/>
      <c r="J409" s="135"/>
      <c r="K409" s="135"/>
      <c r="L409" s="135"/>
      <c r="M409" s="135"/>
      <c r="N409" s="135"/>
      <c r="O409" s="135"/>
      <c r="P409" s="135"/>
    </row>
    <row r="410" customFormat="false" ht="15.75" hidden="false" customHeight="true" outlineLevel="0" collapsed="false">
      <c r="A410" s="135"/>
      <c r="B410" s="135"/>
      <c r="C410" s="135"/>
      <c r="D410" s="135"/>
      <c r="E410" s="135"/>
      <c r="F410" s="182"/>
      <c r="G410" s="182"/>
      <c r="H410" s="135"/>
      <c r="I410" s="135"/>
      <c r="J410" s="135"/>
      <c r="K410" s="135"/>
      <c r="L410" s="135"/>
      <c r="M410" s="135"/>
      <c r="N410" s="135"/>
      <c r="O410" s="135"/>
      <c r="P410" s="135"/>
    </row>
    <row r="411" customFormat="false" ht="15.75" hidden="false" customHeight="true" outlineLevel="0" collapsed="false">
      <c r="A411" s="135"/>
      <c r="B411" s="135"/>
      <c r="C411" s="135"/>
      <c r="D411" s="135"/>
      <c r="E411" s="135"/>
      <c r="F411" s="182"/>
      <c r="G411" s="182"/>
      <c r="H411" s="135"/>
      <c r="I411" s="135"/>
      <c r="J411" s="135"/>
      <c r="K411" s="135"/>
      <c r="L411" s="135"/>
      <c r="M411" s="135"/>
      <c r="N411" s="135"/>
      <c r="O411" s="135"/>
      <c r="P411" s="135"/>
    </row>
    <row r="412" customFormat="false" ht="15.75" hidden="false" customHeight="true" outlineLevel="0" collapsed="false">
      <c r="A412" s="135"/>
      <c r="B412" s="135"/>
      <c r="C412" s="135"/>
      <c r="D412" s="135"/>
      <c r="E412" s="135"/>
      <c r="F412" s="182"/>
      <c r="G412" s="182"/>
      <c r="H412" s="135"/>
      <c r="I412" s="135"/>
      <c r="J412" s="135"/>
      <c r="K412" s="135"/>
      <c r="L412" s="135"/>
      <c r="M412" s="135"/>
      <c r="N412" s="135"/>
      <c r="O412" s="135"/>
      <c r="P412" s="135"/>
    </row>
    <row r="413" customFormat="false" ht="15.75" hidden="false" customHeight="true" outlineLevel="0" collapsed="false">
      <c r="A413" s="135"/>
      <c r="B413" s="135"/>
      <c r="C413" s="135"/>
      <c r="D413" s="135"/>
      <c r="E413" s="135"/>
      <c r="F413" s="182"/>
      <c r="G413" s="182"/>
      <c r="H413" s="135"/>
      <c r="I413" s="135"/>
      <c r="J413" s="135"/>
      <c r="K413" s="135"/>
      <c r="L413" s="135"/>
      <c r="M413" s="135"/>
      <c r="N413" s="135"/>
      <c r="O413" s="135"/>
      <c r="P413" s="135"/>
    </row>
    <row r="414" customFormat="false" ht="15.75" hidden="false" customHeight="true" outlineLevel="0" collapsed="false">
      <c r="A414" s="135"/>
      <c r="B414" s="135"/>
      <c r="C414" s="135"/>
      <c r="D414" s="135"/>
      <c r="E414" s="135"/>
      <c r="F414" s="182"/>
      <c r="G414" s="182"/>
      <c r="H414" s="135"/>
      <c r="I414" s="135"/>
      <c r="J414" s="135"/>
      <c r="K414" s="135"/>
      <c r="L414" s="135"/>
      <c r="M414" s="135"/>
      <c r="N414" s="135"/>
      <c r="O414" s="135"/>
      <c r="P414" s="135"/>
    </row>
    <row r="415" customFormat="false" ht="15.75" hidden="false" customHeight="true" outlineLevel="0" collapsed="false">
      <c r="A415" s="135"/>
      <c r="B415" s="135"/>
      <c r="C415" s="135"/>
      <c r="D415" s="135"/>
      <c r="E415" s="135"/>
      <c r="F415" s="182"/>
      <c r="G415" s="182"/>
      <c r="H415" s="135"/>
      <c r="I415" s="135"/>
      <c r="J415" s="135"/>
      <c r="K415" s="135"/>
      <c r="L415" s="135"/>
      <c r="M415" s="135"/>
      <c r="N415" s="135"/>
      <c r="O415" s="135"/>
      <c r="P415" s="135"/>
    </row>
    <row r="416" customFormat="false" ht="15.75" hidden="false" customHeight="true" outlineLevel="0" collapsed="false">
      <c r="A416" s="135"/>
      <c r="B416" s="135"/>
      <c r="C416" s="135"/>
      <c r="D416" s="135"/>
      <c r="E416" s="135"/>
      <c r="F416" s="182"/>
      <c r="G416" s="182"/>
      <c r="H416" s="135"/>
      <c r="I416" s="135"/>
      <c r="J416" s="135"/>
      <c r="K416" s="135"/>
      <c r="L416" s="135"/>
      <c r="M416" s="135"/>
      <c r="N416" s="135"/>
      <c r="O416" s="135"/>
      <c r="P416" s="135"/>
    </row>
    <row r="417" customFormat="false" ht="15.75" hidden="false" customHeight="true" outlineLevel="0" collapsed="false">
      <c r="A417" s="135"/>
      <c r="B417" s="135"/>
      <c r="C417" s="135"/>
      <c r="D417" s="135"/>
      <c r="E417" s="135"/>
      <c r="F417" s="182"/>
      <c r="G417" s="182"/>
      <c r="H417" s="135"/>
      <c r="I417" s="135"/>
      <c r="J417" s="135"/>
      <c r="K417" s="135"/>
      <c r="L417" s="135"/>
      <c r="M417" s="135"/>
      <c r="N417" s="135"/>
      <c r="O417" s="135"/>
      <c r="P417" s="135"/>
    </row>
    <row r="418" customFormat="false" ht="15.75" hidden="false" customHeight="true" outlineLevel="0" collapsed="false">
      <c r="A418" s="135"/>
      <c r="B418" s="135"/>
      <c r="C418" s="135"/>
      <c r="D418" s="135"/>
      <c r="E418" s="135"/>
      <c r="F418" s="182"/>
      <c r="G418" s="182"/>
      <c r="H418" s="135"/>
      <c r="I418" s="135"/>
      <c r="J418" s="135"/>
      <c r="K418" s="135"/>
      <c r="L418" s="135"/>
      <c r="M418" s="135"/>
      <c r="N418" s="135"/>
      <c r="O418" s="135"/>
      <c r="P418" s="135"/>
    </row>
    <row r="419" customFormat="false" ht="15.75" hidden="false" customHeight="true" outlineLevel="0" collapsed="false">
      <c r="A419" s="135"/>
      <c r="B419" s="135"/>
      <c r="C419" s="135"/>
      <c r="D419" s="135"/>
      <c r="E419" s="135"/>
      <c r="F419" s="182"/>
      <c r="G419" s="182"/>
      <c r="H419" s="135"/>
      <c r="I419" s="135"/>
      <c r="J419" s="135"/>
      <c r="K419" s="135"/>
      <c r="L419" s="135"/>
      <c r="M419" s="135"/>
      <c r="N419" s="135"/>
      <c r="O419" s="135"/>
      <c r="P419" s="135"/>
    </row>
    <row r="420" customFormat="false" ht="15.75" hidden="false" customHeight="true" outlineLevel="0" collapsed="false">
      <c r="A420" s="135"/>
      <c r="B420" s="135"/>
      <c r="C420" s="135"/>
      <c r="D420" s="135"/>
      <c r="E420" s="135"/>
      <c r="F420" s="182"/>
      <c r="G420" s="182"/>
      <c r="H420" s="135"/>
      <c r="I420" s="135"/>
      <c r="J420" s="135"/>
      <c r="K420" s="135"/>
      <c r="L420" s="135"/>
      <c r="M420" s="135"/>
      <c r="N420" s="135"/>
      <c r="O420" s="135"/>
      <c r="P420" s="135"/>
    </row>
    <row r="421" customFormat="false" ht="15.75" hidden="false" customHeight="true" outlineLevel="0" collapsed="false">
      <c r="A421" s="135"/>
      <c r="B421" s="135"/>
      <c r="C421" s="135"/>
      <c r="D421" s="135"/>
      <c r="E421" s="135"/>
      <c r="F421" s="182"/>
      <c r="G421" s="182"/>
      <c r="H421" s="135"/>
      <c r="I421" s="135"/>
      <c r="J421" s="135"/>
      <c r="K421" s="135"/>
      <c r="L421" s="135"/>
      <c r="M421" s="135"/>
      <c r="N421" s="135"/>
      <c r="O421" s="135"/>
      <c r="P421" s="135"/>
    </row>
    <row r="422" customFormat="false" ht="15.75" hidden="false" customHeight="true" outlineLevel="0" collapsed="false">
      <c r="A422" s="135"/>
      <c r="B422" s="135"/>
      <c r="C422" s="135"/>
      <c r="D422" s="135"/>
      <c r="E422" s="135"/>
      <c r="F422" s="182"/>
      <c r="G422" s="182"/>
      <c r="H422" s="135"/>
      <c r="I422" s="135"/>
      <c r="J422" s="135"/>
      <c r="K422" s="135"/>
      <c r="L422" s="135"/>
      <c r="M422" s="135"/>
      <c r="N422" s="135"/>
      <c r="O422" s="135"/>
      <c r="P422" s="135"/>
    </row>
    <row r="423" customFormat="false" ht="15.75" hidden="false" customHeight="true" outlineLevel="0" collapsed="false">
      <c r="A423" s="135"/>
      <c r="B423" s="135"/>
      <c r="C423" s="135"/>
      <c r="D423" s="135"/>
      <c r="E423" s="135"/>
      <c r="F423" s="182"/>
      <c r="G423" s="182"/>
      <c r="H423" s="135"/>
      <c r="I423" s="135"/>
      <c r="J423" s="135"/>
      <c r="K423" s="135"/>
      <c r="L423" s="135"/>
      <c r="M423" s="135"/>
      <c r="N423" s="135"/>
      <c r="O423" s="135"/>
      <c r="P423" s="135"/>
    </row>
    <row r="424" customFormat="false" ht="15.75" hidden="false" customHeight="true" outlineLevel="0" collapsed="false">
      <c r="A424" s="135"/>
      <c r="B424" s="135"/>
      <c r="C424" s="135"/>
      <c r="D424" s="135"/>
      <c r="E424" s="135"/>
      <c r="F424" s="182"/>
      <c r="G424" s="182"/>
      <c r="H424" s="135"/>
      <c r="I424" s="135"/>
      <c r="J424" s="135"/>
      <c r="K424" s="135"/>
      <c r="L424" s="135"/>
      <c r="M424" s="135"/>
      <c r="N424" s="135"/>
      <c r="O424" s="135"/>
      <c r="P424" s="135"/>
    </row>
    <row r="425" customFormat="false" ht="15.75" hidden="false" customHeight="true" outlineLevel="0" collapsed="false">
      <c r="A425" s="135"/>
      <c r="B425" s="135"/>
      <c r="C425" s="135"/>
      <c r="D425" s="135"/>
      <c r="E425" s="135"/>
      <c r="F425" s="182"/>
      <c r="G425" s="182"/>
      <c r="H425" s="135"/>
      <c r="I425" s="135"/>
      <c r="J425" s="135"/>
      <c r="K425" s="135"/>
      <c r="L425" s="135"/>
      <c r="M425" s="135"/>
      <c r="N425" s="135"/>
      <c r="O425" s="135"/>
      <c r="P425" s="135"/>
    </row>
    <row r="426" customFormat="false" ht="15.75" hidden="false" customHeight="true" outlineLevel="0" collapsed="false">
      <c r="A426" s="135"/>
      <c r="B426" s="135"/>
      <c r="C426" s="135"/>
      <c r="D426" s="135"/>
      <c r="E426" s="135"/>
      <c r="F426" s="182"/>
      <c r="G426" s="182"/>
      <c r="H426" s="135"/>
      <c r="I426" s="135"/>
      <c r="J426" s="135"/>
      <c r="K426" s="135"/>
      <c r="L426" s="135"/>
      <c r="M426" s="135"/>
      <c r="N426" s="135"/>
      <c r="O426" s="135"/>
      <c r="P426" s="135"/>
    </row>
    <row r="427" customFormat="false" ht="15.75" hidden="false" customHeight="true" outlineLevel="0" collapsed="false">
      <c r="A427" s="135"/>
      <c r="B427" s="135"/>
      <c r="C427" s="135"/>
      <c r="D427" s="135"/>
      <c r="E427" s="135"/>
      <c r="F427" s="182"/>
      <c r="G427" s="182"/>
      <c r="H427" s="135"/>
      <c r="I427" s="135"/>
      <c r="J427" s="135"/>
      <c r="K427" s="135"/>
      <c r="L427" s="135"/>
      <c r="M427" s="135"/>
      <c r="N427" s="135"/>
      <c r="O427" s="135"/>
      <c r="P427" s="135"/>
    </row>
    <row r="428" customFormat="false" ht="15.75" hidden="false" customHeight="true" outlineLevel="0" collapsed="false">
      <c r="A428" s="135"/>
      <c r="B428" s="135"/>
      <c r="C428" s="135"/>
      <c r="D428" s="135"/>
      <c r="E428" s="135"/>
      <c r="F428" s="182"/>
      <c r="G428" s="182"/>
      <c r="H428" s="135"/>
      <c r="I428" s="135"/>
      <c r="J428" s="135"/>
      <c r="K428" s="135"/>
      <c r="L428" s="135"/>
      <c r="M428" s="135"/>
      <c r="N428" s="135"/>
      <c r="O428" s="135"/>
      <c r="P428" s="135"/>
    </row>
    <row r="429" customFormat="false" ht="15.75" hidden="false" customHeight="true" outlineLevel="0" collapsed="false">
      <c r="A429" s="135"/>
      <c r="B429" s="135"/>
      <c r="C429" s="135"/>
      <c r="D429" s="135"/>
      <c r="E429" s="135"/>
      <c r="F429" s="182"/>
      <c r="G429" s="182"/>
      <c r="H429" s="135"/>
      <c r="I429" s="135"/>
      <c r="J429" s="135"/>
      <c r="K429" s="135"/>
      <c r="L429" s="135"/>
      <c r="M429" s="135"/>
      <c r="N429" s="135"/>
      <c r="O429" s="135"/>
      <c r="P429" s="135"/>
    </row>
    <row r="430" customFormat="false" ht="15.75" hidden="false" customHeight="true" outlineLevel="0" collapsed="false">
      <c r="A430" s="135"/>
      <c r="B430" s="135"/>
      <c r="C430" s="135"/>
      <c r="D430" s="135"/>
      <c r="E430" s="135"/>
      <c r="F430" s="182"/>
      <c r="G430" s="182"/>
      <c r="H430" s="135"/>
      <c r="I430" s="135"/>
      <c r="J430" s="135"/>
      <c r="K430" s="135"/>
      <c r="L430" s="135"/>
      <c r="M430" s="135"/>
      <c r="N430" s="135"/>
      <c r="O430" s="135"/>
      <c r="P430" s="135"/>
    </row>
    <row r="431" customFormat="false" ht="15.75" hidden="false" customHeight="true" outlineLevel="0" collapsed="false">
      <c r="A431" s="135"/>
      <c r="B431" s="135"/>
      <c r="C431" s="135"/>
      <c r="D431" s="135"/>
      <c r="E431" s="135"/>
      <c r="F431" s="182"/>
      <c r="G431" s="182"/>
      <c r="H431" s="135"/>
      <c r="I431" s="135"/>
      <c r="J431" s="135"/>
      <c r="K431" s="135"/>
      <c r="L431" s="135"/>
      <c r="M431" s="135"/>
      <c r="N431" s="135"/>
      <c r="O431" s="135"/>
      <c r="P431" s="135"/>
    </row>
    <row r="432" customFormat="false" ht="15.75" hidden="false" customHeight="true" outlineLevel="0" collapsed="false">
      <c r="A432" s="135"/>
      <c r="B432" s="135"/>
      <c r="C432" s="135"/>
      <c r="D432" s="135"/>
      <c r="E432" s="135"/>
      <c r="F432" s="182"/>
      <c r="G432" s="182"/>
      <c r="H432" s="135"/>
      <c r="I432" s="135"/>
      <c r="J432" s="135"/>
      <c r="K432" s="135"/>
      <c r="L432" s="135"/>
      <c r="M432" s="135"/>
      <c r="N432" s="135"/>
      <c r="O432" s="135"/>
      <c r="P432" s="135"/>
    </row>
    <row r="433" customFormat="false" ht="15.75" hidden="false" customHeight="true" outlineLevel="0" collapsed="false">
      <c r="A433" s="135"/>
      <c r="B433" s="135"/>
      <c r="C433" s="135"/>
      <c r="D433" s="135"/>
      <c r="E433" s="135"/>
      <c r="F433" s="182"/>
      <c r="G433" s="182"/>
      <c r="H433" s="135"/>
      <c r="I433" s="135"/>
      <c r="J433" s="135"/>
      <c r="K433" s="135"/>
      <c r="L433" s="135"/>
      <c r="M433" s="135"/>
      <c r="N433" s="135"/>
      <c r="O433" s="135"/>
      <c r="P433" s="135"/>
    </row>
    <row r="434" customFormat="false" ht="15.75" hidden="false" customHeight="true" outlineLevel="0" collapsed="false">
      <c r="A434" s="135"/>
      <c r="B434" s="135"/>
      <c r="C434" s="135"/>
      <c r="D434" s="135"/>
      <c r="E434" s="135"/>
      <c r="F434" s="182"/>
      <c r="G434" s="182"/>
      <c r="H434" s="135"/>
      <c r="I434" s="135"/>
      <c r="J434" s="135"/>
      <c r="K434" s="135"/>
      <c r="L434" s="135"/>
      <c r="M434" s="135"/>
      <c r="N434" s="135"/>
      <c r="O434" s="135"/>
      <c r="P434" s="135"/>
    </row>
    <row r="435" customFormat="false" ht="15.75" hidden="false" customHeight="true" outlineLevel="0" collapsed="false">
      <c r="A435" s="135"/>
      <c r="B435" s="135"/>
      <c r="C435" s="135"/>
      <c r="D435" s="135"/>
      <c r="E435" s="135"/>
      <c r="F435" s="182"/>
      <c r="G435" s="182"/>
      <c r="H435" s="135"/>
      <c r="I435" s="135"/>
      <c r="J435" s="135"/>
      <c r="K435" s="135"/>
      <c r="L435" s="135"/>
      <c r="M435" s="135"/>
      <c r="N435" s="135"/>
      <c r="O435" s="135"/>
      <c r="P435" s="135"/>
    </row>
    <row r="436" customFormat="false" ht="15.75" hidden="false" customHeight="true" outlineLevel="0" collapsed="false">
      <c r="A436" s="135"/>
      <c r="B436" s="135"/>
      <c r="C436" s="135"/>
      <c r="D436" s="135"/>
      <c r="E436" s="135"/>
      <c r="F436" s="182"/>
      <c r="G436" s="182"/>
      <c r="H436" s="135"/>
      <c r="I436" s="135"/>
      <c r="J436" s="135"/>
      <c r="K436" s="135"/>
      <c r="L436" s="135"/>
      <c r="M436" s="135"/>
      <c r="N436" s="135"/>
      <c r="O436" s="135"/>
      <c r="P436" s="135"/>
    </row>
    <row r="437" customFormat="false" ht="15.75" hidden="false" customHeight="true" outlineLevel="0" collapsed="false">
      <c r="A437" s="135"/>
      <c r="B437" s="135"/>
      <c r="C437" s="135"/>
      <c r="D437" s="135"/>
      <c r="E437" s="135"/>
      <c r="F437" s="182"/>
      <c r="G437" s="182"/>
      <c r="H437" s="135"/>
      <c r="I437" s="135"/>
      <c r="J437" s="135"/>
      <c r="K437" s="135"/>
      <c r="L437" s="135"/>
      <c r="M437" s="135"/>
      <c r="N437" s="135"/>
      <c r="O437" s="135"/>
      <c r="P437" s="135"/>
    </row>
    <row r="438" customFormat="false" ht="15.75" hidden="false" customHeight="true" outlineLevel="0" collapsed="false">
      <c r="A438" s="135"/>
      <c r="B438" s="135"/>
      <c r="C438" s="135"/>
      <c r="D438" s="135"/>
      <c r="E438" s="135"/>
      <c r="F438" s="182"/>
      <c r="G438" s="182"/>
      <c r="H438" s="135"/>
      <c r="I438" s="135"/>
      <c r="J438" s="135"/>
      <c r="K438" s="135"/>
      <c r="L438" s="135"/>
      <c r="M438" s="135"/>
      <c r="N438" s="135"/>
      <c r="O438" s="135"/>
      <c r="P438" s="135"/>
    </row>
    <row r="439" customFormat="false" ht="15.75" hidden="false" customHeight="true" outlineLevel="0" collapsed="false">
      <c r="A439" s="135"/>
      <c r="B439" s="135"/>
      <c r="C439" s="135"/>
      <c r="D439" s="135"/>
      <c r="E439" s="135"/>
      <c r="F439" s="182"/>
      <c r="G439" s="182"/>
      <c r="H439" s="135"/>
      <c r="I439" s="135"/>
      <c r="J439" s="135"/>
      <c r="K439" s="135"/>
      <c r="L439" s="135"/>
      <c r="M439" s="135"/>
      <c r="N439" s="135"/>
      <c r="O439" s="135"/>
      <c r="P439" s="135"/>
    </row>
    <row r="440" customFormat="false" ht="15.75" hidden="false" customHeight="true" outlineLevel="0" collapsed="false">
      <c r="A440" s="135"/>
      <c r="B440" s="135"/>
      <c r="C440" s="135"/>
      <c r="D440" s="135"/>
      <c r="E440" s="135"/>
      <c r="F440" s="182"/>
      <c r="G440" s="182"/>
      <c r="H440" s="135"/>
      <c r="I440" s="135"/>
      <c r="J440" s="135"/>
      <c r="K440" s="135"/>
      <c r="L440" s="135"/>
      <c r="M440" s="135"/>
      <c r="N440" s="135"/>
      <c r="O440" s="135"/>
      <c r="P440" s="135"/>
    </row>
    <row r="441" customFormat="false" ht="15.75" hidden="false" customHeight="true" outlineLevel="0" collapsed="false">
      <c r="A441" s="135"/>
      <c r="B441" s="135"/>
      <c r="C441" s="135"/>
      <c r="D441" s="135"/>
      <c r="E441" s="135"/>
      <c r="F441" s="182"/>
      <c r="G441" s="182"/>
      <c r="H441" s="135"/>
      <c r="I441" s="135"/>
      <c r="J441" s="135"/>
      <c r="K441" s="135"/>
      <c r="L441" s="135"/>
      <c r="M441" s="135"/>
      <c r="N441" s="135"/>
      <c r="O441" s="135"/>
      <c r="P441" s="135"/>
    </row>
    <row r="442" customFormat="false" ht="15.75" hidden="false" customHeight="true" outlineLevel="0" collapsed="false">
      <c r="A442" s="135"/>
      <c r="B442" s="135"/>
      <c r="C442" s="135"/>
      <c r="D442" s="135"/>
      <c r="E442" s="135"/>
      <c r="F442" s="182"/>
      <c r="G442" s="182"/>
      <c r="H442" s="135"/>
      <c r="I442" s="135"/>
      <c r="J442" s="135"/>
      <c r="K442" s="135"/>
      <c r="L442" s="135"/>
      <c r="M442" s="135"/>
      <c r="N442" s="135"/>
      <c r="O442" s="135"/>
      <c r="P442" s="135"/>
    </row>
    <row r="443" customFormat="false" ht="15.75" hidden="false" customHeight="true" outlineLevel="0" collapsed="false">
      <c r="A443" s="135"/>
      <c r="B443" s="135"/>
      <c r="C443" s="135"/>
      <c r="D443" s="135"/>
      <c r="E443" s="135"/>
      <c r="F443" s="182"/>
      <c r="G443" s="182"/>
      <c r="H443" s="135"/>
      <c r="I443" s="135"/>
      <c r="J443" s="135"/>
      <c r="K443" s="135"/>
      <c r="L443" s="135"/>
      <c r="M443" s="135"/>
      <c r="N443" s="135"/>
      <c r="O443" s="135"/>
      <c r="P443" s="135"/>
    </row>
    <row r="444" customFormat="false" ht="15.75" hidden="false" customHeight="true" outlineLevel="0" collapsed="false">
      <c r="A444" s="135"/>
      <c r="B444" s="135"/>
      <c r="C444" s="135"/>
      <c r="D444" s="135"/>
      <c r="E444" s="135"/>
      <c r="F444" s="182"/>
      <c r="G444" s="182"/>
      <c r="H444" s="135"/>
      <c r="I444" s="135"/>
      <c r="J444" s="135"/>
      <c r="K444" s="135"/>
      <c r="L444" s="135"/>
      <c r="M444" s="135"/>
      <c r="N444" s="135"/>
      <c r="O444" s="135"/>
      <c r="P444" s="135"/>
    </row>
    <row r="445" customFormat="false" ht="15.75" hidden="false" customHeight="true" outlineLevel="0" collapsed="false">
      <c r="A445" s="135"/>
      <c r="B445" s="135"/>
      <c r="C445" s="135"/>
      <c r="D445" s="135"/>
      <c r="E445" s="135"/>
      <c r="F445" s="182"/>
      <c r="G445" s="182"/>
      <c r="H445" s="135"/>
      <c r="I445" s="135"/>
      <c r="J445" s="135"/>
      <c r="K445" s="135"/>
      <c r="L445" s="135"/>
      <c r="M445" s="135"/>
      <c r="N445" s="135"/>
      <c r="O445" s="135"/>
      <c r="P445" s="135"/>
    </row>
    <row r="446" customFormat="false" ht="15.75" hidden="false" customHeight="true" outlineLevel="0" collapsed="false">
      <c r="A446" s="135"/>
      <c r="B446" s="135"/>
      <c r="C446" s="135"/>
      <c r="D446" s="135"/>
      <c r="E446" s="135"/>
      <c r="F446" s="182"/>
      <c r="G446" s="182"/>
      <c r="H446" s="135"/>
      <c r="I446" s="135"/>
      <c r="J446" s="135"/>
      <c r="K446" s="135"/>
      <c r="L446" s="135"/>
      <c r="M446" s="135"/>
      <c r="N446" s="135"/>
      <c r="O446" s="135"/>
      <c r="P446" s="135"/>
    </row>
    <row r="447" customFormat="false" ht="15.75" hidden="false" customHeight="true" outlineLevel="0" collapsed="false">
      <c r="A447" s="135"/>
      <c r="B447" s="135"/>
      <c r="C447" s="135"/>
      <c r="D447" s="135"/>
      <c r="E447" s="135"/>
      <c r="F447" s="182"/>
      <c r="G447" s="182"/>
      <c r="H447" s="135"/>
      <c r="I447" s="135"/>
      <c r="J447" s="135"/>
      <c r="K447" s="135"/>
      <c r="L447" s="135"/>
      <c r="M447" s="135"/>
      <c r="N447" s="135"/>
      <c r="O447" s="135"/>
      <c r="P447" s="135"/>
    </row>
    <row r="448" customFormat="false" ht="15.75" hidden="false" customHeight="true" outlineLevel="0" collapsed="false">
      <c r="A448" s="135"/>
      <c r="B448" s="135"/>
      <c r="C448" s="135"/>
      <c r="D448" s="135"/>
      <c r="E448" s="135"/>
      <c r="F448" s="182"/>
      <c r="G448" s="182"/>
      <c r="H448" s="135"/>
      <c r="I448" s="135"/>
      <c r="J448" s="135"/>
      <c r="K448" s="135"/>
      <c r="L448" s="135"/>
      <c r="M448" s="135"/>
      <c r="N448" s="135"/>
      <c r="O448" s="135"/>
      <c r="P448" s="135"/>
    </row>
    <row r="449" customFormat="false" ht="15.75" hidden="false" customHeight="true" outlineLevel="0" collapsed="false">
      <c r="A449" s="135"/>
      <c r="B449" s="135"/>
      <c r="C449" s="135"/>
      <c r="D449" s="135"/>
      <c r="E449" s="135"/>
      <c r="F449" s="182"/>
      <c r="G449" s="182"/>
      <c r="H449" s="135"/>
      <c r="I449" s="135"/>
      <c r="J449" s="135"/>
      <c r="K449" s="135"/>
      <c r="L449" s="135"/>
      <c r="M449" s="135"/>
      <c r="N449" s="135"/>
      <c r="O449" s="135"/>
      <c r="P449" s="135"/>
    </row>
    <row r="450" customFormat="false" ht="15.75" hidden="false" customHeight="true" outlineLevel="0" collapsed="false">
      <c r="A450" s="135"/>
      <c r="B450" s="135"/>
      <c r="C450" s="135"/>
      <c r="D450" s="135"/>
      <c r="E450" s="135"/>
      <c r="F450" s="182"/>
      <c r="G450" s="182"/>
      <c r="H450" s="135"/>
      <c r="I450" s="135"/>
      <c r="J450" s="135"/>
      <c r="K450" s="135"/>
      <c r="L450" s="135"/>
      <c r="M450" s="135"/>
      <c r="N450" s="135"/>
      <c r="O450" s="135"/>
      <c r="P450" s="135"/>
    </row>
    <row r="451" customFormat="false" ht="15.75" hidden="false" customHeight="true" outlineLevel="0" collapsed="false">
      <c r="A451" s="135"/>
      <c r="B451" s="135"/>
      <c r="C451" s="135"/>
      <c r="D451" s="135"/>
      <c r="E451" s="135"/>
      <c r="F451" s="182"/>
      <c r="G451" s="182"/>
      <c r="H451" s="135"/>
      <c r="I451" s="135"/>
      <c r="J451" s="135"/>
      <c r="K451" s="135"/>
      <c r="L451" s="135"/>
      <c r="M451" s="135"/>
      <c r="N451" s="135"/>
      <c r="O451" s="135"/>
      <c r="P451" s="135"/>
    </row>
    <row r="452" customFormat="false" ht="15.75" hidden="false" customHeight="true" outlineLevel="0" collapsed="false">
      <c r="A452" s="135"/>
      <c r="B452" s="135"/>
      <c r="C452" s="135"/>
      <c r="D452" s="135"/>
      <c r="E452" s="135"/>
      <c r="F452" s="182"/>
      <c r="G452" s="182"/>
      <c r="H452" s="135"/>
      <c r="I452" s="135"/>
      <c r="J452" s="135"/>
      <c r="K452" s="135"/>
      <c r="L452" s="135"/>
      <c r="M452" s="135"/>
      <c r="N452" s="135"/>
      <c r="O452" s="135"/>
      <c r="P452" s="135"/>
    </row>
    <row r="453" customFormat="false" ht="15.75" hidden="false" customHeight="true" outlineLevel="0" collapsed="false">
      <c r="A453" s="135"/>
      <c r="B453" s="135"/>
      <c r="C453" s="135"/>
      <c r="D453" s="135"/>
      <c r="E453" s="135"/>
      <c r="F453" s="182"/>
      <c r="G453" s="182"/>
      <c r="H453" s="135"/>
      <c r="I453" s="135"/>
      <c r="J453" s="135"/>
      <c r="K453" s="135"/>
      <c r="L453" s="135"/>
      <c r="M453" s="135"/>
      <c r="N453" s="135"/>
      <c r="O453" s="135"/>
      <c r="P453" s="135"/>
    </row>
    <row r="454" customFormat="false" ht="15.75" hidden="false" customHeight="true" outlineLevel="0" collapsed="false">
      <c r="A454" s="135"/>
      <c r="B454" s="135"/>
      <c r="C454" s="135"/>
      <c r="D454" s="135"/>
      <c r="E454" s="135"/>
      <c r="F454" s="182"/>
      <c r="G454" s="182"/>
      <c r="H454" s="135"/>
      <c r="I454" s="135"/>
      <c r="J454" s="135"/>
      <c r="K454" s="135"/>
      <c r="L454" s="135"/>
      <c r="M454" s="135"/>
      <c r="N454" s="135"/>
      <c r="O454" s="135"/>
      <c r="P454" s="135"/>
    </row>
    <row r="455" customFormat="false" ht="15.75" hidden="false" customHeight="true" outlineLevel="0" collapsed="false">
      <c r="A455" s="135"/>
      <c r="B455" s="135"/>
      <c r="C455" s="135"/>
      <c r="D455" s="135"/>
      <c r="E455" s="135"/>
      <c r="F455" s="182"/>
      <c r="G455" s="182"/>
      <c r="H455" s="135"/>
      <c r="I455" s="135"/>
      <c r="J455" s="135"/>
      <c r="K455" s="135"/>
      <c r="L455" s="135"/>
      <c r="M455" s="135"/>
      <c r="N455" s="135"/>
      <c r="O455" s="135"/>
      <c r="P455" s="135"/>
    </row>
    <row r="456" customFormat="false" ht="15.75" hidden="false" customHeight="true" outlineLevel="0" collapsed="false">
      <c r="A456" s="135"/>
      <c r="B456" s="135"/>
      <c r="C456" s="135"/>
      <c r="D456" s="135"/>
      <c r="E456" s="135"/>
      <c r="F456" s="182"/>
      <c r="G456" s="182"/>
      <c r="H456" s="135"/>
      <c r="I456" s="135"/>
      <c r="J456" s="135"/>
      <c r="K456" s="135"/>
      <c r="L456" s="135"/>
      <c r="M456" s="135"/>
      <c r="N456" s="135"/>
      <c r="O456" s="135"/>
      <c r="P456" s="135"/>
    </row>
    <row r="457" customFormat="false" ht="15.75" hidden="false" customHeight="true" outlineLevel="0" collapsed="false">
      <c r="A457" s="135"/>
      <c r="B457" s="135"/>
      <c r="C457" s="135"/>
      <c r="D457" s="135"/>
      <c r="E457" s="135"/>
      <c r="F457" s="182"/>
      <c r="G457" s="182"/>
      <c r="H457" s="135"/>
      <c r="I457" s="135"/>
      <c r="J457" s="135"/>
      <c r="K457" s="135"/>
      <c r="L457" s="135"/>
      <c r="M457" s="135"/>
      <c r="N457" s="135"/>
      <c r="O457" s="135"/>
      <c r="P457" s="135"/>
    </row>
    <row r="458" customFormat="false" ht="15.75" hidden="false" customHeight="true" outlineLevel="0" collapsed="false">
      <c r="A458" s="135"/>
      <c r="B458" s="135"/>
      <c r="C458" s="135"/>
      <c r="D458" s="135"/>
      <c r="E458" s="135"/>
      <c r="F458" s="182"/>
      <c r="G458" s="182"/>
      <c r="H458" s="135"/>
      <c r="I458" s="135"/>
      <c r="J458" s="135"/>
      <c r="K458" s="135"/>
      <c r="L458" s="135"/>
      <c r="M458" s="135"/>
      <c r="N458" s="135"/>
      <c r="O458" s="135"/>
      <c r="P458" s="135"/>
    </row>
    <row r="459" customFormat="false" ht="15.75" hidden="false" customHeight="true" outlineLevel="0" collapsed="false">
      <c r="A459" s="135"/>
      <c r="B459" s="135"/>
      <c r="C459" s="135"/>
      <c r="D459" s="135"/>
      <c r="E459" s="135"/>
      <c r="F459" s="182"/>
      <c r="G459" s="182"/>
      <c r="H459" s="135"/>
      <c r="I459" s="135"/>
      <c r="J459" s="135"/>
      <c r="K459" s="135"/>
      <c r="L459" s="135"/>
      <c r="M459" s="135"/>
      <c r="N459" s="135"/>
      <c r="O459" s="135"/>
      <c r="P459" s="135"/>
    </row>
    <row r="460" customFormat="false" ht="15.75" hidden="false" customHeight="true" outlineLevel="0" collapsed="false">
      <c r="A460" s="135"/>
      <c r="B460" s="135"/>
      <c r="C460" s="135"/>
      <c r="D460" s="135"/>
      <c r="E460" s="135"/>
      <c r="F460" s="182"/>
      <c r="G460" s="182"/>
      <c r="H460" s="135"/>
      <c r="I460" s="135"/>
      <c r="J460" s="135"/>
      <c r="K460" s="135"/>
      <c r="L460" s="135"/>
      <c r="M460" s="135"/>
      <c r="N460" s="135"/>
      <c r="O460" s="135"/>
      <c r="P460" s="135"/>
    </row>
    <row r="461" customFormat="false" ht="15.75" hidden="false" customHeight="true" outlineLevel="0" collapsed="false">
      <c r="A461" s="135"/>
      <c r="B461" s="135"/>
      <c r="C461" s="135"/>
      <c r="D461" s="135"/>
      <c r="E461" s="135"/>
      <c r="F461" s="182"/>
      <c r="G461" s="182"/>
      <c r="H461" s="135"/>
      <c r="I461" s="135"/>
      <c r="J461" s="135"/>
      <c r="K461" s="135"/>
      <c r="L461" s="135"/>
      <c r="M461" s="135"/>
      <c r="N461" s="135"/>
      <c r="O461" s="135"/>
      <c r="P461" s="135"/>
    </row>
    <row r="462" customFormat="false" ht="15.75" hidden="false" customHeight="true" outlineLevel="0" collapsed="false">
      <c r="A462" s="135"/>
      <c r="B462" s="135"/>
      <c r="C462" s="135"/>
      <c r="D462" s="135"/>
      <c r="E462" s="135"/>
      <c r="F462" s="182"/>
      <c r="G462" s="182"/>
      <c r="H462" s="135"/>
      <c r="I462" s="135"/>
      <c r="J462" s="135"/>
      <c r="K462" s="135"/>
      <c r="L462" s="135"/>
      <c r="M462" s="135"/>
      <c r="N462" s="135"/>
      <c r="O462" s="135"/>
      <c r="P462" s="135"/>
    </row>
    <row r="463" customFormat="false" ht="15.75" hidden="false" customHeight="true" outlineLevel="0" collapsed="false">
      <c r="A463" s="135"/>
      <c r="B463" s="135"/>
      <c r="C463" s="135"/>
      <c r="D463" s="135"/>
      <c r="E463" s="135"/>
      <c r="F463" s="182"/>
      <c r="G463" s="182"/>
      <c r="H463" s="135"/>
      <c r="I463" s="135"/>
      <c r="J463" s="135"/>
      <c r="K463" s="135"/>
      <c r="L463" s="135"/>
      <c r="M463" s="135"/>
      <c r="N463" s="135"/>
      <c r="O463" s="135"/>
      <c r="P463" s="135"/>
    </row>
    <row r="464" customFormat="false" ht="15.75" hidden="false" customHeight="true" outlineLevel="0" collapsed="false">
      <c r="A464" s="135"/>
      <c r="B464" s="135"/>
      <c r="C464" s="135"/>
      <c r="D464" s="135"/>
      <c r="E464" s="135"/>
      <c r="F464" s="182"/>
      <c r="G464" s="182"/>
      <c r="H464" s="135"/>
      <c r="I464" s="135"/>
      <c r="J464" s="135"/>
      <c r="K464" s="135"/>
      <c r="L464" s="135"/>
      <c r="M464" s="135"/>
      <c r="N464" s="135"/>
      <c r="O464" s="135"/>
      <c r="P464" s="135"/>
    </row>
    <row r="465" customFormat="false" ht="15.75" hidden="false" customHeight="true" outlineLevel="0" collapsed="false">
      <c r="A465" s="135"/>
      <c r="B465" s="135"/>
      <c r="C465" s="135"/>
      <c r="D465" s="135"/>
      <c r="E465" s="135"/>
      <c r="F465" s="182"/>
      <c r="G465" s="182"/>
      <c r="H465" s="135"/>
      <c r="I465" s="135"/>
      <c r="J465" s="135"/>
      <c r="K465" s="135"/>
      <c r="L465" s="135"/>
      <c r="M465" s="135"/>
      <c r="N465" s="135"/>
      <c r="O465" s="135"/>
      <c r="P465" s="135"/>
    </row>
    <row r="466" customFormat="false" ht="15.75" hidden="false" customHeight="true" outlineLevel="0" collapsed="false">
      <c r="A466" s="135"/>
      <c r="B466" s="135"/>
      <c r="C466" s="135"/>
      <c r="D466" s="135"/>
      <c r="E466" s="135"/>
      <c r="F466" s="182"/>
      <c r="G466" s="182"/>
      <c r="H466" s="135"/>
      <c r="I466" s="135"/>
      <c r="J466" s="135"/>
      <c r="K466" s="135"/>
      <c r="L466" s="135"/>
      <c r="M466" s="135"/>
      <c r="N466" s="135"/>
      <c r="O466" s="135"/>
      <c r="P466" s="135"/>
    </row>
    <row r="467" customFormat="false" ht="15.75" hidden="false" customHeight="true" outlineLevel="0" collapsed="false">
      <c r="A467" s="135"/>
      <c r="B467" s="135"/>
      <c r="C467" s="135"/>
      <c r="D467" s="135"/>
      <c r="E467" s="135"/>
      <c r="F467" s="182"/>
      <c r="G467" s="182"/>
      <c r="H467" s="135"/>
      <c r="I467" s="135"/>
      <c r="J467" s="135"/>
      <c r="K467" s="135"/>
      <c r="L467" s="135"/>
      <c r="M467" s="135"/>
      <c r="N467" s="135"/>
      <c r="O467" s="135"/>
      <c r="P467" s="135"/>
    </row>
    <row r="468" customFormat="false" ht="15.75" hidden="false" customHeight="true" outlineLevel="0" collapsed="false">
      <c r="A468" s="135"/>
      <c r="B468" s="135"/>
      <c r="C468" s="135"/>
      <c r="D468" s="135"/>
      <c r="E468" s="135"/>
      <c r="F468" s="182"/>
      <c r="G468" s="182"/>
      <c r="H468" s="135"/>
      <c r="I468" s="135"/>
      <c r="J468" s="135"/>
      <c r="K468" s="135"/>
      <c r="L468" s="135"/>
      <c r="M468" s="135"/>
      <c r="N468" s="135"/>
      <c r="O468" s="135"/>
      <c r="P468" s="135"/>
    </row>
    <row r="469" customFormat="false" ht="15.75" hidden="false" customHeight="true" outlineLevel="0" collapsed="false">
      <c r="A469" s="135"/>
      <c r="B469" s="135"/>
      <c r="C469" s="135"/>
      <c r="D469" s="135"/>
      <c r="E469" s="135"/>
      <c r="F469" s="182"/>
      <c r="G469" s="182"/>
      <c r="H469" s="135"/>
      <c r="I469" s="135"/>
      <c r="J469" s="135"/>
      <c r="K469" s="135"/>
      <c r="L469" s="135"/>
      <c r="M469" s="135"/>
      <c r="N469" s="135"/>
      <c r="O469" s="135"/>
      <c r="P469" s="135"/>
    </row>
    <row r="470" customFormat="false" ht="15.75" hidden="false" customHeight="true" outlineLevel="0" collapsed="false">
      <c r="A470" s="135"/>
      <c r="B470" s="135"/>
      <c r="C470" s="135"/>
      <c r="D470" s="135"/>
      <c r="E470" s="135"/>
      <c r="F470" s="182"/>
      <c r="G470" s="182"/>
      <c r="H470" s="135"/>
      <c r="I470" s="135"/>
      <c r="J470" s="135"/>
      <c r="K470" s="135"/>
      <c r="L470" s="135"/>
      <c r="M470" s="135"/>
      <c r="N470" s="135"/>
      <c r="O470" s="135"/>
      <c r="P470" s="135"/>
    </row>
    <row r="471" customFormat="false" ht="15.75" hidden="false" customHeight="true" outlineLevel="0" collapsed="false">
      <c r="A471" s="135"/>
      <c r="B471" s="135"/>
      <c r="C471" s="135"/>
      <c r="D471" s="135"/>
      <c r="E471" s="135"/>
      <c r="F471" s="182"/>
      <c r="G471" s="182"/>
      <c r="H471" s="135"/>
      <c r="I471" s="135"/>
      <c r="J471" s="135"/>
      <c r="K471" s="135"/>
      <c r="L471" s="135"/>
      <c r="M471" s="135"/>
      <c r="N471" s="135"/>
      <c r="O471" s="135"/>
      <c r="P471" s="135"/>
    </row>
    <row r="472" customFormat="false" ht="15.75" hidden="false" customHeight="true" outlineLevel="0" collapsed="false">
      <c r="A472" s="135"/>
      <c r="B472" s="135"/>
      <c r="C472" s="135"/>
      <c r="D472" s="135"/>
      <c r="E472" s="135"/>
      <c r="F472" s="182"/>
      <c r="G472" s="182"/>
      <c r="H472" s="135"/>
      <c r="I472" s="135"/>
      <c r="J472" s="135"/>
      <c r="K472" s="135"/>
      <c r="L472" s="135"/>
      <c r="M472" s="135"/>
      <c r="N472" s="135"/>
      <c r="O472" s="135"/>
      <c r="P472" s="135"/>
    </row>
    <row r="473" customFormat="false" ht="15.75" hidden="false" customHeight="true" outlineLevel="0" collapsed="false">
      <c r="A473" s="135"/>
      <c r="B473" s="135"/>
      <c r="C473" s="135"/>
      <c r="D473" s="135"/>
      <c r="E473" s="135"/>
      <c r="F473" s="182"/>
      <c r="G473" s="182"/>
      <c r="H473" s="135"/>
      <c r="I473" s="135"/>
      <c r="J473" s="135"/>
      <c r="K473" s="135"/>
      <c r="L473" s="135"/>
      <c r="M473" s="135"/>
      <c r="N473" s="135"/>
      <c r="O473" s="135"/>
      <c r="P473" s="135"/>
    </row>
    <row r="474" customFormat="false" ht="15.75" hidden="false" customHeight="true" outlineLevel="0" collapsed="false">
      <c r="A474" s="135"/>
      <c r="B474" s="135"/>
      <c r="C474" s="135"/>
      <c r="D474" s="135"/>
      <c r="E474" s="135"/>
      <c r="F474" s="182"/>
      <c r="G474" s="182"/>
      <c r="H474" s="135"/>
      <c r="I474" s="135"/>
      <c r="J474" s="135"/>
      <c r="K474" s="135"/>
      <c r="L474" s="135"/>
      <c r="M474" s="135"/>
      <c r="N474" s="135"/>
      <c r="O474" s="135"/>
      <c r="P474" s="135"/>
    </row>
    <row r="475" customFormat="false" ht="15.75" hidden="false" customHeight="true" outlineLevel="0" collapsed="false">
      <c r="A475" s="135"/>
      <c r="B475" s="135"/>
      <c r="C475" s="135"/>
      <c r="D475" s="135"/>
      <c r="E475" s="135"/>
      <c r="F475" s="182"/>
      <c r="G475" s="182"/>
      <c r="H475" s="135"/>
      <c r="I475" s="135"/>
      <c r="J475" s="135"/>
      <c r="K475" s="135"/>
      <c r="L475" s="135"/>
      <c r="M475" s="135"/>
      <c r="N475" s="135"/>
      <c r="O475" s="135"/>
      <c r="P475" s="135"/>
    </row>
    <row r="476" customFormat="false" ht="15.75" hidden="false" customHeight="true" outlineLevel="0" collapsed="false">
      <c r="A476" s="135"/>
      <c r="B476" s="135"/>
      <c r="C476" s="135"/>
      <c r="D476" s="135"/>
      <c r="E476" s="135"/>
      <c r="F476" s="182"/>
      <c r="G476" s="182"/>
      <c r="H476" s="135"/>
      <c r="I476" s="135"/>
      <c r="J476" s="135"/>
      <c r="K476" s="135"/>
      <c r="L476" s="135"/>
      <c r="M476" s="135"/>
      <c r="N476" s="135"/>
      <c r="O476" s="135"/>
      <c r="P476" s="135"/>
    </row>
    <row r="477" customFormat="false" ht="15.75" hidden="false" customHeight="true" outlineLevel="0" collapsed="false">
      <c r="A477" s="135"/>
      <c r="B477" s="135"/>
      <c r="C477" s="135"/>
      <c r="D477" s="135"/>
      <c r="E477" s="135"/>
      <c r="F477" s="182"/>
      <c r="G477" s="182"/>
      <c r="H477" s="135"/>
      <c r="I477" s="135"/>
      <c r="J477" s="135"/>
      <c r="K477" s="135"/>
      <c r="L477" s="135"/>
      <c r="M477" s="135"/>
      <c r="N477" s="135"/>
      <c r="O477" s="135"/>
      <c r="P477" s="135"/>
    </row>
    <row r="478" customFormat="false" ht="15.75" hidden="false" customHeight="true" outlineLevel="0" collapsed="false">
      <c r="A478" s="135"/>
      <c r="B478" s="135"/>
      <c r="C478" s="135"/>
      <c r="D478" s="135"/>
      <c r="E478" s="135"/>
      <c r="F478" s="182"/>
      <c r="G478" s="182"/>
      <c r="H478" s="135"/>
      <c r="I478" s="135"/>
      <c r="J478" s="135"/>
      <c r="K478" s="135"/>
      <c r="L478" s="135"/>
      <c r="M478" s="135"/>
      <c r="N478" s="135"/>
      <c r="O478" s="135"/>
      <c r="P478" s="135"/>
    </row>
    <row r="479" customFormat="false" ht="15.75" hidden="false" customHeight="true" outlineLevel="0" collapsed="false">
      <c r="A479" s="135"/>
      <c r="B479" s="135"/>
      <c r="C479" s="135"/>
      <c r="D479" s="135"/>
      <c r="E479" s="135"/>
      <c r="F479" s="182"/>
      <c r="G479" s="182"/>
      <c r="H479" s="135"/>
      <c r="I479" s="135"/>
      <c r="J479" s="135"/>
      <c r="K479" s="135"/>
      <c r="L479" s="135"/>
      <c r="M479" s="135"/>
      <c r="N479" s="135"/>
      <c r="O479" s="135"/>
      <c r="P479" s="135"/>
    </row>
    <row r="480" customFormat="false" ht="15.75" hidden="false" customHeight="true" outlineLevel="0" collapsed="false">
      <c r="A480" s="135"/>
      <c r="B480" s="135"/>
      <c r="C480" s="135"/>
      <c r="D480" s="135"/>
      <c r="E480" s="135"/>
      <c r="F480" s="182"/>
      <c r="G480" s="182"/>
      <c r="H480" s="135"/>
      <c r="I480" s="135"/>
      <c r="J480" s="135"/>
      <c r="K480" s="135"/>
      <c r="L480" s="135"/>
      <c r="M480" s="135"/>
      <c r="N480" s="135"/>
      <c r="O480" s="135"/>
      <c r="P480" s="135"/>
    </row>
    <row r="481" customFormat="false" ht="15.75" hidden="false" customHeight="true" outlineLevel="0" collapsed="false">
      <c r="A481" s="135"/>
      <c r="B481" s="135"/>
      <c r="C481" s="135"/>
      <c r="D481" s="135"/>
      <c r="E481" s="135"/>
      <c r="F481" s="182"/>
      <c r="G481" s="182"/>
      <c r="H481" s="135"/>
      <c r="I481" s="135"/>
      <c r="J481" s="135"/>
      <c r="K481" s="135"/>
      <c r="L481" s="135"/>
      <c r="M481" s="135"/>
      <c r="N481" s="135"/>
      <c r="O481" s="135"/>
      <c r="P481" s="135"/>
    </row>
    <row r="482" customFormat="false" ht="15.75" hidden="false" customHeight="true" outlineLevel="0" collapsed="false">
      <c r="A482" s="135"/>
      <c r="B482" s="135"/>
      <c r="C482" s="135"/>
      <c r="D482" s="135"/>
      <c r="E482" s="135"/>
      <c r="F482" s="182"/>
      <c r="G482" s="182"/>
      <c r="H482" s="135"/>
      <c r="I482" s="135"/>
      <c r="J482" s="135"/>
      <c r="K482" s="135"/>
      <c r="L482" s="135"/>
      <c r="M482" s="135"/>
      <c r="N482" s="135"/>
      <c r="O482" s="135"/>
      <c r="P482" s="135"/>
    </row>
    <row r="483" customFormat="false" ht="15.75" hidden="false" customHeight="true" outlineLevel="0" collapsed="false">
      <c r="A483" s="135"/>
      <c r="B483" s="135"/>
      <c r="C483" s="135"/>
      <c r="D483" s="135"/>
      <c r="E483" s="135"/>
      <c r="F483" s="182"/>
      <c r="G483" s="182"/>
      <c r="H483" s="135"/>
      <c r="I483" s="135"/>
      <c r="J483" s="135"/>
      <c r="K483" s="135"/>
      <c r="L483" s="135"/>
      <c r="M483" s="135"/>
      <c r="N483" s="135"/>
      <c r="O483" s="135"/>
      <c r="P483" s="135"/>
    </row>
    <row r="484" customFormat="false" ht="15.75" hidden="false" customHeight="true" outlineLevel="0" collapsed="false">
      <c r="A484" s="135"/>
      <c r="B484" s="135"/>
      <c r="C484" s="135"/>
      <c r="D484" s="135"/>
      <c r="E484" s="135"/>
      <c r="F484" s="182"/>
      <c r="G484" s="182"/>
      <c r="H484" s="135"/>
      <c r="I484" s="135"/>
      <c r="J484" s="135"/>
      <c r="K484" s="135"/>
      <c r="L484" s="135"/>
      <c r="M484" s="135"/>
      <c r="N484" s="135"/>
      <c r="O484" s="135"/>
      <c r="P484" s="135"/>
    </row>
    <row r="485" customFormat="false" ht="15.75" hidden="false" customHeight="true" outlineLevel="0" collapsed="false">
      <c r="A485" s="135"/>
      <c r="B485" s="135"/>
      <c r="C485" s="135"/>
      <c r="D485" s="135"/>
      <c r="E485" s="135"/>
      <c r="F485" s="182"/>
      <c r="G485" s="182"/>
      <c r="H485" s="135"/>
      <c r="I485" s="135"/>
      <c r="J485" s="135"/>
      <c r="K485" s="135"/>
      <c r="L485" s="135"/>
      <c r="M485" s="135"/>
      <c r="N485" s="135"/>
      <c r="O485" s="135"/>
      <c r="P485" s="135"/>
    </row>
    <row r="486" customFormat="false" ht="15.75" hidden="false" customHeight="true" outlineLevel="0" collapsed="false">
      <c r="A486" s="135"/>
      <c r="B486" s="135"/>
      <c r="C486" s="135"/>
      <c r="D486" s="135"/>
      <c r="E486" s="135"/>
      <c r="F486" s="182"/>
      <c r="G486" s="182"/>
      <c r="H486" s="135"/>
      <c r="I486" s="135"/>
      <c r="J486" s="135"/>
      <c r="K486" s="135"/>
      <c r="L486" s="135"/>
      <c r="M486" s="135"/>
      <c r="N486" s="135"/>
      <c r="O486" s="135"/>
      <c r="P486" s="135"/>
    </row>
    <row r="487" customFormat="false" ht="15.75" hidden="false" customHeight="true" outlineLevel="0" collapsed="false">
      <c r="A487" s="135"/>
      <c r="B487" s="135"/>
      <c r="C487" s="135"/>
      <c r="D487" s="135"/>
      <c r="E487" s="135"/>
      <c r="F487" s="182"/>
      <c r="G487" s="182"/>
      <c r="H487" s="135"/>
      <c r="I487" s="135"/>
      <c r="J487" s="135"/>
      <c r="K487" s="135"/>
      <c r="L487" s="135"/>
      <c r="M487" s="135"/>
      <c r="N487" s="135"/>
      <c r="O487" s="135"/>
      <c r="P487" s="135"/>
    </row>
    <row r="488" customFormat="false" ht="15.75" hidden="false" customHeight="true" outlineLevel="0" collapsed="false">
      <c r="A488" s="135"/>
      <c r="B488" s="135"/>
      <c r="C488" s="135"/>
      <c r="D488" s="135"/>
      <c r="E488" s="135"/>
      <c r="F488" s="182"/>
      <c r="G488" s="182"/>
      <c r="H488" s="135"/>
      <c r="I488" s="135"/>
      <c r="J488" s="135"/>
      <c r="K488" s="135"/>
      <c r="L488" s="135"/>
      <c r="M488" s="135"/>
      <c r="N488" s="135"/>
      <c r="O488" s="135"/>
      <c r="P488" s="135"/>
    </row>
    <row r="489" customFormat="false" ht="15.75" hidden="false" customHeight="true" outlineLevel="0" collapsed="false">
      <c r="A489" s="135"/>
      <c r="B489" s="135"/>
      <c r="C489" s="135"/>
      <c r="D489" s="135"/>
      <c r="E489" s="135"/>
      <c r="F489" s="182"/>
      <c r="G489" s="182"/>
      <c r="H489" s="135"/>
      <c r="I489" s="135"/>
      <c r="J489" s="135"/>
      <c r="K489" s="135"/>
      <c r="L489" s="135"/>
      <c r="M489" s="135"/>
      <c r="N489" s="135"/>
      <c r="O489" s="135"/>
      <c r="P489" s="135"/>
    </row>
    <row r="490" customFormat="false" ht="15.75" hidden="false" customHeight="true" outlineLevel="0" collapsed="false">
      <c r="A490" s="135"/>
      <c r="B490" s="135"/>
      <c r="C490" s="135"/>
      <c r="D490" s="135"/>
      <c r="E490" s="135"/>
      <c r="F490" s="182"/>
      <c r="G490" s="182"/>
      <c r="H490" s="135"/>
      <c r="I490" s="135"/>
      <c r="J490" s="135"/>
      <c r="K490" s="135"/>
      <c r="L490" s="135"/>
      <c r="M490" s="135"/>
      <c r="N490" s="135"/>
      <c r="O490" s="135"/>
      <c r="P490" s="135"/>
    </row>
    <row r="491" customFormat="false" ht="15.75" hidden="false" customHeight="true" outlineLevel="0" collapsed="false">
      <c r="A491" s="135"/>
      <c r="B491" s="135"/>
      <c r="C491" s="135"/>
      <c r="D491" s="135"/>
      <c r="E491" s="135"/>
      <c r="F491" s="182"/>
      <c r="G491" s="182"/>
      <c r="H491" s="135"/>
      <c r="I491" s="135"/>
      <c r="J491" s="135"/>
      <c r="K491" s="135"/>
      <c r="L491" s="135"/>
      <c r="M491" s="135"/>
      <c r="N491" s="135"/>
      <c r="O491" s="135"/>
      <c r="P491" s="135"/>
    </row>
    <row r="492" customFormat="false" ht="15.75" hidden="false" customHeight="true" outlineLevel="0" collapsed="false">
      <c r="A492" s="135"/>
      <c r="B492" s="135"/>
      <c r="C492" s="135"/>
      <c r="D492" s="135"/>
      <c r="E492" s="135"/>
      <c r="F492" s="182"/>
      <c r="G492" s="182"/>
      <c r="H492" s="135"/>
      <c r="I492" s="135"/>
      <c r="J492" s="135"/>
      <c r="K492" s="135"/>
      <c r="L492" s="135"/>
      <c r="M492" s="135"/>
      <c r="N492" s="135"/>
      <c r="O492" s="135"/>
      <c r="P492" s="135"/>
    </row>
    <row r="493" customFormat="false" ht="15.75" hidden="false" customHeight="true" outlineLevel="0" collapsed="false">
      <c r="A493" s="135"/>
      <c r="B493" s="135"/>
      <c r="C493" s="135"/>
      <c r="D493" s="135"/>
      <c r="E493" s="135"/>
      <c r="F493" s="182"/>
      <c r="G493" s="182"/>
      <c r="H493" s="135"/>
      <c r="I493" s="135"/>
      <c r="J493" s="135"/>
      <c r="K493" s="135"/>
      <c r="L493" s="135"/>
      <c r="M493" s="135"/>
      <c r="N493" s="135"/>
      <c r="O493" s="135"/>
      <c r="P493" s="135"/>
    </row>
    <row r="494" customFormat="false" ht="15.75" hidden="false" customHeight="true" outlineLevel="0" collapsed="false">
      <c r="A494" s="135"/>
      <c r="B494" s="135"/>
      <c r="C494" s="135"/>
      <c r="D494" s="135"/>
      <c r="E494" s="135"/>
      <c r="F494" s="182"/>
      <c r="G494" s="182"/>
      <c r="H494" s="135"/>
      <c r="I494" s="135"/>
      <c r="J494" s="135"/>
      <c r="K494" s="135"/>
      <c r="L494" s="135"/>
      <c r="M494" s="135"/>
      <c r="N494" s="135"/>
      <c r="O494" s="135"/>
      <c r="P494" s="135"/>
    </row>
    <row r="495" customFormat="false" ht="15.75" hidden="false" customHeight="true" outlineLevel="0" collapsed="false">
      <c r="A495" s="135"/>
      <c r="B495" s="135"/>
      <c r="C495" s="135"/>
      <c r="D495" s="135"/>
      <c r="E495" s="135"/>
      <c r="F495" s="182"/>
      <c r="G495" s="182"/>
      <c r="H495" s="135"/>
      <c r="I495" s="135"/>
      <c r="J495" s="135"/>
      <c r="K495" s="135"/>
      <c r="L495" s="135"/>
      <c r="M495" s="135"/>
      <c r="N495" s="135"/>
      <c r="O495" s="135"/>
      <c r="P495" s="135"/>
    </row>
    <row r="496" customFormat="false" ht="15.75" hidden="false" customHeight="true" outlineLevel="0" collapsed="false">
      <c r="A496" s="135"/>
      <c r="B496" s="135"/>
      <c r="C496" s="135"/>
      <c r="D496" s="135"/>
      <c r="E496" s="135"/>
      <c r="F496" s="182"/>
      <c r="G496" s="182"/>
      <c r="H496" s="135"/>
      <c r="I496" s="135"/>
      <c r="J496" s="135"/>
      <c r="K496" s="135"/>
      <c r="L496" s="135"/>
      <c r="M496" s="135"/>
      <c r="N496" s="135"/>
      <c r="O496" s="135"/>
      <c r="P496" s="135"/>
    </row>
    <row r="497" customFormat="false" ht="15.75" hidden="false" customHeight="true" outlineLevel="0" collapsed="false">
      <c r="A497" s="135"/>
      <c r="B497" s="135"/>
      <c r="C497" s="135"/>
      <c r="D497" s="135"/>
      <c r="E497" s="135"/>
      <c r="F497" s="182"/>
      <c r="G497" s="182"/>
      <c r="H497" s="135"/>
      <c r="I497" s="135"/>
      <c r="J497" s="135"/>
      <c r="K497" s="135"/>
      <c r="L497" s="135"/>
      <c r="M497" s="135"/>
      <c r="N497" s="135"/>
      <c r="O497" s="135"/>
      <c r="P497" s="135"/>
    </row>
    <row r="498" customFormat="false" ht="15.75" hidden="false" customHeight="true" outlineLevel="0" collapsed="false">
      <c r="A498" s="135"/>
      <c r="B498" s="135"/>
      <c r="C498" s="135"/>
      <c r="D498" s="135"/>
      <c r="E498" s="135"/>
      <c r="F498" s="182"/>
      <c r="G498" s="182"/>
      <c r="H498" s="135"/>
      <c r="I498" s="135"/>
      <c r="J498" s="135"/>
      <c r="K498" s="135"/>
      <c r="L498" s="135"/>
      <c r="M498" s="135"/>
      <c r="N498" s="135"/>
      <c r="O498" s="135"/>
      <c r="P498" s="135"/>
    </row>
    <row r="499" customFormat="false" ht="15.75" hidden="false" customHeight="true" outlineLevel="0" collapsed="false">
      <c r="A499" s="135"/>
      <c r="B499" s="135"/>
      <c r="C499" s="135"/>
      <c r="D499" s="135"/>
      <c r="E499" s="135"/>
      <c r="F499" s="182"/>
      <c r="G499" s="182"/>
      <c r="H499" s="135"/>
      <c r="I499" s="135"/>
      <c r="J499" s="135"/>
      <c r="K499" s="135"/>
      <c r="L499" s="135"/>
      <c r="M499" s="135"/>
      <c r="N499" s="135"/>
      <c r="O499" s="135"/>
      <c r="P499" s="135"/>
    </row>
    <row r="500" customFormat="false" ht="15.75" hidden="false" customHeight="true" outlineLevel="0" collapsed="false">
      <c r="A500" s="135"/>
      <c r="B500" s="135"/>
      <c r="C500" s="135"/>
      <c r="D500" s="135"/>
      <c r="E500" s="135"/>
      <c r="F500" s="182"/>
      <c r="G500" s="182"/>
      <c r="H500" s="135"/>
      <c r="I500" s="135"/>
      <c r="J500" s="135"/>
      <c r="K500" s="135"/>
      <c r="L500" s="135"/>
      <c r="M500" s="135"/>
      <c r="N500" s="135"/>
      <c r="O500" s="135"/>
      <c r="P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O15"/>
  <conditionalFormatting sqref="K4:K1000">
    <cfRule type="expression" priority="2" aboveAverage="0" equalAverage="0" bottom="0" percent="0" rank="0" text="" dxfId="18">
      <formula>ISNUMBER(SEARCH("in_progress",K4))</formula>
    </cfRule>
    <cfRule type="expression" priority="3" aboveAverage="0" equalAverage="0" bottom="0" percent="0" rank="0" text="" dxfId="14">
      <formula>ISNUMBER(SEARCH("cancelled",K4))</formula>
    </cfRule>
    <cfRule type="expression" priority="4" aboveAverage="0" equalAverage="0" bottom="0" percent="0" rank="0" text="" dxfId="29">
      <formula>ISNUMBER(SEARCH("finished",K4))</formula>
    </cfRule>
    <cfRule type="expression" priority="5" aboveAverage="0" equalAverage="0" bottom="0" percent="0" rank="0" text="" dxfId="15">
      <formula>ISNUMBER(SEARCH("planning",K4))</formula>
    </cfRule>
    <cfRule type="expression" priority="6" aboveAverage="0" equalAverage="0" bottom="0" percent="0" rank="0" text="" dxfId="16">
      <formula>ISNUMBER(SEARCH("open",K4))</formula>
    </cfRule>
  </conditionalFormatting>
  <dataValidations count="5">
    <dataValidation allowBlank="true" errorStyle="stop" operator="between" prompt="Ngày không hợp lệ - Ngày kết thúc phải sau ngày khai giảng" showDropDown="false" showErrorMessage="true" showInputMessage="true" sqref="G4:G500" type="custom">
      <formula1>OR(G4="",G4&gt;F4)</formula1>
      <formula2>0</formula2>
    </dataValidation>
    <dataValidation allowBlank="true" errorStyle="stop" operator="between" showDropDown="false" showErrorMessage="false" showInputMessage="false" sqref="D4:D500" type="list">
      <formula1>'CH1. Danh mục lựa chọn'!$B$406:$B$419</formula1>
      <formula2>0</formula2>
    </dataValidation>
    <dataValidation allowBlank="true" errorStyle="stop" operator="between" showDropDown="false" showErrorMessage="false" showInputMessage="false" sqref="L4:L500" type="list">
      <formula1>'CH1. Danh mục lựa chọn'!$B$64:$B$66</formula1>
      <formula2>0</formula2>
    </dataValidation>
    <dataValidation allowBlank="true" errorStyle="stop" operator="between" showDropDown="false" showErrorMessage="false" showInputMessage="false" sqref="M4:M500" type="list">
      <formula1>'CH1. Danh mục lựa chọn'!$B$423:$B$428</formula1>
      <formula2>0</formula2>
    </dataValidation>
    <dataValidation allowBlank="true" errorStyle="stop" operator="between" showDropDown="false" showErrorMessage="false" showInputMessage="false" sqref="K4:K500" type="list">
      <formula1>'CH1. Danh mục lựa chọn'!$B$398:$B$402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S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5.29"/>
    <col collapsed="false" customWidth="true" hidden="false" outlineLevel="0" max="2" min="2" style="1" width="20.57"/>
    <col collapsed="false" customWidth="true" hidden="false" outlineLevel="0" max="3" min="3" style="1" width="21.84"/>
    <col collapsed="false" customWidth="true" hidden="false" outlineLevel="0" max="4" min="4" style="1" width="18"/>
    <col collapsed="false" customWidth="true" hidden="false" outlineLevel="0" max="5" min="5" style="1" width="28.14"/>
    <col collapsed="false" customWidth="true" hidden="false" outlineLevel="0" max="6" min="6" style="1" width="24.43"/>
    <col collapsed="false" customWidth="true" hidden="false" outlineLevel="0" max="7" min="7" style="1" width="22.43"/>
    <col collapsed="false" customWidth="true" hidden="false" outlineLevel="0" max="8" min="8" style="1" width="27.57"/>
    <col collapsed="false" customWidth="true" hidden="false" outlineLevel="0" max="9" min="9" style="1" width="15.43"/>
    <col collapsed="false" customWidth="true" hidden="false" outlineLevel="0" max="10" min="10" style="1" width="30.57"/>
    <col collapsed="false" customWidth="true" hidden="false" outlineLevel="0" max="11" min="11" style="1" width="23.29"/>
    <col collapsed="false" customWidth="true" hidden="false" outlineLevel="0" max="12" min="12" style="1" width="34.43"/>
    <col collapsed="false" customWidth="true" hidden="false" outlineLevel="0" max="13" min="13" style="1" width="30.57"/>
    <col collapsed="false" customWidth="true" hidden="false" outlineLevel="0" max="14" min="14" style="1" width="29.86"/>
    <col collapsed="false" customWidth="true" hidden="false" outlineLevel="0" max="15" min="15" style="1" width="19.43"/>
    <col collapsed="false" customWidth="true" hidden="false" outlineLevel="0" max="16" min="16" style="1" width="42"/>
    <col collapsed="false" customWidth="true" hidden="false" outlineLevel="0" max="17" min="17" style="1" width="61.43"/>
    <col collapsed="false" customWidth="true" hidden="false" outlineLevel="0" max="18" min="18" style="1" width="33.86"/>
    <col collapsed="false" customWidth="true" hidden="false" outlineLevel="0" max="19" min="19" style="1" width="19.86"/>
    <col collapsed="false" customWidth="true" hidden="false" outlineLevel="0" max="26" min="20" style="1" width="8.71"/>
  </cols>
  <sheetData>
    <row r="1" customFormat="false" ht="51.75" hidden="false" customHeight="true" outlineLevel="0" collapsed="false">
      <c r="A1" s="90" t="s">
        <v>899</v>
      </c>
      <c r="B1" s="90" t="s">
        <v>872</v>
      </c>
      <c r="C1" s="90" t="s">
        <v>3238</v>
      </c>
      <c r="D1" s="90" t="s">
        <v>3239</v>
      </c>
      <c r="E1" s="90" t="s">
        <v>3240</v>
      </c>
      <c r="F1" s="90" t="s">
        <v>3241</v>
      </c>
      <c r="G1" s="90" t="s">
        <v>3242</v>
      </c>
      <c r="H1" s="90" t="s">
        <v>893</v>
      </c>
      <c r="I1" s="90" t="s">
        <v>895</v>
      </c>
      <c r="J1" s="90" t="s">
        <v>3243</v>
      </c>
      <c r="K1" s="90" t="s">
        <v>896</v>
      </c>
      <c r="L1" s="90" t="s">
        <v>3244</v>
      </c>
      <c r="M1" s="90" t="s">
        <v>897</v>
      </c>
      <c r="N1" s="90" t="s">
        <v>3245</v>
      </c>
      <c r="O1" s="90" t="s">
        <v>3246</v>
      </c>
      <c r="P1" s="90" t="s">
        <v>2270</v>
      </c>
      <c r="Q1" s="183" t="s">
        <v>480</v>
      </c>
      <c r="R1" s="90" t="s">
        <v>875</v>
      </c>
      <c r="S1" s="90" t="s">
        <v>898</v>
      </c>
    </row>
    <row r="2" customFormat="false" ht="15" hidden="false" customHeight="true" outlineLevel="0" collapsed="false">
      <c r="A2" s="176" t="s">
        <v>3247</v>
      </c>
      <c r="B2" s="176" t="s">
        <v>3248</v>
      </c>
      <c r="C2" s="176" t="s">
        <v>3249</v>
      </c>
      <c r="D2" s="176" t="s">
        <v>3250</v>
      </c>
      <c r="E2" s="176" t="s">
        <v>3251</v>
      </c>
      <c r="F2" s="176" t="s">
        <v>3252</v>
      </c>
      <c r="G2" s="176" t="s">
        <v>3253</v>
      </c>
      <c r="H2" s="176" t="s">
        <v>3254</v>
      </c>
      <c r="I2" s="176" t="s">
        <v>3255</v>
      </c>
      <c r="J2" s="176" t="s">
        <v>250</v>
      </c>
      <c r="K2" s="176" t="s">
        <v>3256</v>
      </c>
      <c r="L2" s="176" t="s">
        <v>3257</v>
      </c>
      <c r="M2" s="176" t="s">
        <v>3258</v>
      </c>
      <c r="N2" s="176" t="s">
        <v>3259</v>
      </c>
      <c r="O2" s="176" t="s">
        <v>3260</v>
      </c>
      <c r="P2" s="176" t="s">
        <v>2281</v>
      </c>
      <c r="Q2" s="176" t="s">
        <v>2503</v>
      </c>
      <c r="R2" s="176" t="s">
        <v>3010</v>
      </c>
      <c r="S2" s="176" t="s">
        <v>3261</v>
      </c>
    </row>
    <row r="3" customFormat="false" ht="24.75" hidden="false" customHeight="true" outlineLevel="0" collapsed="false">
      <c r="A3" s="195" t="s">
        <v>3262</v>
      </c>
      <c r="B3" s="195" t="s">
        <v>3263</v>
      </c>
      <c r="C3" s="195" t="s">
        <v>3264</v>
      </c>
      <c r="D3" s="195" t="s">
        <v>2291</v>
      </c>
      <c r="E3" s="195" t="s">
        <v>3265</v>
      </c>
      <c r="F3" s="195" t="s">
        <v>3266</v>
      </c>
      <c r="G3" s="195" t="s">
        <v>3267</v>
      </c>
      <c r="H3" s="195" t="s">
        <v>3268</v>
      </c>
      <c r="I3" s="195" t="s">
        <v>3269</v>
      </c>
      <c r="J3" s="195" t="s">
        <v>3270</v>
      </c>
      <c r="K3" s="195" t="s">
        <v>3271</v>
      </c>
      <c r="L3" s="195" t="s">
        <v>3272</v>
      </c>
      <c r="M3" s="195" t="s">
        <v>3273</v>
      </c>
      <c r="N3" s="195" t="s">
        <v>3274</v>
      </c>
      <c r="O3" s="195" t="s">
        <v>3275</v>
      </c>
      <c r="P3" s="195" t="s">
        <v>2281</v>
      </c>
      <c r="Q3" s="195" t="s">
        <v>3276</v>
      </c>
      <c r="R3" s="195" t="s">
        <v>3022</v>
      </c>
      <c r="S3" s="195" t="s">
        <v>2294</v>
      </c>
    </row>
    <row r="4" customFormat="false" ht="55.5" hidden="false" customHeight="true" outlineLevel="0" collapsed="false">
      <c r="A4" s="209" t="s">
        <v>3277</v>
      </c>
      <c r="B4" s="210" t="str">
        <f aca="false">IFERROR(HYPERLINK("#'DL10. Lớp học'!A"&amp;MATCH("LOP-FOUND-PLA-01",'DL10. Lớp học'!A:A,0),"LOP-FOUND-PLA-01"),"LOP-FOUND-PLA-01")</f>
        <v>LOP-FOUND-PLA-01</v>
      </c>
      <c r="C4" s="215" t="n">
        <v>5</v>
      </c>
      <c r="D4" s="232" t="n">
        <v>46198.75</v>
      </c>
      <c r="E4" s="211" t="n">
        <v>46198.75</v>
      </c>
      <c r="F4" s="211" t="n">
        <v>46198.75</v>
      </c>
      <c r="G4" s="211" t="n">
        <v>46198.8333333333</v>
      </c>
      <c r="H4" s="215" t="n">
        <f aca="false">IF(OR(E4="",F4=""),"",MAX(0,ROUND((F4-E4)*24*60,0)))</f>
        <v>0</v>
      </c>
      <c r="I4" s="210" t="str">
        <f aca="false">IFERROR(HYPERLINK("#'DL10. Lớp học'!A"&amp;MATCH("NV005",'DL01. Nhân viên'!A:A,0),"NV005"),"NV005")</f>
        <v>NV005</v>
      </c>
      <c r="J4" s="209" t="s">
        <v>1176</v>
      </c>
      <c r="K4" s="236" t="b">
        <f aca="false">TRUE()</f>
        <v>1</v>
      </c>
      <c r="L4" s="211" t="n">
        <v>46198.875</v>
      </c>
      <c r="M4" s="236" t="b">
        <f aca="false">TRUE()</f>
        <v>1</v>
      </c>
      <c r="N4" s="209" t="s">
        <v>3278</v>
      </c>
      <c r="O4" s="209"/>
      <c r="P4" s="209"/>
      <c r="Q4" s="237" t="str">
        <f aca="true" t="array" ref="Q4:Q4">IF(AND(LEFT(J4,9)="scheduled",ISNUMBER(E4),(NOW()-N(E4))*1440&gt;slaTeacherAttendance_minutes),INDEX('CH4. Thông điệp nhắc việc'!$G:$G,MATCH("NA068",'CH4. Thông điệp nhắc việc'!$A:$A,0)),IF(LEFT(J4,9)="scheduled",INDEX('CH4. Thông điệp nhắc việc'!$G:$G,MATCH("NA019",'CH4. Thông điệp nhắc việc'!$A:$A,0)),IF(LEFT(J4,11)="in_progress",INDEX('CH4. Thông điệp nhắc việc'!$G:$G,MATCH("NA020",'CH4. Thông điệp nhắc việc'!$A:$A,0)),IF(LEFT(J4,9)="completed",IF(K4=FALSE(),IF((NOW()-N(D4))*24&gt;slaTeacherNote_hours,INDEX('CH4.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việc'!$A:$A,0))),IF(LEFT(J4,9)="cancelled",INDEX('CH4. Thông điệp nhắc việc'!$G:$G,MATCH("NA023",'CH4. Thông điệp nhắc việc'!$A:$A,0)),IF(LEFT(J4,11)="rescheduled",INDEX('CH4. Thông điệp nhắc việc'!$G:$G,MATCH("NA024",'CH4. Thông điệp nhắc việc'!$A:$A,0)),""))))))</f>
        <v>Đã hoàn tất. Không cần làm gì thêm ở bước này.</v>
      </c>
      <c r="R4" s="224" t="str">
        <f aca="false">IFERROR(VLOOKUP(B4,'DL10. Lớp học'!$A:$B,2,FALSE()),"")</f>
        <v>Foundation PLA T7-CN sáng (06/2026)</v>
      </c>
      <c r="S4" s="224" t="str">
        <f aca="false">IFERROR(VLOOKUP(I4,'DL01. Nhân viên'!$A:$B,2,FALSE()),"")</f>
        <v>Phan Trung Chính</v>
      </c>
    </row>
    <row r="5" customFormat="false" ht="55.5" hidden="false" customHeight="true" outlineLevel="0" collapsed="false">
      <c r="A5" s="209" t="s">
        <v>3279</v>
      </c>
      <c r="B5" s="210" t="str">
        <f aca="false">IFERROR(HYPERLINK("#'DL10. Lớp học'!A"&amp;MATCH("LOP-IELTS-6.0-12",'DL10. Lớp học'!A:A,0),"LOP-IELTS-6.0-12"),"LOP-IELTS-6.0-12")</f>
        <v>LOP-IELTS-6.0-12</v>
      </c>
      <c r="C5" s="215" t="n">
        <v>8</v>
      </c>
      <c r="D5" s="232" t="n">
        <v>46196.75</v>
      </c>
      <c r="E5" s="211" t="n">
        <v>46196.75</v>
      </c>
      <c r="F5" s="211" t="n">
        <v>46196.75</v>
      </c>
      <c r="G5" s="211" t="n">
        <v>46196.8333333333</v>
      </c>
      <c r="H5" s="215" t="n">
        <f aca="false">IF(OR(E5="",F5=""),"",MAX(0,ROUND((F5-E5)*24*60,0)))</f>
        <v>0</v>
      </c>
      <c r="I5" s="210" t="str">
        <f aca="false">IFERROR(HYPERLINK("#'DL10. Lớp học'!A"&amp;MATCH("NV031",'DL01. Nhân viên'!A:A,0),"NV031"),"NV031")</f>
        <v>NV031</v>
      </c>
      <c r="J5" s="209" t="s">
        <v>1176</v>
      </c>
      <c r="K5" s="236" t="b">
        <f aca="false">TRUE()</f>
        <v>1</v>
      </c>
      <c r="L5" s="211" t="n">
        <v>46196.875</v>
      </c>
      <c r="M5" s="236" t="b">
        <f aca="false">TRUE()</f>
        <v>1</v>
      </c>
      <c r="N5" s="209" t="s">
        <v>3278</v>
      </c>
      <c r="O5" s="209"/>
      <c r="P5" s="209"/>
      <c r="Q5" s="237" t="str">
        <f aca="true" t="array" ref="Q5:Q5">IF(AND(LEFT(J5,9)="scheduled",ISNUMBER(E5),(NOW()-N(E5))*1440&gt;slaTeacherAttendance_minutes),INDEX('CH4. Thông điệp nhắc việc'!$G:$G,MATCH("NA068",'CH4. Thông điệp nhắc việc'!$A:$A,0)),IF(LEFT(J5,9)="scheduled",INDEX('CH4. Thông điệp nhắc việc'!$G:$G,MATCH("NA019",'CH4. Thông điệp nhắc việc'!$A:$A,0)),IF(LEFT(J5,11)="in_progress",INDEX('CH4. Thông điệp nhắc việc'!$G:$G,MATCH("NA020",'CH4. Thông điệp nhắc việc'!$A:$A,0)),IF(LEFT(J5,9)="completed",IF(K5=FALSE(),IF((NOW()-N(D5))*24&gt;slaTeacherNote_hours,INDEX('CH4.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việc'!$A:$A,0))),IF(LEFT(J5,9)="cancelled",INDEX('CH4. Thông điệp nhắc việc'!$G:$G,MATCH("NA023",'CH4. Thông điệp nhắc việc'!$A:$A,0)),IF(LEFT(J5,11)="rescheduled",INDEX('CH4. Thông điệp nhắc việc'!$G:$G,MATCH("NA024",'CH4. Thông điệp nhắc việc'!$A:$A,0)),""))))))</f>
        <v>Đã hoàn tất. Không cần làm gì thêm ở bước này.</v>
      </c>
      <c r="R5" s="224" t="str">
        <f aca="false">IFERROR(VLOOKUP(B5,'DL10. Lớp học'!$A:$B,2,FALSE()),"")</f>
        <v>IELTS 6.0 Cuối tuần (01/2026)</v>
      </c>
      <c r="S5" s="224" t="str">
        <f aca="false">IFERROR(VLOOKUP(I5,'DL01. Nhân viên'!$A:$B,2,FALSE()),"")</f>
        <v>Trần Thanh Minh</v>
      </c>
    </row>
    <row r="6" customFormat="false" ht="55.5" hidden="false" customHeight="true" outlineLevel="0" collapsed="false">
      <c r="A6" s="209" t="s">
        <v>3280</v>
      </c>
      <c r="B6" s="210" t="str">
        <f aca="false">IFERROR(HYPERLINK("#'DL10. Lớp học'!A"&amp;MATCH("LOP-IELTS-6.0-12",'DL10. Lớp học'!A:A,0),"LOP-IELTS-6.0-12"),"LOP-IELTS-6.0-12")</f>
        <v>LOP-IELTS-6.0-12</v>
      </c>
      <c r="C6" s="215" t="n">
        <v>9</v>
      </c>
      <c r="D6" s="232" t="n">
        <v>46199.75</v>
      </c>
      <c r="E6" s="211" t="n">
        <v>46199.75</v>
      </c>
      <c r="F6" s="211" t="n">
        <v>46199.75</v>
      </c>
      <c r="G6" s="211" t="n">
        <v>46199.8333333333</v>
      </c>
      <c r="H6" s="215" t="n">
        <f aca="false">IF(OR(E6="",F6=""),"",MAX(0,ROUND((F6-E6)*24*60,0)))</f>
        <v>0</v>
      </c>
      <c r="I6" s="210" t="str">
        <f aca="false">IFERROR(HYPERLINK("#'DL10. Lớp học'!A"&amp;MATCH("NV031",'DL01. Nhân viên'!A:A,0),"NV031"),"NV031")</f>
        <v>NV031</v>
      </c>
      <c r="J6" s="209" t="s">
        <v>1176</v>
      </c>
      <c r="K6" s="236" t="b">
        <f aca="false">TRUE()</f>
        <v>1</v>
      </c>
      <c r="L6" s="211" t="n">
        <v>46199.875</v>
      </c>
      <c r="M6" s="236" t="b">
        <f aca="false">TRUE()</f>
        <v>1</v>
      </c>
      <c r="N6" s="209" t="s">
        <v>3278</v>
      </c>
      <c r="O6" s="209"/>
      <c r="P6" s="209"/>
      <c r="Q6" s="237" t="str">
        <f aca="true" t="array" ref="Q6:Q6">IF(AND(LEFT(J6,9)="scheduled",ISNUMBER(E6),(NOW()-N(E6))*1440&gt;slaTeacherAttendance_minutes),INDEX('CH4. Thông điệp nhắc việc'!$G:$G,MATCH("NA068",'CH4. Thông điệp nhắc việc'!$A:$A,0)),IF(LEFT(J6,9)="scheduled",INDEX('CH4. Thông điệp nhắc việc'!$G:$G,MATCH("NA019",'CH4. Thông điệp nhắc việc'!$A:$A,0)),IF(LEFT(J6,11)="in_progress",INDEX('CH4. Thông điệp nhắc việc'!$G:$G,MATCH("NA020",'CH4. Thông điệp nhắc việc'!$A:$A,0)),IF(LEFT(J6,9)="completed",IF(K6=FALSE(),IF((NOW()-N(D6))*24&gt;slaTeacherNote_hours,INDEX('CH4.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việc'!$A:$A,0))),IF(LEFT(J6,9)="cancelled",INDEX('CH4. Thông điệp nhắc việc'!$G:$G,MATCH("NA023",'CH4. Thông điệp nhắc việc'!$A:$A,0)),IF(LEFT(J6,11)="rescheduled",INDEX('CH4. Thông điệp nhắc việc'!$G:$G,MATCH("NA024",'CH4. Thông điệp nhắc việc'!$A:$A,0)),""))))))</f>
        <v>Đã hoàn tất. Không cần làm gì thêm ở bước này.</v>
      </c>
      <c r="R6" s="224" t="str">
        <f aca="false">IFERROR(VLOOKUP(B6,'DL10. Lớp học'!$A:$B,2,FALSE()),"")</f>
        <v>IELTS 6.0 Cuối tuần (01/2026)</v>
      </c>
      <c r="S6" s="224" t="str">
        <f aca="false">IFERROR(VLOOKUP(I6,'DL01. Nhân viên'!$A:$B,2,FALSE()),"")</f>
        <v>Trần Thanh Minh</v>
      </c>
    </row>
    <row r="7" customFormat="false" ht="55.5" hidden="false" customHeight="true" outlineLevel="0" collapsed="false">
      <c r="A7" s="209" t="s">
        <v>3281</v>
      </c>
      <c r="B7" s="210" t="str">
        <f aca="false">IFERROR(HYPERLINK("#'DL10. Lớp học'!A"&amp;MATCH("LOP-IELTS-6.0-12",'DL10. Lớp học'!A:A,0),"LOP-IELTS-6.0-12"),"LOP-IELTS-6.0-12")</f>
        <v>LOP-IELTS-6.0-12</v>
      </c>
      <c r="C7" s="215" t="n">
        <v>10</v>
      </c>
      <c r="D7" s="232" t="n">
        <v>46203.75</v>
      </c>
      <c r="E7" s="211" t="n">
        <v>46203.75</v>
      </c>
      <c r="F7" s="211" t="n">
        <v>46203.75</v>
      </c>
      <c r="G7" s="211" t="n">
        <v>46203.8333333333</v>
      </c>
      <c r="H7" s="215" t="n">
        <f aca="false">IF(OR(E7="",F7=""),"",MAX(0,ROUND((F7-E7)*24*60,0)))</f>
        <v>0</v>
      </c>
      <c r="I7" s="210" t="str">
        <f aca="false">IFERROR(HYPERLINK("#'DL10. Lớp học'!A"&amp;MATCH("NV031",'DL01. Nhân viên'!A:A,0),"NV031"),"NV031")</f>
        <v>NV031</v>
      </c>
      <c r="J7" s="209" t="s">
        <v>1176</v>
      </c>
      <c r="K7" s="236" t="b">
        <f aca="false">TRUE()</f>
        <v>1</v>
      </c>
      <c r="L7" s="211" t="n">
        <v>46203.875</v>
      </c>
      <c r="M7" s="236" t="b">
        <f aca="false">TRUE()</f>
        <v>1</v>
      </c>
      <c r="N7" s="209" t="s">
        <v>3278</v>
      </c>
      <c r="O7" s="209"/>
      <c r="P7" s="209"/>
      <c r="Q7" s="237" t="str">
        <f aca="true" t="array" ref="Q7:Q7">IF(AND(LEFT(J7,9)="scheduled",ISNUMBER(E7),(NOW()-N(E7))*1440&gt;slaTeacherAttendance_minutes),INDEX('CH4. Thông điệp nhắc việc'!$G:$G,MATCH("NA068",'CH4. Thông điệp nhắc việc'!$A:$A,0)),IF(LEFT(J7,9)="scheduled",INDEX('CH4. Thông điệp nhắc việc'!$G:$G,MATCH("NA019",'CH4. Thông điệp nhắc việc'!$A:$A,0)),IF(LEFT(J7,11)="in_progress",INDEX('CH4. Thông điệp nhắc việc'!$G:$G,MATCH("NA020",'CH4. Thông điệp nhắc việc'!$A:$A,0)),IF(LEFT(J7,9)="completed",IF(K7=FALSE(),IF((NOW()-N(D7))*24&gt;slaTeacherNote_hours,INDEX('CH4.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việc'!$A:$A,0))),IF(LEFT(J7,9)="cancelled",INDEX('CH4. Thông điệp nhắc việc'!$G:$G,MATCH("NA023",'CH4. Thông điệp nhắc việc'!$A:$A,0)),IF(LEFT(J7,11)="rescheduled",INDEX('CH4. Thông điệp nhắc việc'!$G:$G,MATCH("NA024",'CH4. Thông điệp nhắc việc'!$A:$A,0)),""))))))</f>
        <v>Đã hoàn tất. Không cần làm gì thêm ở bước này.</v>
      </c>
      <c r="R7" s="224" t="str">
        <f aca="false">IFERROR(VLOOKUP(B7,'DL10. Lớp học'!$A:$B,2,FALSE()),"")</f>
        <v>IELTS 6.0 Cuối tuần (01/2026)</v>
      </c>
      <c r="S7" s="224" t="str">
        <f aca="false">IFERROR(VLOOKUP(I7,'DL01. Nhân viên'!$A:$B,2,FALSE()),"")</f>
        <v>Trần Thanh Minh</v>
      </c>
    </row>
    <row r="8" customFormat="false" ht="55.5" hidden="false" customHeight="true" outlineLevel="0" collapsed="false">
      <c r="A8" s="209" t="s">
        <v>3282</v>
      </c>
      <c r="B8" s="210" t="str">
        <f aca="false">IFERROR(HYPERLINK("#'DL10. Lớp học'!A"&amp;MATCH("LOP-IELTS-7.0-02",'DL10. Lớp học'!A:A,0),"LOP-IELTS-7.0-02"),"LOP-IELTS-7.0-02")</f>
        <v>LOP-IELTS-7.0-02</v>
      </c>
      <c r="C8" s="215" t="n">
        <v>7</v>
      </c>
      <c r="D8" s="232" t="n">
        <v>46197.75</v>
      </c>
      <c r="E8" s="211" t="n">
        <v>46197.75</v>
      </c>
      <c r="F8" s="211" t="n">
        <v>46197.75</v>
      </c>
      <c r="G8" s="211" t="n">
        <v>46197.8333333333</v>
      </c>
      <c r="H8" s="215" t="n">
        <f aca="false">IF(OR(E8="",F8=""),"",MAX(0,ROUND((F8-E8)*24*60,0)))</f>
        <v>0</v>
      </c>
      <c r="I8" s="210" t="str">
        <f aca="false">IFERROR(HYPERLINK("#'DL10. Lớp học'!A"&amp;MATCH("NV006",'DL01. Nhân viên'!A:A,0),"NV006"),"NV006")</f>
        <v>NV006</v>
      </c>
      <c r="J8" s="209" t="s">
        <v>1176</v>
      </c>
      <c r="K8" s="236" t="b">
        <f aca="false">TRUE()</f>
        <v>1</v>
      </c>
      <c r="L8" s="211" t="n">
        <v>46197.875</v>
      </c>
      <c r="M8" s="236" t="b">
        <f aca="false">TRUE()</f>
        <v>1</v>
      </c>
      <c r="N8" s="209" t="s">
        <v>3278</v>
      </c>
      <c r="O8" s="209"/>
      <c r="P8" s="209"/>
      <c r="Q8" s="237" t="str">
        <f aca="true" t="array" ref="Q8:Q8">IF(AND(LEFT(J8,9)="scheduled",ISNUMBER(E8),(NOW()-N(E8))*1440&gt;slaTeacherAttendance_minutes),INDEX('CH4. Thông điệp nhắc việc'!$G:$G,MATCH("NA068",'CH4. Thông điệp nhắc việc'!$A:$A,0)),IF(LEFT(J8,9)="scheduled",INDEX('CH4. Thông điệp nhắc việc'!$G:$G,MATCH("NA019",'CH4. Thông điệp nhắc việc'!$A:$A,0)),IF(LEFT(J8,11)="in_progress",INDEX('CH4. Thông điệp nhắc việc'!$G:$G,MATCH("NA020",'CH4. Thông điệp nhắc việc'!$A:$A,0)),IF(LEFT(J8,9)="completed",IF(K8=FALSE(),IF((NOW()-N(D8))*24&gt;slaTeacherNote_hours,INDEX('CH4.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việc'!$A:$A,0))),IF(LEFT(J8,9)="cancelled",INDEX('CH4. Thông điệp nhắc việc'!$G:$G,MATCH("NA023",'CH4. Thông điệp nhắc việc'!$A:$A,0)),IF(LEFT(J8,11)="rescheduled",INDEX('CH4. Thông điệp nhắc việc'!$G:$G,MATCH("NA024",'CH4. Thông điệp nhắc việc'!$A:$A,0)),""))))))</f>
        <v>Đã hoàn tất. Không cần làm gì thêm ở bước này.</v>
      </c>
      <c r="R8" s="224" t="str">
        <f aca="false">IFERROR(VLOOKUP(B8,'DL10. Lớp học'!$A:$B,2,FALSE()),"")</f>
        <v>IELTS 7.0+ Tối T3-T5 (02/2026)</v>
      </c>
      <c r="S8" s="224" t="str">
        <f aca="false">IFERROR(VLOOKUP(I8,'DL01. Nhân viên'!$A:$B,2,FALSE()),"")</f>
        <v>Phạm Tấn Phát</v>
      </c>
    </row>
    <row r="9" customFormat="false" ht="55.5" hidden="false" customHeight="true" outlineLevel="0" collapsed="false">
      <c r="A9" s="209" t="s">
        <v>3283</v>
      </c>
      <c r="B9" s="210" t="str">
        <f aca="false">IFERROR(HYPERLINK("#'DL10. Lớp học'!A"&amp;MATCH("LOP-IELTS-7.0-02",'DL10. Lớp học'!A:A,0),"LOP-IELTS-7.0-02"),"LOP-IELTS-7.0-02")</f>
        <v>LOP-IELTS-7.0-02</v>
      </c>
      <c r="C9" s="215" t="n">
        <v>8</v>
      </c>
      <c r="D9" s="232" t="n">
        <v>46201.75</v>
      </c>
      <c r="E9" s="211" t="n">
        <v>46201.75</v>
      </c>
      <c r="F9" s="211" t="n">
        <v>46201.75</v>
      </c>
      <c r="G9" s="211" t="n">
        <v>46201.8333333333</v>
      </c>
      <c r="H9" s="215" t="n">
        <f aca="false">IF(OR(E9="",F9=""),"",MAX(0,ROUND((F9-E9)*24*60,0)))</f>
        <v>0</v>
      </c>
      <c r="I9" s="210" t="str">
        <f aca="false">IFERROR(HYPERLINK("#'DL10. Lớp học'!A"&amp;MATCH("NV006",'DL01. Nhân viên'!A:A,0),"NV006"),"NV006")</f>
        <v>NV006</v>
      </c>
      <c r="J9" s="209" t="s">
        <v>1176</v>
      </c>
      <c r="K9" s="236" t="b">
        <f aca="false">TRUE()</f>
        <v>1</v>
      </c>
      <c r="L9" s="211" t="n">
        <v>46201.875</v>
      </c>
      <c r="M9" s="236" t="b">
        <f aca="false">TRUE()</f>
        <v>1</v>
      </c>
      <c r="N9" s="209" t="s">
        <v>3278</v>
      </c>
      <c r="O9" s="209"/>
      <c r="P9" s="209"/>
      <c r="Q9" s="237" t="str">
        <f aca="true" t="array" ref="Q9:Q9">IF(AND(LEFT(J9,9)="scheduled",ISNUMBER(E9),(NOW()-N(E9))*1440&gt;slaTeacherAttendance_minutes),INDEX('CH4. Thông điệp nhắc việc'!$G:$G,MATCH("NA068",'CH4. Thông điệp nhắc việc'!$A:$A,0)),IF(LEFT(J9,9)="scheduled",INDEX('CH4. Thông điệp nhắc việc'!$G:$G,MATCH("NA019",'CH4. Thông điệp nhắc việc'!$A:$A,0)),IF(LEFT(J9,11)="in_progress",INDEX('CH4. Thông điệp nhắc việc'!$G:$G,MATCH("NA020",'CH4. Thông điệp nhắc việc'!$A:$A,0)),IF(LEFT(J9,9)="completed",IF(K9=FALSE(),IF((NOW()-N(D9))*24&gt;slaTeacherNote_hours,INDEX('CH4.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việc'!$A:$A,0))),IF(LEFT(J9,9)="cancelled",INDEX('CH4. Thông điệp nhắc việc'!$G:$G,MATCH("NA023",'CH4. Thông điệp nhắc việc'!$A:$A,0)),IF(LEFT(J9,11)="rescheduled",INDEX('CH4. Thông điệp nhắc việc'!$G:$G,MATCH("NA024",'CH4. Thông điệp nhắc việc'!$A:$A,0)),""))))))</f>
        <v>Đã hoàn tất. Không cần làm gì thêm ở bước này.</v>
      </c>
      <c r="R9" s="224" t="str">
        <f aca="false">IFERROR(VLOOKUP(B9,'DL10. Lớp học'!$A:$B,2,FALSE()),"")</f>
        <v>IELTS 7.0+ Tối T3-T5 (02/2026)</v>
      </c>
      <c r="S9" s="224" t="str">
        <f aca="false">IFERROR(VLOOKUP(I9,'DL01. Nhân viên'!$A:$B,2,FALSE()),"")</f>
        <v>Phạm Tấn Phát</v>
      </c>
    </row>
    <row r="10" customFormat="false" ht="55.5" hidden="false" customHeight="true" outlineLevel="0" collapsed="false">
      <c r="A10" s="209" t="s">
        <v>3284</v>
      </c>
      <c r="B10" s="210" t="str">
        <f aca="false">IFERROR(HYPERLINK("#'DL10. Lớp học'!A"&amp;MATCH("LOP-IELTS-6.5-03",'DL10. Lớp học'!A:A,0),"LOP-IELTS-6.5-03"),"LOP-IELTS-6.5-03")</f>
        <v>LOP-IELTS-6.5-03</v>
      </c>
      <c r="C10" s="215" t="n">
        <v>6</v>
      </c>
      <c r="D10" s="232" t="n">
        <v>46197.7916666667</v>
      </c>
      <c r="E10" s="211" t="n">
        <v>46197.7916666667</v>
      </c>
      <c r="F10" s="211" t="n">
        <v>46197.7916666667</v>
      </c>
      <c r="G10" s="211" t="n">
        <v>46197.875</v>
      </c>
      <c r="H10" s="215" t="n">
        <f aca="false">IF(OR(E10="",F10=""),"",MAX(0,ROUND((F10-E10)*24*60,0)))</f>
        <v>0</v>
      </c>
      <c r="I10" s="210" t="str">
        <f aca="false">IFERROR(HYPERLINK("#'DL10. Lớp học'!A"&amp;MATCH("NV006",'DL01. Nhân viên'!A:A,0),"NV006"),"NV006")</f>
        <v>NV006</v>
      </c>
      <c r="J10" s="209" t="s">
        <v>1176</v>
      </c>
      <c r="K10" s="236" t="b">
        <f aca="false">TRUE()</f>
        <v>1</v>
      </c>
      <c r="L10" s="211" t="n">
        <v>46197.9166666667</v>
      </c>
      <c r="M10" s="236" t="b">
        <f aca="false">TRUE()</f>
        <v>1</v>
      </c>
      <c r="N10" s="209" t="s">
        <v>3278</v>
      </c>
      <c r="O10" s="209"/>
      <c r="P10" s="209"/>
      <c r="Q10" s="237" t="str">
        <f aca="true" t="array" ref="Q10:Q10">IF(AND(LEFT(J10,9)="scheduled",ISNUMBER(E10),(NOW()-N(E10))*1440&gt;slaTeacherAttendance_minutes),INDEX('CH4. Thông điệp nhắc việc'!$G:$G,MATCH("NA068",'CH4. Thông điệp nhắc việc'!$A:$A,0)),IF(LEFT(J10,9)="scheduled",INDEX('CH4. Thông điệp nhắc việc'!$G:$G,MATCH("NA019",'CH4. Thông điệp nhắc việc'!$A:$A,0)),IF(LEFT(J10,11)="in_progress",INDEX('CH4. Thông điệp nhắc việc'!$G:$G,MATCH("NA020",'CH4. Thông điệp nhắc việc'!$A:$A,0)),IF(LEFT(J10,9)="completed",IF(K10=FALSE(),IF((NOW()-N(D10))*24&gt;slaTeacherNote_hours,INDEX('CH4.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việc'!$A:$A,0))),IF(LEFT(J10,9)="cancelled",INDEX('CH4. Thông điệp nhắc việc'!$G:$G,MATCH("NA023",'CH4. Thông điệp nhắc việc'!$A:$A,0)),IF(LEFT(J10,11)="rescheduled",INDEX('CH4. Thông điệp nhắc việc'!$G:$G,MATCH("NA024",'CH4. Thông điệp nhắc việc'!$A:$A,0)),""))))))</f>
        <v>Đã hoàn tất. Không cần làm gì thêm ở bước này.</v>
      </c>
      <c r="R10" s="224" t="str">
        <f aca="false">IFERROR(VLOOKUP(B10,'DL10. Lớp học'!$A:$B,2,FALSE()),"")</f>
        <v>IELTS 6.5 Tối (05/2025)</v>
      </c>
      <c r="S10" s="224" t="str">
        <f aca="false">IFERROR(VLOOKUP(I10,'DL01. Nhân viên'!$A:$B,2,FALSE()),"")</f>
        <v>Phạm Tấn Phát</v>
      </c>
    </row>
    <row r="11" customFormat="false" ht="55.5" hidden="false" customHeight="true" outlineLevel="0" collapsed="false">
      <c r="A11" s="209" t="s">
        <v>3285</v>
      </c>
      <c r="B11" s="210" t="str">
        <f aca="false">IFERROR(HYPERLINK("#'DL10. Lớp học'!A"&amp;MATCH("LOP-IELTS-6.5-04",'DL10. Lớp học'!A:A,0),"LOP-IELTS-6.5-04"),"LOP-IELTS-6.5-04")</f>
        <v>LOP-IELTS-6.5-04</v>
      </c>
      <c r="C11" s="215" t="n">
        <v>12</v>
      </c>
      <c r="D11" s="232" t="n">
        <v>46194.75</v>
      </c>
      <c r="E11" s="211" t="n">
        <v>46194.75</v>
      </c>
      <c r="F11" s="211" t="n">
        <v>46194.75</v>
      </c>
      <c r="G11" s="211" t="n">
        <v>46194.8333333333</v>
      </c>
      <c r="H11" s="215" t="n">
        <f aca="false">IF(OR(E11="",F11=""),"",MAX(0,ROUND((F11-E11)*24*60,0)))</f>
        <v>0</v>
      </c>
      <c r="I11" s="210" t="str">
        <f aca="false">IFERROR(HYPERLINK("#'DL10. Lớp học'!A"&amp;MATCH("NV006",'DL01. Nhân viên'!A:A,0),"NV006"),"NV006")</f>
        <v>NV006</v>
      </c>
      <c r="J11" s="209" t="s">
        <v>1176</v>
      </c>
      <c r="K11" s="236" t="b">
        <f aca="false">TRUE()</f>
        <v>1</v>
      </c>
      <c r="L11" s="211" t="n">
        <v>46194.875</v>
      </c>
      <c r="M11" s="236" t="b">
        <f aca="false">TRUE()</f>
        <v>1</v>
      </c>
      <c r="N11" s="209" t="s">
        <v>3278</v>
      </c>
      <c r="O11" s="209"/>
      <c r="P11" s="209"/>
      <c r="Q11" s="237" t="str">
        <f aca="true" t="array" ref="Q11:Q11">IF(AND(LEFT(J11,9)="scheduled",ISNUMBER(E11),(NOW()-N(E11))*1440&gt;slaTeacherAttendance_minutes),INDEX('CH4. Thông điệp nhắc việc'!$G:$G,MATCH("NA068",'CH4. Thông điệp nhắc việc'!$A:$A,0)),IF(LEFT(J11,9)="scheduled",INDEX('CH4. Thông điệp nhắc việc'!$G:$G,MATCH("NA019",'CH4. Thông điệp nhắc việc'!$A:$A,0)),IF(LEFT(J11,11)="in_progress",INDEX('CH4. Thông điệp nhắc việc'!$G:$G,MATCH("NA020",'CH4. Thông điệp nhắc việc'!$A:$A,0)),IF(LEFT(J11,9)="completed",IF(K11=FALSE(),IF((NOW()-N(D11))*24&gt;slaTeacherNote_hours,INDEX('CH4.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việc'!$A:$A,0))),IF(LEFT(J11,9)="cancelled",INDEX('CH4. Thông điệp nhắc việc'!$G:$G,MATCH("NA023",'CH4. Thông điệp nhắc việc'!$A:$A,0)),IF(LEFT(J11,11)="rescheduled",INDEX('CH4. Thông điệp nhắc việc'!$G:$G,MATCH("NA024",'CH4. Thông điệp nhắc việc'!$A:$A,0)),""))))))</f>
        <v>Đã hoàn tất. Không cần làm gì thêm ở bước này.</v>
      </c>
      <c r="R11" s="224" t="str">
        <f aca="false">IFERROR(VLOOKUP(B11,'DL10. Lớp học'!$A:$B,2,FALSE()),"")</f>
        <v>IELTS 6.5 Tối T2-T4-T6 (10/2025)</v>
      </c>
      <c r="S11" s="224" t="str">
        <f aca="false">IFERROR(VLOOKUP(I11,'DL01. Nhân viên'!$A:$B,2,FALSE()),"")</f>
        <v>Phạm Tấn Phát</v>
      </c>
    </row>
    <row r="12" customFormat="false" ht="55.5" hidden="false" customHeight="true" outlineLevel="0" collapsed="false">
      <c r="A12" s="209" t="s">
        <v>3286</v>
      </c>
      <c r="B12" s="210" t="str">
        <f aca="false">IFERROR(HYPERLINK("#'DL10. Lớp học'!A"&amp;MATCH("LOP-FOUND-PLA-01",'DL10. Lớp học'!A:A,0),"LOP-FOUND-PLA-01"),"LOP-FOUND-PLA-01")</f>
        <v>LOP-FOUND-PLA-01</v>
      </c>
      <c r="C12" s="215" t="n">
        <v>6</v>
      </c>
      <c r="D12" s="232" t="n">
        <v>46206.75</v>
      </c>
      <c r="E12" s="211" t="n">
        <v>46206.75</v>
      </c>
      <c r="F12" s="211" t="n">
        <v>46206.75</v>
      </c>
      <c r="G12" s="211" t="n">
        <v>46206.8333333333</v>
      </c>
      <c r="H12" s="215" t="n">
        <f aca="false">IF(OR(E12="",F12=""),"",MAX(0,ROUND((F12-E12)*24*60,0)))</f>
        <v>0</v>
      </c>
      <c r="I12" s="210" t="str">
        <f aca="false">IFERROR(HYPERLINK("#'DL10. Lớp học'!A"&amp;MATCH("NV005",'DL01. Nhân viên'!A:A,0),"NV005"),"NV005")</f>
        <v>NV005</v>
      </c>
      <c r="J12" s="209" t="s">
        <v>1176</v>
      </c>
      <c r="K12" s="236" t="b">
        <f aca="false">TRUE()</f>
        <v>1</v>
      </c>
      <c r="L12" s="211"/>
      <c r="M12" s="236" t="b">
        <f aca="false">TRUE()</f>
        <v>1</v>
      </c>
      <c r="N12" s="209"/>
      <c r="O12" s="209"/>
      <c r="P12" s="209"/>
      <c r="Q12" s="237" t="str">
        <f aca="true" t="array" ref="Q12:Q12">IF(AND(LEFT(J12,9)="scheduled",ISNUMBER(E12),(NOW()-N(E12))*1440&gt;slaTeacherAttendance_minutes),INDEX('CH4. Thông điệp nhắc việc'!$G:$G,MATCH("NA068",'CH4. Thông điệp nhắc việc'!$A:$A,0)),IF(LEFT(J12,9)="scheduled",INDEX('CH4. Thông điệp nhắc việc'!$G:$G,MATCH("NA019",'CH4. Thông điệp nhắc việc'!$A:$A,0)),IF(LEFT(J12,11)="in_progress",INDEX('CH4. Thông điệp nhắc việc'!$G:$G,MATCH("NA020",'CH4. Thông điệp nhắc việc'!$A:$A,0)),IF(LEFT(J12,9)="completed",IF(K12=FALSE(),IF((NOW()-N(D12))*24&gt;slaTeacherNote_hours,INDEX('CH4.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việc'!$A:$A,0))),IF(LEFT(J12,9)="cancelled",INDEX('CH4. Thông điệp nhắc việc'!$G:$G,MATCH("NA023",'CH4. Thông điệp nhắc việc'!$A:$A,0)),IF(LEFT(J12,11)="rescheduled",INDEX('CH4. Thông điệp nhắc việc'!$G:$G,MATCH("NA024",'CH4. Thông điệp nhắc việc'!$A:$A,0)),""))))))</f>
        <v>Đã hoàn tất. Không cần làm gì thêm ở bước này.</v>
      </c>
      <c r="R12" s="224" t="str">
        <f aca="false">IFERROR(VLOOKUP(B12,'DL10. Lớp học'!$A:$B,2,FALSE()),"")</f>
        <v>Foundation PLA T7-CN sáng (06/2026)</v>
      </c>
      <c r="S12" s="224" t="str">
        <f aca="false">IFERROR(VLOOKUP(I12,'DL01. Nhân viên'!$A:$B,2,FALSE()),"")</f>
        <v>Phan Trung Chính</v>
      </c>
    </row>
    <row r="13" customFormat="false" ht="55.5" hidden="false" customHeight="true" outlineLevel="0" collapsed="false">
      <c r="A13" s="209" t="s">
        <v>3287</v>
      </c>
      <c r="B13" s="210" t="str">
        <f aca="false">IFERROR(HYPERLINK("#'DL10. Lớp học'!A"&amp;MATCH("LOP-IELTS-7.0-02",'DL10. Lớp học'!A:A,0),"LOP-IELTS-7.0-02"),"LOP-IELTS-7.0-02")</f>
        <v>LOP-IELTS-7.0-02</v>
      </c>
      <c r="C13" s="215" t="n">
        <v>9</v>
      </c>
      <c r="D13" s="232" t="n">
        <v>46210.75</v>
      </c>
      <c r="E13" s="211" t="n">
        <v>46210.75</v>
      </c>
      <c r="F13" s="211"/>
      <c r="G13" s="211"/>
      <c r="H13" s="215" t="str">
        <f aca="false">IF(OR(E13="",F13=""),"",MAX(0,ROUND((F13-E13)*24*60,0)))</f>
        <v/>
      </c>
      <c r="I13" s="210" t="str">
        <f aca="false">IFERROR(HYPERLINK("#'DL10. Lớp học'!A"&amp;MATCH("NV006",'DL01. Nhân viên'!A:A,0),"NV006"),"NV006")</f>
        <v>NV006</v>
      </c>
      <c r="J13" s="209" t="s">
        <v>1174</v>
      </c>
      <c r="K13" s="236" t="b">
        <f aca="false">TRUE()</f>
        <v>1</v>
      </c>
      <c r="L13" s="211"/>
      <c r="M13" s="236" t="b">
        <f aca="false">TRUE()</f>
        <v>1</v>
      </c>
      <c r="N13" s="209"/>
      <c r="O13" s="209"/>
      <c r="P13" s="209"/>
      <c r="Q13" s="237" t="str">
        <f aca="true" t="array" ref="Q13:Q13">IF(AND(LEFT(J13,9)="scheduled",ISNUMBER(E13),(NOW()-N(E13))*1440&gt;slaTeacherAttendance_minutes),INDEX('CH4. Thông điệp nhắc việc'!$G:$G,MATCH("NA068",'CH4. Thông điệp nhắc việc'!$A:$A,0)),IF(LEFT(J13,9)="scheduled",INDEX('CH4. Thông điệp nhắc việc'!$G:$G,MATCH("NA019",'CH4. Thông điệp nhắc việc'!$A:$A,0)),IF(LEFT(J13,11)="in_progress",INDEX('CH4. Thông điệp nhắc việc'!$G:$G,MATCH("NA020",'CH4. Thông điệp nhắc việc'!$A:$A,0)),IF(LEFT(J13,9)="completed",IF(K13=FALSE(),IF((NOW()-N(D13))*24&gt;slaTeacherNote_hours,INDEX('CH4.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việc'!$A:$A,0))),IF(LEFT(J13,9)="cancelled",INDEX('CH4. Thông điệp nhắc việc'!$G:$G,MATCH("NA023",'CH4. Thông điệp nhắc việc'!$A:$A,0)),IF(LEFT(J13,11)="rescheduled",INDEX('CH4. Thông điệp nhắc việc'!$G:$G,MATCH("NA024",'CH4. Thông điệp nhắc việc'!$A:$A,0)),""))))))</f>
        <v>Buổi học sắp tới. Việc cần làm: chuẩn bị giáo án trước buổi.</v>
      </c>
      <c r="R13" s="224" t="str">
        <f aca="false">IFERROR(VLOOKUP(B13,'DL10. Lớp học'!$A:$B,2,FALSE()),"")</f>
        <v>IELTS 7.0+ Tối T3-T5 (02/2026)</v>
      </c>
      <c r="S13" s="224" t="str">
        <f aca="false">IFERROR(VLOOKUP(I13,'DL01. Nhân viên'!$A:$B,2,FALSE()),"")</f>
        <v>Phạm Tấn Phát</v>
      </c>
    </row>
    <row r="14" customFormat="false" ht="55.5" hidden="false" customHeight="true" outlineLevel="0" collapsed="false">
      <c r="A14" s="209" t="s">
        <v>3288</v>
      </c>
      <c r="B14" s="210" t="str">
        <f aca="false">IFERROR(HYPERLINK("#'DL10. Lớp học'!A"&amp;MATCH("LOP-IELTS-6.0-12",'DL10. Lớp học'!A:A,0),"LOP-IELTS-6.0-12"),"LOP-IELTS-6.0-12")</f>
        <v>LOP-IELTS-6.0-12</v>
      </c>
      <c r="C14" s="215" t="n">
        <v>11</v>
      </c>
      <c r="D14" s="232" t="n">
        <v>46208.5715277778</v>
      </c>
      <c r="E14" s="211" t="n">
        <v>46208.5302199074</v>
      </c>
      <c r="F14" s="211"/>
      <c r="G14" s="211"/>
      <c r="H14" s="215" t="str">
        <f aca="false">IF(OR(E14="",F14=""),"",MAX(0,ROUND((F14-E14)*24*60,0)))</f>
        <v/>
      </c>
      <c r="I14" s="210" t="str">
        <f aca="false">IFERROR(HYPERLINK("#'DL10. Lớp học'!A"&amp;MATCH("NV031",'DL01. Nhân viên'!A:A,0),"NV031"),"NV031")</f>
        <v>NV031</v>
      </c>
      <c r="J14" s="209" t="s">
        <v>1174</v>
      </c>
      <c r="K14" s="236" t="b">
        <f aca="false">TRUE()</f>
        <v>1</v>
      </c>
      <c r="L14" s="211"/>
      <c r="M14" s="236" t="b">
        <f aca="false">TRUE()</f>
        <v>1</v>
      </c>
      <c r="N14" s="209"/>
      <c r="O14" s="209"/>
      <c r="P14" s="209"/>
      <c r="Q14" s="237" t="str">
        <f aca="true" t="array" ref="Q14:Q14">IF(AND(LEFT(J14,9)="scheduled",ISNUMBER(E14),(NOW()-N(E14))*1440&gt;slaTeacherAttendance_minutes),INDEX('CH4. Thông điệp nhắc việc'!$G:$G,MATCH("NA068",'CH4. Thông điệp nhắc việc'!$A:$A,0)),IF(LEFT(J14,9)="scheduled",INDEX('CH4. Thông điệp nhắc việc'!$G:$G,MATCH("NA019",'CH4. Thông điệp nhắc việc'!$A:$A,0)),IF(LEFT(J14,11)="in_progress",INDEX('CH4. Thông điệp nhắc việc'!$G:$G,MATCH("NA020",'CH4. Thông điệp nhắc việc'!$A:$A,0)),IF(LEFT(J14,9)="completed",IF(K14=FALSE(),IF((NOW()-N(D14))*24&gt;slaTeacherNote_hours,INDEX('CH4.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việc'!$A:$A,0))),IF(LEFT(J14,9)="cancelled",INDEX('CH4. Thông điệp nhắc việc'!$G:$G,MATCH("NA023",'CH4. Thông điệp nhắc việc'!$A:$A,0)),IF(LEFT(J14,11)="rescheduled",INDEX('CH4. Thông điệp nhắc việc'!$G:$G,MATCH("NA024",'CH4. Thông điệp nhắc việc'!$A:$A,0)),""))))))</f>
        <v>Đã quá 30 phút sau giờ vào lớp (cấu hình slaTeacherAttendance_minutes) mà buổi chưa bắt đầu. Việc cần làm: kiểm tra giáo viên và điểm danh ngay.</v>
      </c>
      <c r="R14" s="224" t="str">
        <f aca="false">IFERROR(VLOOKUP(B14,'DL10. Lớp học'!$A:$B,2,FALSE()),"")</f>
        <v>IELTS 6.0 Cuối tuần (01/2026)</v>
      </c>
      <c r="S14" s="224" t="str">
        <f aca="false">IFERROR(VLOOKUP(I14,'DL01. Nhân viên'!$A:$B,2,FALSE()),"")</f>
        <v>Trần Thanh Minh</v>
      </c>
    </row>
    <row r="15" customFormat="false" ht="55.5" hidden="false" customHeight="true" outlineLevel="0" collapsed="false">
      <c r="A15" s="209" t="s">
        <v>3289</v>
      </c>
      <c r="B15" s="210" t="str">
        <f aca="false">IFERROR(HYPERLINK("#'DL10. Lớp học'!A"&amp;MATCH("LOP-IELTS-6.5-03",'DL10. Lớp học'!A:A,0),"LOP-IELTS-6.5-03"),"LOP-IELTS-6.5-03")</f>
        <v>LOP-IELTS-6.5-03</v>
      </c>
      <c r="C15" s="215" t="n">
        <v>7</v>
      </c>
      <c r="D15" s="232" t="n">
        <v>46200.7916666667</v>
      </c>
      <c r="E15" s="211" t="n">
        <v>46200.7916666667</v>
      </c>
      <c r="F15" s="211" t="n">
        <v>46200.7916666667</v>
      </c>
      <c r="G15" s="211" t="n">
        <v>46200.875</v>
      </c>
      <c r="H15" s="215" t="n">
        <f aca="false">IF(OR(E15="",F15=""),"",MAX(0,ROUND((F15-E15)*24*60,0)))</f>
        <v>0</v>
      </c>
      <c r="I15" s="210" t="str">
        <f aca="false">IFERROR(HYPERLINK("#'DL10. Lớp học'!A"&amp;MATCH("NV006",'DL01. Nhân viên'!A:A,0),"NV006"),"NV006")</f>
        <v>NV006</v>
      </c>
      <c r="J15" s="209" t="s">
        <v>1176</v>
      </c>
      <c r="K15" s="236" t="b">
        <f aca="false">TRUE()</f>
        <v>1</v>
      </c>
      <c r="L15" s="211" t="n">
        <v>46200.9166666667</v>
      </c>
      <c r="M15" s="236" t="b">
        <f aca="false">TRUE()</f>
        <v>1</v>
      </c>
      <c r="N15" s="209" t="s">
        <v>3278</v>
      </c>
      <c r="O15" s="209"/>
      <c r="P15" s="209"/>
      <c r="Q15" s="237" t="str">
        <f aca="true" t="array" ref="Q15:Q15">IF(AND(LEFT(J15,9)="scheduled",ISNUMBER(E15),(NOW()-N(E15))*1440&gt;slaTeacherAttendance_minutes),INDEX('CH4. Thông điệp nhắc việc'!$G:$G,MATCH("NA068",'CH4. Thông điệp nhắc việc'!$A:$A,0)),IF(LEFT(J15,9)="scheduled",INDEX('CH4. Thông điệp nhắc việc'!$G:$G,MATCH("NA019",'CH4. Thông điệp nhắc việc'!$A:$A,0)),IF(LEFT(J15,11)="in_progress",INDEX('CH4. Thông điệp nhắc việc'!$G:$G,MATCH("NA020",'CH4. Thông điệp nhắc việc'!$A:$A,0)),IF(LEFT(J15,9)="completed",IF(K15=FALSE(),IF((NOW()-N(D15))*24&gt;slaTeacherNote_hours,INDEX('CH4.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việc'!$A:$A,0))),IF(LEFT(J15,9)="cancelled",INDEX('CH4. Thông điệp nhắc việc'!$G:$G,MATCH("NA023",'CH4. Thông điệp nhắc việc'!$A:$A,0)),IF(LEFT(J15,11)="rescheduled",INDEX('CH4. Thông điệp nhắc việc'!$G:$G,MATCH("NA024",'CH4. Thông điệp nhắc việc'!$A:$A,0)),""))))))</f>
        <v>Đã hoàn tất. Không cần làm gì thêm ở bước này.</v>
      </c>
      <c r="R15" s="224" t="str">
        <f aca="false">IFERROR(VLOOKUP(B15,'DL10. Lớp học'!$A:$B,2,FALSE()),"")</f>
        <v>IELTS 6.5 Tối (05/2025)</v>
      </c>
      <c r="S15" s="224" t="str">
        <f aca="false">IFERROR(VLOOKUP(I15,'DL01. Nhân viên'!$A:$B,2,FALSE()),"")</f>
        <v>Phạm Tấn Phát</v>
      </c>
    </row>
    <row r="16" customFormat="false" ht="55.5" hidden="false" customHeight="true" outlineLevel="0" collapsed="false">
      <c r="A16" s="209" t="s">
        <v>3290</v>
      </c>
      <c r="B16" s="210" t="str">
        <f aca="false">IFERROR(HYPERLINK("#'DL10. Lớp học'!A"&amp;MATCH("LOP-IELTS-6.5-03",'DL10. Lớp học'!A:A,0),"LOP-IELTS-6.5-03"),"LOP-IELTS-6.5-03")</f>
        <v>LOP-IELTS-6.5-03</v>
      </c>
      <c r="C16" s="215" t="n">
        <v>8</v>
      </c>
      <c r="D16" s="232" t="n">
        <v>46203.7916666667</v>
      </c>
      <c r="E16" s="211" t="n">
        <v>46203.7916666667</v>
      </c>
      <c r="F16" s="211" t="n">
        <v>46203.7916666667</v>
      </c>
      <c r="G16" s="211" t="n">
        <v>46203.875</v>
      </c>
      <c r="H16" s="215" t="n">
        <f aca="false">IF(OR(E16="",F16=""),"",MAX(0,ROUND((F16-E16)*24*60,0)))</f>
        <v>0</v>
      </c>
      <c r="I16" s="210" t="str">
        <f aca="false">IFERROR(HYPERLINK("#'DL10. Lớp học'!A"&amp;MATCH("NV006",'DL01. Nhân viên'!A:A,0),"NV006"),"NV006")</f>
        <v>NV006</v>
      </c>
      <c r="J16" s="209" t="s">
        <v>1176</v>
      </c>
      <c r="K16" s="236" t="b">
        <f aca="false">TRUE()</f>
        <v>1</v>
      </c>
      <c r="L16" s="211" t="n">
        <v>46203.9166666667</v>
      </c>
      <c r="M16" s="236" t="b">
        <f aca="false">TRUE()</f>
        <v>1</v>
      </c>
      <c r="N16" s="209" t="s">
        <v>3278</v>
      </c>
      <c r="O16" s="209"/>
      <c r="P16" s="209"/>
      <c r="Q16" s="237" t="str">
        <f aca="true" t="array" ref="Q16:Q16">IF(AND(LEFT(J16,9)="scheduled",ISNUMBER(E16),(NOW()-N(E16))*1440&gt;slaTeacherAttendance_minutes),INDEX('CH4. Thông điệp nhắc việc'!$G:$G,MATCH("NA068",'CH4. Thông điệp nhắc việc'!$A:$A,0)),IF(LEFT(J16,9)="scheduled",INDEX('CH4. Thông điệp nhắc việc'!$G:$G,MATCH("NA019",'CH4. Thông điệp nhắc việc'!$A:$A,0)),IF(LEFT(J16,11)="in_progress",INDEX('CH4. Thông điệp nhắc việc'!$G:$G,MATCH("NA020",'CH4. Thông điệp nhắc việc'!$A:$A,0)),IF(LEFT(J16,9)="completed",IF(K16=FALSE(),IF((NOW()-N(D16))*24&gt;slaTeacherNote_hours,INDEX('CH4.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việc'!$A:$A,0))),IF(LEFT(J16,9)="cancelled",INDEX('CH4. Thông điệp nhắc việc'!$G:$G,MATCH("NA023",'CH4. Thông điệp nhắc việc'!$A:$A,0)),IF(LEFT(J16,11)="rescheduled",INDEX('CH4. Thông điệp nhắc việc'!$G:$G,MATCH("NA024",'CH4. Thông điệp nhắc việc'!$A:$A,0)),""))))))</f>
        <v>Đã hoàn tất. Không cần làm gì thêm ở bước này.</v>
      </c>
      <c r="R16" s="224" t="str">
        <f aca="false">IFERROR(VLOOKUP(B16,'DL10. Lớp học'!$A:$B,2,FALSE()),"")</f>
        <v>IELTS 6.5 Tối (05/2025)</v>
      </c>
      <c r="S16" s="224" t="str">
        <f aca="false">IFERROR(VLOOKUP(I16,'DL01. Nhân viên'!$A:$B,2,FALSE()),"")</f>
        <v>Phạm Tấn Phát</v>
      </c>
    </row>
    <row r="17" customFormat="false" ht="55.5" hidden="false" customHeight="true" outlineLevel="0" collapsed="false">
      <c r="A17" s="209" t="s">
        <v>3291</v>
      </c>
      <c r="B17" s="210" t="str">
        <f aca="false">IFERROR(HYPERLINK("#'DL10. Lớp học'!A"&amp;MATCH("LOP-IELTS-7.0-02",'DL10. Lớp học'!A:A,0),"LOP-IELTS-7.0-02"),"LOP-IELTS-7.0-02")</f>
        <v>LOP-IELTS-7.0-02</v>
      </c>
      <c r="C17" s="215" t="n">
        <v>9</v>
      </c>
      <c r="D17" s="232" t="n">
        <v>46204.75</v>
      </c>
      <c r="E17" s="211" t="n">
        <v>46204.75</v>
      </c>
      <c r="F17" s="211" t="n">
        <v>46204.75</v>
      </c>
      <c r="G17" s="211" t="n">
        <v>46204.8333333333</v>
      </c>
      <c r="H17" s="215" t="n">
        <f aca="false">IF(OR(E17="",F17=""),"",MAX(0,ROUND((F17-E17)*24*60,0)))</f>
        <v>0</v>
      </c>
      <c r="I17" s="210" t="str">
        <f aca="false">IFERROR(HYPERLINK("#'DL10. Lớp học'!A"&amp;MATCH("NV006",'DL01. Nhân viên'!A:A,0),"NV006"),"NV006")</f>
        <v>NV006</v>
      </c>
      <c r="J17" s="209" t="s">
        <v>1176</v>
      </c>
      <c r="K17" s="236" t="b">
        <f aca="false">TRUE()</f>
        <v>1</v>
      </c>
      <c r="L17" s="211" t="n">
        <v>46204.875</v>
      </c>
      <c r="M17" s="236" t="b">
        <f aca="false">TRUE()</f>
        <v>1</v>
      </c>
      <c r="N17" s="209" t="s">
        <v>3278</v>
      </c>
      <c r="O17" s="209"/>
      <c r="P17" s="209"/>
      <c r="Q17" s="237" t="str">
        <f aca="true" t="array" ref="Q17:Q17">IF(AND(LEFT(J17,9)="scheduled",ISNUMBER(E17),(NOW()-N(E17))*1440&gt;slaTeacherAttendance_minutes),INDEX('CH4. Thông điệp nhắc việc'!$G:$G,MATCH("NA068",'CH4. Thông điệp nhắc việc'!$A:$A,0)),IF(LEFT(J17,9)="scheduled",INDEX('CH4. Thông điệp nhắc việc'!$G:$G,MATCH("NA019",'CH4. Thông điệp nhắc việc'!$A:$A,0)),IF(LEFT(J17,11)="in_progress",INDEX('CH4. Thông điệp nhắc việc'!$G:$G,MATCH("NA020",'CH4. Thông điệp nhắc việc'!$A:$A,0)),IF(LEFT(J17,9)="completed",IF(K17=FALSE(),IF((NOW()-N(D17))*24&gt;slaTeacherNote_hours,INDEX('CH4.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việc'!$A:$A,0))),IF(LEFT(J17,9)="cancelled",INDEX('CH4. Thông điệp nhắc việc'!$G:$G,MATCH("NA023",'CH4. Thông điệp nhắc việc'!$A:$A,0)),IF(LEFT(J17,11)="rescheduled",INDEX('CH4. Thông điệp nhắc việc'!$G:$G,MATCH("NA024",'CH4. Thông điệp nhắc việc'!$A:$A,0)),""))))))</f>
        <v>Đã hoàn tất. Không cần làm gì thêm ở bước này.</v>
      </c>
      <c r="R17" s="224" t="str">
        <f aca="false">IFERROR(VLOOKUP(B17,'DL10. Lớp học'!$A:$B,2,FALSE()),"")</f>
        <v>IELTS 7.0+ Tối T3-T5 (02/2026)</v>
      </c>
      <c r="S17" s="224" t="str">
        <f aca="false">IFERROR(VLOOKUP(I17,'DL01. Nhân viên'!$A:$B,2,FALSE()),"")</f>
        <v>Phạm Tấn Phát</v>
      </c>
    </row>
    <row r="18" customFormat="false" ht="55.5" hidden="false" customHeight="true" outlineLevel="0" collapsed="false">
      <c r="A18" s="209" t="s">
        <v>3292</v>
      </c>
      <c r="B18" s="210" t="str">
        <f aca="false">IFERROR(HYPERLINK("#'DL10. Lớp học'!A"&amp;MATCH("LOP-IELTS-6.5-03",'DL10. Lớp học'!A:A,0),"LOP-IELTS-6.5-03"),"LOP-IELTS-6.5-03")</f>
        <v>LOP-IELTS-6.5-03</v>
      </c>
      <c r="C18" s="215" t="n">
        <v>9</v>
      </c>
      <c r="D18" s="232" t="n">
        <v>46205.7916666667</v>
      </c>
      <c r="E18" s="211" t="n">
        <v>46205.7916666667</v>
      </c>
      <c r="F18" s="211" t="n">
        <v>46205.7916666667</v>
      </c>
      <c r="G18" s="211" t="n">
        <v>46205.875</v>
      </c>
      <c r="H18" s="215" t="n">
        <f aca="false">IF(OR(E18="",F18=""),"",MAX(0,ROUND((F18-E18)*24*60,0)))</f>
        <v>0</v>
      </c>
      <c r="I18" s="210" t="str">
        <f aca="false">IFERROR(HYPERLINK("#'DL10. Lớp học'!A"&amp;MATCH("NV006",'DL01. Nhân viên'!A:A,0),"NV006"),"NV006")</f>
        <v>NV006</v>
      </c>
      <c r="J18" s="209" t="s">
        <v>1176</v>
      </c>
      <c r="K18" s="236" t="b">
        <f aca="false">TRUE()</f>
        <v>1</v>
      </c>
      <c r="L18" s="211" t="n">
        <v>46205.9166666667</v>
      </c>
      <c r="M18" s="236" t="b">
        <f aca="false">TRUE()</f>
        <v>1</v>
      </c>
      <c r="N18" s="209" t="s">
        <v>3278</v>
      </c>
      <c r="O18" s="209"/>
      <c r="P18" s="209"/>
      <c r="Q18" s="237" t="str">
        <f aca="true" t="array" ref="Q18:Q18">IF(AND(LEFT(J18,9)="scheduled",ISNUMBER(E18),(NOW()-N(E18))*1440&gt;slaTeacherAttendance_minutes),INDEX('CH4. Thông điệp nhắc việc'!$G:$G,MATCH("NA068",'CH4. Thông điệp nhắc việc'!$A:$A,0)),IF(LEFT(J18,9)="scheduled",INDEX('CH4. Thông điệp nhắc việc'!$G:$G,MATCH("NA019",'CH4. Thông điệp nhắc việc'!$A:$A,0)),IF(LEFT(J18,11)="in_progress",INDEX('CH4. Thông điệp nhắc việc'!$G:$G,MATCH("NA020",'CH4. Thông điệp nhắc việc'!$A:$A,0)),IF(LEFT(J18,9)="completed",IF(K18=FALSE(),IF((NOW()-N(D18))*24&gt;slaTeacherNote_hours,INDEX('CH4.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việc'!$A:$A,0))),IF(LEFT(J18,9)="cancelled",INDEX('CH4. Thông điệp nhắc việc'!$G:$G,MATCH("NA023",'CH4. Thông điệp nhắc việc'!$A:$A,0)),IF(LEFT(J18,11)="rescheduled",INDEX('CH4. Thông điệp nhắc việc'!$G:$G,MATCH("NA024",'CH4. Thông điệp nhắc việc'!$A:$A,0)),""))))))</f>
        <v>Đã hoàn tất. Không cần làm gì thêm ở bước này.</v>
      </c>
      <c r="R18" s="224" t="str">
        <f aca="false">IFERROR(VLOOKUP(B18,'DL10. Lớp học'!$A:$B,2,FALSE()),"")</f>
        <v>IELTS 6.5 Tối (05/2025)</v>
      </c>
      <c r="S18" s="224" t="str">
        <f aca="false">IFERROR(VLOOKUP(I18,'DL01. Nhân viên'!$A:$B,2,FALSE()),"")</f>
        <v>Phạm Tấn Phát</v>
      </c>
    </row>
    <row r="19" customFormat="false" ht="55.5" hidden="false" customHeight="true" outlineLevel="0" collapsed="false">
      <c r="A19" s="209" t="s">
        <v>3293</v>
      </c>
      <c r="B19" s="210" t="str">
        <f aca="false">IFERROR(HYPERLINK("#'DL10. Lớp học'!A"&amp;MATCH("LOP-FOUND-PLA-01",'DL10. Lớp học'!A:A,0),"LOP-FOUND-PLA-01"),"LOP-FOUND-PLA-01")</f>
        <v>LOP-FOUND-PLA-01</v>
      </c>
      <c r="C19" s="215" t="n">
        <v>7</v>
      </c>
      <c r="D19" s="232" t="n">
        <v>46204.75</v>
      </c>
      <c r="E19" s="211" t="n">
        <v>46204.75</v>
      </c>
      <c r="F19" s="211" t="n">
        <v>46204.75</v>
      </c>
      <c r="G19" s="211" t="n">
        <v>46204.8333333333</v>
      </c>
      <c r="H19" s="215" t="n">
        <f aca="false">IF(OR(E19="",F19=""),"",MAX(0,ROUND((F19-E19)*24*60,0)))</f>
        <v>0</v>
      </c>
      <c r="I19" s="210" t="str">
        <f aca="false">IFERROR(HYPERLINK("#'DL10. Lớp học'!A"&amp;MATCH("NV005",'DL01. Nhân viên'!A:A,0),"NV005"),"NV005")</f>
        <v>NV005</v>
      </c>
      <c r="J19" s="209" t="s">
        <v>1176</v>
      </c>
      <c r="K19" s="236" t="b">
        <f aca="false">TRUE()</f>
        <v>1</v>
      </c>
      <c r="L19" s="211" t="n">
        <v>46204.875</v>
      </c>
      <c r="M19" s="236" t="b">
        <f aca="false">TRUE()</f>
        <v>1</v>
      </c>
      <c r="N19" s="209" t="s">
        <v>3278</v>
      </c>
      <c r="O19" s="209"/>
      <c r="P19" s="209"/>
      <c r="Q19" s="237" t="str">
        <f aca="true" t="array" ref="Q19:Q19">IF(AND(LEFT(J19,9)="scheduled",ISNUMBER(E19),(NOW()-N(E19))*1440&gt;slaTeacherAttendance_minutes),INDEX('CH4. Thông điệp nhắc việc'!$G:$G,MATCH("NA068",'CH4. Thông điệp nhắc việc'!$A:$A,0)),IF(LEFT(J19,9)="scheduled",INDEX('CH4. Thông điệp nhắc việc'!$G:$G,MATCH("NA019",'CH4. Thông điệp nhắc việc'!$A:$A,0)),IF(LEFT(J19,11)="in_progress",INDEX('CH4. Thông điệp nhắc việc'!$G:$G,MATCH("NA020",'CH4. Thông điệp nhắc việc'!$A:$A,0)),IF(LEFT(J19,9)="completed",IF(K19=FALSE(),IF((NOW()-N(D19))*24&gt;slaTeacherNote_hours,INDEX('CH4.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việc'!$A:$A,0))),IF(LEFT(J19,9)="cancelled",INDEX('CH4. Thông điệp nhắc việc'!$G:$G,MATCH("NA023",'CH4. Thông điệp nhắc việc'!$A:$A,0)),IF(LEFT(J19,11)="rescheduled",INDEX('CH4. Thông điệp nhắc việc'!$G:$G,MATCH("NA024",'CH4. Thông điệp nhắc việc'!$A:$A,0)),""))))))</f>
        <v>Đã hoàn tất. Không cần làm gì thêm ở bước này.</v>
      </c>
      <c r="R19" s="224" t="str">
        <f aca="false">IFERROR(VLOOKUP(B19,'DL10. Lớp học'!$A:$B,2,FALSE()),"")</f>
        <v>Foundation PLA T7-CN sáng (06/2026)</v>
      </c>
      <c r="S19" s="224" t="str">
        <f aca="false">IFERROR(VLOOKUP(I19,'DL01. Nhân viên'!$A:$B,2,FALSE()),"")</f>
        <v>Phan Trung Chính</v>
      </c>
    </row>
    <row r="20" customFormat="false" ht="55.5" hidden="false" customHeight="true" outlineLevel="0" collapsed="false">
      <c r="A20" s="209" t="s">
        <v>3294</v>
      </c>
      <c r="B20" s="210" t="str">
        <f aca="false">IFERROR(HYPERLINK("#'DL10. Lớp học'!A"&amp;MATCH("LOP-FOUND-PLA-01",'DL10. Lớp học'!A:A,0),"LOP-FOUND-PLA-01"),"LOP-FOUND-PLA-01")</f>
        <v>LOP-FOUND-PLA-01</v>
      </c>
      <c r="C20" s="215" t="n">
        <v>8</v>
      </c>
      <c r="D20" s="232" t="n">
        <v>46211.75</v>
      </c>
      <c r="E20" s="211" t="n">
        <v>46211.75</v>
      </c>
      <c r="F20" s="211"/>
      <c r="G20" s="211"/>
      <c r="H20" s="215" t="str">
        <f aca="false">IF(OR(E20="",F20=""),"",MAX(0,ROUND((F20-E20)*24*60,0)))</f>
        <v/>
      </c>
      <c r="I20" s="210" t="str">
        <f aca="false">IFERROR(HYPERLINK("#'DL10. Lớp học'!A"&amp;MATCH("NV005",'DL01. Nhân viên'!A:A,0),"NV005"),"NV005")</f>
        <v>NV005</v>
      </c>
      <c r="J20" s="209" t="s">
        <v>1174</v>
      </c>
      <c r="K20" s="236" t="b">
        <f aca="false">TRUE()</f>
        <v>1</v>
      </c>
      <c r="L20" s="211"/>
      <c r="M20" s="236" t="b">
        <f aca="false">TRUE()</f>
        <v>1</v>
      </c>
      <c r="N20" s="209"/>
      <c r="O20" s="209"/>
      <c r="P20" s="209"/>
      <c r="Q20" s="237" t="str">
        <f aca="true" t="array" ref="Q20:Q20">IF(AND(LEFT(J20,9)="scheduled",ISNUMBER(E20),(NOW()-N(E20))*1440&gt;slaTeacherAttendance_minutes),INDEX('CH4. Thông điệp nhắc việc'!$G:$G,MATCH("NA068",'CH4. Thông điệp nhắc việc'!$A:$A,0)),IF(LEFT(J20,9)="scheduled",INDEX('CH4. Thông điệp nhắc việc'!$G:$G,MATCH("NA019",'CH4. Thông điệp nhắc việc'!$A:$A,0)),IF(LEFT(J20,11)="in_progress",INDEX('CH4. Thông điệp nhắc việc'!$G:$G,MATCH("NA020",'CH4. Thông điệp nhắc việc'!$A:$A,0)),IF(LEFT(J20,9)="completed",IF(K20=FALSE(),IF((NOW()-N(D20))*24&gt;slaTeacherNote_hours,INDEX('CH4.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việc'!$A:$A,0))),IF(LEFT(J20,9)="cancelled",INDEX('CH4. Thông điệp nhắc việc'!$G:$G,MATCH("NA023",'CH4. Thông điệp nhắc việc'!$A:$A,0)),IF(LEFT(J20,11)="rescheduled",INDEX('CH4. Thông điệp nhắc việc'!$G:$G,MATCH("NA024",'CH4. Thông điệp nhắc việc'!$A:$A,0)),""))))))</f>
        <v>Buổi học sắp tới. Việc cần làm: chuẩn bị giáo án trước buổi.</v>
      </c>
      <c r="R20" s="224" t="str">
        <f aca="false">IFERROR(VLOOKUP(B20,'DL10. Lớp học'!$A:$B,2,FALSE()),"")</f>
        <v>Foundation PLA T7-CN sáng (06/2026)</v>
      </c>
      <c r="S20" s="224" t="str">
        <f aca="false">IFERROR(VLOOKUP(I20,'DL01. Nhân viên'!$A:$B,2,FALSE()),"")</f>
        <v>Phan Trung Chính</v>
      </c>
    </row>
    <row r="21" customFormat="false" ht="55.5" hidden="false" customHeight="true" outlineLevel="0" collapsed="false">
      <c r="A21" s="209" t="s">
        <v>3295</v>
      </c>
      <c r="B21" s="210" t="str">
        <f aca="false">IFERROR(HYPERLINK("#'DL10. Lớp học'!A"&amp;MATCH("LOP-IELTS-6.5-04",'DL10. Lớp học'!A:A,0),"LOP-IELTS-6.5-04"),"LOP-IELTS-6.5-04")</f>
        <v>LOP-IELTS-6.5-04</v>
      </c>
      <c r="C21" s="215" t="n">
        <v>13</v>
      </c>
      <c r="D21" s="232" t="n">
        <v>46201.75</v>
      </c>
      <c r="E21" s="211" t="n">
        <v>46201.75</v>
      </c>
      <c r="F21" s="211" t="n">
        <v>46201.75</v>
      </c>
      <c r="G21" s="211" t="n">
        <v>46201.8333333333</v>
      </c>
      <c r="H21" s="215" t="n">
        <f aca="false">IF(OR(E21="",F21=""),"",MAX(0,ROUND((F21-E21)*24*60,0)))</f>
        <v>0</v>
      </c>
      <c r="I21" s="210" t="str">
        <f aca="false">IFERROR(HYPERLINK("#'DL10. Lớp học'!A"&amp;MATCH("NV006",'DL01. Nhân viên'!A:A,0),"NV006"),"NV006")</f>
        <v>NV006</v>
      </c>
      <c r="J21" s="209" t="s">
        <v>1176</v>
      </c>
      <c r="K21" s="236" t="b">
        <f aca="false">TRUE()</f>
        <v>1</v>
      </c>
      <c r="L21" s="211" t="n">
        <v>46201.875</v>
      </c>
      <c r="M21" s="236" t="b">
        <f aca="false">TRUE()</f>
        <v>1</v>
      </c>
      <c r="N21" s="209" t="s">
        <v>3278</v>
      </c>
      <c r="O21" s="209"/>
      <c r="P21" s="209"/>
      <c r="Q21" s="237" t="str">
        <f aca="true" t="array" ref="Q21:Q21">IF(AND(LEFT(J21,9)="scheduled",ISNUMBER(E21),(NOW()-N(E21))*1440&gt;slaTeacherAttendance_minutes),INDEX('CH4. Thông điệp nhắc việc'!$G:$G,MATCH("NA068",'CH4. Thông điệp nhắc việc'!$A:$A,0)),IF(LEFT(J21,9)="scheduled",INDEX('CH4. Thông điệp nhắc việc'!$G:$G,MATCH("NA019",'CH4. Thông điệp nhắc việc'!$A:$A,0)),IF(LEFT(J21,11)="in_progress",INDEX('CH4. Thông điệp nhắc việc'!$G:$G,MATCH("NA020",'CH4. Thông điệp nhắc việc'!$A:$A,0)),IF(LEFT(J21,9)="completed",IF(K21=FALSE(),IF((NOW()-N(D21))*24&gt;slaTeacherNote_hours,INDEX('CH4.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việc'!$A:$A,0))),IF(LEFT(J21,9)="cancelled",INDEX('CH4. Thông điệp nhắc việc'!$G:$G,MATCH("NA023",'CH4. Thông điệp nhắc việc'!$A:$A,0)),IF(LEFT(J21,11)="rescheduled",INDEX('CH4. Thông điệp nhắc việc'!$G:$G,MATCH("NA024",'CH4. Thông điệp nhắc việc'!$A:$A,0)),""))))))</f>
        <v>Đã hoàn tất. Không cần làm gì thêm ở bước này.</v>
      </c>
      <c r="R21" s="224" t="str">
        <f aca="false">IFERROR(VLOOKUP(B21,'DL10. Lớp học'!$A:$B,2,FALSE()),"")</f>
        <v>IELTS 6.5 Tối T2-T4-T6 (10/2025)</v>
      </c>
      <c r="S21" s="224" t="str">
        <f aca="false">IFERROR(VLOOKUP(I21,'DL01. Nhân viên'!$A:$B,2,FALSE()),"")</f>
        <v>Phạm Tấn Phát</v>
      </c>
    </row>
    <row r="22" customFormat="false" ht="55.5" hidden="false" customHeight="true" outlineLevel="0" collapsed="false">
      <c r="A22" s="209" t="s">
        <v>3296</v>
      </c>
      <c r="B22" s="210" t="str">
        <f aca="false">IFERROR(HYPERLINK("#'DL10. Lớp học'!A"&amp;MATCH("LOP-IELTS-6.5-04",'DL10. Lớp học'!A:A,0),"LOP-IELTS-6.5-04"),"LOP-IELTS-6.5-04")</f>
        <v>LOP-IELTS-6.5-04</v>
      </c>
      <c r="C22" s="215" t="n">
        <v>14</v>
      </c>
      <c r="D22" s="232" t="n">
        <v>46205.75</v>
      </c>
      <c r="E22" s="211" t="n">
        <v>46205.75</v>
      </c>
      <c r="F22" s="211" t="n">
        <v>46205.75</v>
      </c>
      <c r="G22" s="211" t="n">
        <v>46205.8333333333</v>
      </c>
      <c r="H22" s="215" t="n">
        <f aca="false">IF(OR(E22="",F22=""),"",MAX(0,ROUND((F22-E22)*24*60,0)))</f>
        <v>0</v>
      </c>
      <c r="I22" s="210" t="str">
        <f aca="false">IFERROR(HYPERLINK("#'DL10. Lớp học'!A"&amp;MATCH("NV006",'DL01. Nhân viên'!A:A,0),"NV006"),"NV006")</f>
        <v>NV006</v>
      </c>
      <c r="J22" s="209" t="s">
        <v>1176</v>
      </c>
      <c r="K22" s="236" t="b">
        <f aca="false">TRUE()</f>
        <v>1</v>
      </c>
      <c r="L22" s="211" t="n">
        <v>46205.875</v>
      </c>
      <c r="M22" s="236" t="b">
        <f aca="false">TRUE()</f>
        <v>1</v>
      </c>
      <c r="N22" s="209" t="s">
        <v>3278</v>
      </c>
      <c r="O22" s="209"/>
      <c r="P22" s="209"/>
      <c r="Q22" s="237" t="str">
        <f aca="true" t="array" ref="Q22:Q22">IF(AND(LEFT(J22,9)="scheduled",ISNUMBER(E22),(NOW()-N(E22))*1440&gt;slaTeacherAttendance_minutes),INDEX('CH4. Thông điệp nhắc việc'!$G:$G,MATCH("NA068",'CH4. Thông điệp nhắc việc'!$A:$A,0)),IF(LEFT(J22,9)="scheduled",INDEX('CH4. Thông điệp nhắc việc'!$G:$G,MATCH("NA019",'CH4. Thông điệp nhắc việc'!$A:$A,0)),IF(LEFT(J22,11)="in_progress",INDEX('CH4. Thông điệp nhắc việc'!$G:$G,MATCH("NA020",'CH4. Thông điệp nhắc việc'!$A:$A,0)),IF(LEFT(J22,9)="completed",IF(K22=FALSE(),IF((NOW()-N(D22))*24&gt;slaTeacherNote_hours,INDEX('CH4.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việc'!$A:$A,0))),IF(LEFT(J22,9)="cancelled",INDEX('CH4. Thông điệp nhắc việc'!$G:$G,MATCH("NA023",'CH4. Thông điệp nhắc việc'!$A:$A,0)),IF(LEFT(J22,11)="rescheduled",INDEX('CH4. Thông điệp nhắc việc'!$G:$G,MATCH("NA024",'CH4. Thông điệp nhắc việc'!$A:$A,0)),""))))))</f>
        <v>Đã hoàn tất. Không cần làm gì thêm ở bước này.</v>
      </c>
      <c r="R22" s="224" t="str">
        <f aca="false">IFERROR(VLOOKUP(B22,'DL10. Lớp học'!$A:$B,2,FALSE()),"")</f>
        <v>IELTS 6.5 Tối T2-T4-T6 (10/2025)</v>
      </c>
      <c r="S22" s="224" t="str">
        <f aca="false">IFERROR(VLOOKUP(I22,'DL01. Nhân viên'!$A:$B,2,FALSE()),"")</f>
        <v>Phạm Tấn Phát</v>
      </c>
    </row>
    <row r="23" customFormat="false" ht="55.5" hidden="false" customHeight="true" outlineLevel="0" collapsed="false">
      <c r="A23" s="209" t="s">
        <v>3297</v>
      </c>
      <c r="B23" s="210" t="str">
        <f aca="false">IFERROR(HYPERLINK("#'DL10. Lớp học'!A"&amp;MATCH("LOP-IELTS-6.0-12",'DL10. Lớp học'!A:A,0),"LOP-IELTS-6.0-12"),"LOP-IELTS-6.0-12")</f>
        <v>LOP-IELTS-6.0-12</v>
      </c>
      <c r="C23" s="215" t="n">
        <v>12</v>
      </c>
      <c r="D23" s="232" t="n">
        <v>46206.75</v>
      </c>
      <c r="E23" s="211" t="n">
        <v>46206.75</v>
      </c>
      <c r="F23" s="211" t="n">
        <v>46206.75</v>
      </c>
      <c r="G23" s="211" t="n">
        <v>46206.8333333333</v>
      </c>
      <c r="H23" s="215" t="n">
        <f aca="false">IF(OR(E23="",F23=""),"",MAX(0,ROUND((F23-E23)*24*60,0)))</f>
        <v>0</v>
      </c>
      <c r="I23" s="210" t="str">
        <f aca="false">IFERROR(HYPERLINK("#'DL10. Lớp học'!A"&amp;MATCH("NV031",'DL01. Nhân viên'!A:A,0),"NV031"),"NV031")</f>
        <v>NV031</v>
      </c>
      <c r="J23" s="209" t="s">
        <v>1176</v>
      </c>
      <c r="K23" s="236" t="b">
        <f aca="false">TRUE()</f>
        <v>1</v>
      </c>
      <c r="L23" s="211" t="n">
        <v>46206.875</v>
      </c>
      <c r="M23" s="236" t="b">
        <f aca="false">TRUE()</f>
        <v>1</v>
      </c>
      <c r="N23" s="209" t="s">
        <v>3278</v>
      </c>
      <c r="O23" s="209"/>
      <c r="P23" s="209"/>
      <c r="Q23" s="237" t="str">
        <f aca="true" t="array" ref="Q23:Q23">IF(AND(LEFT(J23,9)="scheduled",ISNUMBER(E23),(NOW()-N(E23))*1440&gt;slaTeacherAttendance_minutes),INDEX('CH4. Thông điệp nhắc việc'!$G:$G,MATCH("NA068",'CH4. Thông điệp nhắc việc'!$A:$A,0)),IF(LEFT(J23,9)="scheduled",INDEX('CH4. Thông điệp nhắc việc'!$G:$G,MATCH("NA019",'CH4. Thông điệp nhắc việc'!$A:$A,0)),IF(LEFT(J23,11)="in_progress",INDEX('CH4. Thông điệp nhắc việc'!$G:$G,MATCH("NA020",'CH4. Thông điệp nhắc việc'!$A:$A,0)),IF(LEFT(J23,9)="completed",IF(K23=FALSE(),IF((NOW()-N(D23))*24&gt;slaTeacherNote_hours,INDEX('CH4.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việc'!$A:$A,0))),IF(LEFT(J23,9)="cancelled",INDEX('CH4. Thông điệp nhắc việc'!$G:$G,MATCH("NA023",'CH4. Thông điệp nhắc việc'!$A:$A,0)),IF(LEFT(J23,11)="rescheduled",INDEX('CH4. Thông điệp nhắc việc'!$G:$G,MATCH("NA024",'CH4. Thông điệp nhắc việc'!$A:$A,0)),""))))))</f>
        <v>Đã hoàn tất. Không cần làm gì thêm ở bước này.</v>
      </c>
      <c r="R23" s="224" t="str">
        <f aca="false">IFERROR(VLOOKUP(B23,'DL10. Lớp học'!$A:$B,2,FALSE()),"")</f>
        <v>IELTS 6.0 Cuối tuần (01/2026)</v>
      </c>
      <c r="S23" s="224" t="str">
        <f aca="false">IFERROR(VLOOKUP(I23,'DL01. Nhân viên'!$A:$B,2,FALSE()),"")</f>
        <v>Trần Thanh Minh</v>
      </c>
    </row>
    <row r="24" customFormat="false" ht="55.5" hidden="false" customHeight="true" outlineLevel="0" collapsed="false">
      <c r="A24" s="209" t="s">
        <v>3298</v>
      </c>
      <c r="B24" s="210" t="str">
        <f aca="false">IFERROR(HYPERLINK("#'DL10. Lớp học'!A"&amp;MATCH("LOP-IELTS-6.5-03",'DL10. Lớp học'!A:A,0),"LOP-IELTS-6.5-03"),"LOP-IELTS-6.5-03")</f>
        <v>LOP-IELTS-6.5-03</v>
      </c>
      <c r="C24" s="215" t="n">
        <v>10</v>
      </c>
      <c r="D24" s="232" t="n">
        <v>46207.7916666667</v>
      </c>
      <c r="E24" s="211" t="n">
        <v>46207.7916666667</v>
      </c>
      <c r="F24" s="211" t="n">
        <v>46207.7916666667</v>
      </c>
      <c r="G24" s="211" t="n">
        <v>46207.875</v>
      </c>
      <c r="H24" s="215" t="n">
        <f aca="false">IF(OR(E24="",F24=""),"",MAX(0,ROUND((F24-E24)*24*60,0)))</f>
        <v>0</v>
      </c>
      <c r="I24" s="210" t="str">
        <f aca="false">IFERROR(HYPERLINK("#'DL10. Lớp học'!A"&amp;MATCH("NV006",'DL01. Nhân viên'!A:A,0),"NV006"),"NV006")</f>
        <v>NV006</v>
      </c>
      <c r="J24" s="209" t="s">
        <v>1176</v>
      </c>
      <c r="K24" s="236" t="b">
        <f aca="false">TRUE()</f>
        <v>1</v>
      </c>
      <c r="L24" s="211" t="n">
        <v>46207.9166666667</v>
      </c>
      <c r="M24" s="236" t="b">
        <f aca="false">TRUE()</f>
        <v>1</v>
      </c>
      <c r="N24" s="209" t="s">
        <v>3278</v>
      </c>
      <c r="O24" s="209"/>
      <c r="P24" s="209"/>
      <c r="Q24" s="237" t="str">
        <f aca="true" t="array" ref="Q24:Q24">IF(AND(LEFT(J24,9)="scheduled",ISNUMBER(E24),(NOW()-N(E24))*1440&gt;slaTeacherAttendance_minutes),INDEX('CH4. Thông điệp nhắc việc'!$G:$G,MATCH("NA068",'CH4. Thông điệp nhắc việc'!$A:$A,0)),IF(LEFT(J24,9)="scheduled",INDEX('CH4. Thông điệp nhắc việc'!$G:$G,MATCH("NA019",'CH4. Thông điệp nhắc việc'!$A:$A,0)),IF(LEFT(J24,11)="in_progress",INDEX('CH4. Thông điệp nhắc việc'!$G:$G,MATCH("NA020",'CH4. Thông điệp nhắc việc'!$A:$A,0)),IF(LEFT(J24,9)="completed",IF(K24=FALSE(),IF((NOW()-N(D24))*24&gt;slaTeacherNote_hours,INDEX('CH4. Thông điệp nhắc việc'!$G:$G,MATCH("NA021",'CH4. Thông điệp nhắc việc'!$A:$A,0)),INDEX('CH4. Thông điệp nhắc việc'!$G:$G,MATCH("NA069",'CH4. Thông điệp nhắc việc'!$A:$A,0))),INDEX('CH4. Thông điệp nhắc việc'!$G:$G,MATCH("NA022",'CH4. Thông điệp nhắc việc'!$A:$A,0))),IF(LEFT(J24,9)="cancelled",INDEX('CH4. Thông điệp nhắc việc'!$G:$G,MATCH("NA023",'CH4. Thông điệp nhắc việc'!$A:$A,0)),IF(LEFT(J24,11)="rescheduled",INDEX('CH4. Thông điệp nhắc việc'!$G:$G,MATCH("NA024",'CH4. Thông điệp nhắc việc'!$A:$A,0)),""))))))</f>
        <v>Đã hoàn tất. Không cần làm gì thêm ở bước này.</v>
      </c>
      <c r="R24" s="224" t="str">
        <f aca="false">IFERROR(VLOOKUP(B24,'DL10. Lớp học'!$A:$B,2,FALSE()),"")</f>
        <v>IELTS 6.5 Tối (05/2025)</v>
      </c>
      <c r="S24" s="224" t="str">
        <f aca="false">IFERROR(VLOOKUP(I24,'DL01. Nhân viên'!$A:$B,2,FALSE()),"")</f>
        <v>Phạm Tấn Phát</v>
      </c>
    </row>
    <row r="25" customFormat="false" ht="15.75" hidden="false" customHeight="true" outlineLevel="0" collapsed="false">
      <c r="A25" s="135"/>
      <c r="B25" s="135"/>
      <c r="C25" s="135"/>
      <c r="D25" s="182"/>
      <c r="E25" s="135"/>
      <c r="F25" s="135"/>
      <c r="G25" s="135"/>
      <c r="H25" s="135"/>
      <c r="I25" s="135"/>
      <c r="J25" s="135"/>
      <c r="K25" s="135"/>
      <c r="L25" s="189"/>
      <c r="M25" s="135"/>
      <c r="N25" s="135"/>
      <c r="O25" s="135"/>
      <c r="P25" s="135"/>
      <c r="Q25" s="135"/>
      <c r="R25" s="135"/>
      <c r="S25" s="135"/>
    </row>
    <row r="26" customFormat="false" ht="15.75" hidden="false" customHeight="true" outlineLevel="0" collapsed="false">
      <c r="A26" s="135"/>
      <c r="B26" s="135"/>
      <c r="C26" s="135"/>
      <c r="D26" s="182"/>
      <c r="E26" s="135"/>
      <c r="F26" s="135"/>
      <c r="G26" s="135"/>
      <c r="H26" s="135"/>
      <c r="I26" s="135"/>
      <c r="J26" s="135"/>
      <c r="K26" s="135"/>
      <c r="L26" s="189"/>
      <c r="M26" s="135"/>
      <c r="N26" s="135"/>
      <c r="O26" s="135"/>
      <c r="P26" s="135"/>
      <c r="Q26" s="135"/>
      <c r="R26" s="135"/>
      <c r="S26" s="135"/>
    </row>
    <row r="27" customFormat="false" ht="15.75" hidden="false" customHeight="true" outlineLevel="0" collapsed="false">
      <c r="A27" s="135"/>
      <c r="B27" s="135"/>
      <c r="C27" s="135"/>
      <c r="D27" s="182"/>
      <c r="E27" s="135"/>
      <c r="F27" s="135"/>
      <c r="G27" s="135"/>
      <c r="H27" s="135"/>
      <c r="I27" s="135"/>
      <c r="J27" s="135"/>
      <c r="K27" s="135"/>
      <c r="L27" s="189"/>
      <c r="M27" s="135"/>
      <c r="N27" s="135"/>
      <c r="O27" s="135"/>
      <c r="P27" s="135"/>
      <c r="Q27" s="135"/>
      <c r="R27" s="135"/>
      <c r="S27" s="135"/>
    </row>
    <row r="28" customFormat="false" ht="15.75" hidden="false" customHeight="true" outlineLevel="0" collapsed="false">
      <c r="A28" s="135"/>
      <c r="B28" s="135"/>
      <c r="C28" s="135"/>
      <c r="D28" s="182"/>
      <c r="E28" s="135"/>
      <c r="F28" s="135"/>
      <c r="G28" s="135"/>
      <c r="H28" s="135"/>
      <c r="I28" s="135"/>
      <c r="J28" s="135"/>
      <c r="K28" s="135"/>
      <c r="L28" s="189"/>
      <c r="M28" s="135"/>
      <c r="N28" s="135"/>
      <c r="O28" s="135"/>
      <c r="P28" s="135"/>
      <c r="Q28" s="135"/>
      <c r="R28" s="135"/>
      <c r="S28" s="135"/>
    </row>
    <row r="29" customFormat="false" ht="15.75" hidden="false" customHeight="true" outlineLevel="0" collapsed="false">
      <c r="A29" s="135"/>
      <c r="B29" s="135"/>
      <c r="C29" s="135"/>
      <c r="D29" s="182"/>
      <c r="E29" s="135"/>
      <c r="F29" s="135"/>
      <c r="G29" s="135"/>
      <c r="H29" s="135"/>
      <c r="I29" s="135"/>
      <c r="J29" s="135"/>
      <c r="K29" s="135"/>
      <c r="L29" s="189"/>
      <c r="M29" s="135"/>
      <c r="N29" s="135"/>
      <c r="O29" s="135"/>
      <c r="P29" s="135"/>
      <c r="Q29" s="135"/>
      <c r="R29" s="135"/>
      <c r="S29" s="135"/>
    </row>
    <row r="30" customFormat="false" ht="15.75" hidden="false" customHeight="true" outlineLevel="0" collapsed="false">
      <c r="A30" s="135"/>
      <c r="B30" s="135"/>
      <c r="C30" s="135"/>
      <c r="D30" s="182"/>
      <c r="E30" s="135"/>
      <c r="F30" s="135"/>
      <c r="G30" s="135"/>
      <c r="H30" s="135"/>
      <c r="I30" s="135"/>
      <c r="J30" s="135"/>
      <c r="K30" s="135"/>
      <c r="L30" s="189"/>
      <c r="M30" s="135"/>
      <c r="N30" s="135"/>
      <c r="O30" s="135"/>
      <c r="P30" s="135"/>
      <c r="Q30" s="135"/>
      <c r="R30" s="135"/>
      <c r="S30" s="135"/>
    </row>
    <row r="31" customFormat="false" ht="15.75" hidden="false" customHeight="true" outlineLevel="0" collapsed="false">
      <c r="A31" s="135"/>
      <c r="B31" s="135"/>
      <c r="C31" s="135"/>
      <c r="D31" s="182"/>
      <c r="E31" s="135"/>
      <c r="F31" s="135"/>
      <c r="G31" s="135"/>
      <c r="H31" s="135"/>
      <c r="I31" s="135"/>
      <c r="J31" s="135"/>
      <c r="K31" s="135"/>
      <c r="L31" s="189"/>
      <c r="M31" s="135"/>
      <c r="N31" s="135"/>
      <c r="O31" s="135"/>
      <c r="P31" s="135"/>
      <c r="Q31" s="135"/>
      <c r="R31" s="135"/>
      <c r="S31" s="135"/>
    </row>
    <row r="32" customFormat="false" ht="15.75" hidden="false" customHeight="true" outlineLevel="0" collapsed="false">
      <c r="A32" s="135"/>
      <c r="B32" s="135"/>
      <c r="C32" s="135"/>
      <c r="D32" s="182"/>
      <c r="E32" s="135"/>
      <c r="F32" s="135"/>
      <c r="G32" s="135"/>
      <c r="H32" s="135"/>
      <c r="I32" s="135"/>
      <c r="J32" s="135"/>
      <c r="K32" s="135"/>
      <c r="L32" s="189"/>
      <c r="M32" s="135"/>
      <c r="N32" s="135"/>
      <c r="O32" s="135"/>
      <c r="P32" s="135"/>
      <c r="Q32" s="135"/>
      <c r="R32" s="135"/>
      <c r="S32" s="135"/>
    </row>
    <row r="33" customFormat="false" ht="15.75" hidden="false" customHeight="true" outlineLevel="0" collapsed="false">
      <c r="A33" s="135"/>
      <c r="B33" s="135"/>
      <c r="C33" s="135"/>
      <c r="D33" s="182"/>
      <c r="E33" s="135"/>
      <c r="F33" s="135"/>
      <c r="G33" s="135"/>
      <c r="H33" s="135"/>
      <c r="I33" s="135"/>
      <c r="J33" s="135"/>
      <c r="K33" s="135"/>
      <c r="L33" s="189"/>
      <c r="M33" s="135"/>
      <c r="N33" s="135"/>
      <c r="O33" s="135"/>
      <c r="P33" s="135"/>
      <c r="Q33" s="135"/>
      <c r="R33" s="135"/>
      <c r="S33" s="135"/>
    </row>
    <row r="34" customFormat="false" ht="15.75" hidden="false" customHeight="true" outlineLevel="0" collapsed="false">
      <c r="A34" s="135"/>
      <c r="B34" s="135"/>
      <c r="C34" s="135"/>
      <c r="D34" s="182"/>
      <c r="E34" s="135"/>
      <c r="F34" s="135"/>
      <c r="G34" s="135"/>
      <c r="H34" s="135"/>
      <c r="I34" s="135"/>
      <c r="J34" s="135"/>
      <c r="K34" s="135"/>
      <c r="L34" s="189"/>
      <c r="M34" s="135"/>
      <c r="N34" s="135"/>
      <c r="O34" s="135"/>
      <c r="P34" s="135"/>
      <c r="Q34" s="135"/>
      <c r="R34" s="135"/>
      <c r="S34" s="135"/>
    </row>
    <row r="35" customFormat="false" ht="15.75" hidden="false" customHeight="true" outlineLevel="0" collapsed="false">
      <c r="A35" s="135"/>
      <c r="B35" s="135"/>
      <c r="C35" s="135"/>
      <c r="D35" s="182"/>
      <c r="E35" s="135"/>
      <c r="F35" s="135"/>
      <c r="G35" s="135"/>
      <c r="H35" s="135"/>
      <c r="I35" s="135"/>
      <c r="J35" s="135"/>
      <c r="K35" s="135"/>
      <c r="L35" s="189"/>
      <c r="M35" s="135"/>
      <c r="N35" s="135"/>
      <c r="O35" s="135"/>
      <c r="P35" s="135"/>
      <c r="Q35" s="135"/>
      <c r="R35" s="135"/>
      <c r="S35" s="135"/>
    </row>
    <row r="36" customFormat="false" ht="15.75" hidden="false" customHeight="true" outlineLevel="0" collapsed="false">
      <c r="A36" s="135"/>
      <c r="B36" s="135"/>
      <c r="C36" s="135"/>
      <c r="D36" s="182"/>
      <c r="E36" s="135"/>
      <c r="F36" s="135"/>
      <c r="G36" s="135"/>
      <c r="H36" s="135"/>
      <c r="I36" s="135"/>
      <c r="J36" s="135"/>
      <c r="K36" s="135"/>
      <c r="L36" s="189"/>
      <c r="M36" s="135"/>
      <c r="N36" s="135"/>
      <c r="O36" s="135"/>
      <c r="P36" s="135"/>
      <c r="Q36" s="135"/>
      <c r="R36" s="135"/>
      <c r="S36" s="135"/>
    </row>
    <row r="37" customFormat="false" ht="15.75" hidden="false" customHeight="true" outlineLevel="0" collapsed="false">
      <c r="A37" s="135"/>
      <c r="B37" s="135"/>
      <c r="C37" s="135"/>
      <c r="D37" s="182"/>
      <c r="E37" s="135"/>
      <c r="F37" s="135"/>
      <c r="G37" s="135"/>
      <c r="H37" s="135"/>
      <c r="I37" s="135"/>
      <c r="J37" s="135"/>
      <c r="K37" s="135"/>
      <c r="L37" s="189"/>
      <c r="M37" s="135"/>
      <c r="N37" s="135"/>
      <c r="O37" s="135"/>
      <c r="P37" s="135"/>
      <c r="Q37" s="135"/>
      <c r="R37" s="135"/>
      <c r="S37" s="135"/>
    </row>
    <row r="38" customFormat="false" ht="15.75" hidden="false" customHeight="true" outlineLevel="0" collapsed="false">
      <c r="A38" s="135"/>
      <c r="B38" s="135"/>
      <c r="C38" s="135"/>
      <c r="D38" s="182"/>
      <c r="E38" s="135"/>
      <c r="F38" s="135"/>
      <c r="G38" s="135"/>
      <c r="H38" s="135"/>
      <c r="I38" s="135"/>
      <c r="J38" s="135"/>
      <c r="K38" s="135"/>
      <c r="L38" s="189"/>
      <c r="M38" s="135"/>
      <c r="N38" s="135"/>
      <c r="O38" s="135"/>
      <c r="P38" s="135"/>
      <c r="Q38" s="135"/>
      <c r="R38" s="135"/>
      <c r="S38" s="135"/>
    </row>
    <row r="39" customFormat="false" ht="15.75" hidden="false" customHeight="true" outlineLevel="0" collapsed="false">
      <c r="A39" s="135"/>
      <c r="B39" s="135"/>
      <c r="C39" s="135"/>
      <c r="D39" s="182"/>
      <c r="E39" s="135"/>
      <c r="F39" s="135"/>
      <c r="G39" s="135"/>
      <c r="H39" s="135"/>
      <c r="I39" s="135"/>
      <c r="J39" s="135"/>
      <c r="K39" s="135"/>
      <c r="L39" s="189"/>
      <c r="M39" s="135"/>
      <c r="N39" s="135"/>
      <c r="O39" s="135"/>
      <c r="P39" s="135"/>
      <c r="Q39" s="135"/>
      <c r="R39" s="135"/>
      <c r="S39" s="135"/>
    </row>
    <row r="40" customFormat="false" ht="15.75" hidden="false" customHeight="true" outlineLevel="0" collapsed="false">
      <c r="A40" s="135"/>
      <c r="B40" s="135"/>
      <c r="C40" s="135"/>
      <c r="D40" s="182"/>
      <c r="E40" s="135"/>
      <c r="F40" s="135"/>
      <c r="G40" s="135"/>
      <c r="H40" s="135"/>
      <c r="I40" s="135"/>
      <c r="J40" s="135"/>
      <c r="K40" s="135"/>
      <c r="L40" s="189"/>
      <c r="M40" s="135"/>
      <c r="N40" s="135"/>
      <c r="O40" s="135"/>
      <c r="P40" s="135"/>
      <c r="Q40" s="135"/>
      <c r="R40" s="135"/>
      <c r="S40" s="135"/>
    </row>
    <row r="41" customFormat="false" ht="15.75" hidden="false" customHeight="true" outlineLevel="0" collapsed="false">
      <c r="A41" s="135"/>
      <c r="B41" s="135"/>
      <c r="C41" s="135"/>
      <c r="D41" s="182"/>
      <c r="E41" s="135"/>
      <c r="F41" s="135"/>
      <c r="G41" s="135"/>
      <c r="H41" s="135"/>
      <c r="I41" s="135"/>
      <c r="J41" s="135"/>
      <c r="K41" s="135"/>
      <c r="L41" s="189"/>
      <c r="M41" s="135"/>
      <c r="N41" s="135"/>
      <c r="O41" s="135"/>
      <c r="P41" s="135"/>
      <c r="Q41" s="135"/>
      <c r="R41" s="135"/>
      <c r="S41" s="135"/>
    </row>
    <row r="42" customFormat="false" ht="15.75" hidden="false" customHeight="true" outlineLevel="0" collapsed="false">
      <c r="A42" s="135"/>
      <c r="B42" s="135"/>
      <c r="C42" s="135"/>
      <c r="D42" s="182"/>
      <c r="E42" s="135"/>
      <c r="F42" s="135"/>
      <c r="G42" s="135"/>
      <c r="H42" s="135"/>
      <c r="I42" s="135"/>
      <c r="J42" s="135"/>
      <c r="K42" s="135"/>
      <c r="L42" s="189"/>
      <c r="M42" s="135"/>
      <c r="N42" s="135"/>
      <c r="O42" s="135"/>
      <c r="P42" s="135"/>
      <c r="Q42" s="135"/>
      <c r="R42" s="135"/>
      <c r="S42" s="135"/>
    </row>
    <row r="43" customFormat="false" ht="15.75" hidden="false" customHeight="true" outlineLevel="0" collapsed="false">
      <c r="A43" s="135"/>
      <c r="B43" s="135"/>
      <c r="C43" s="135"/>
      <c r="D43" s="182"/>
      <c r="E43" s="135"/>
      <c r="F43" s="135"/>
      <c r="G43" s="135"/>
      <c r="H43" s="135"/>
      <c r="I43" s="135"/>
      <c r="J43" s="135"/>
      <c r="K43" s="135"/>
      <c r="L43" s="189"/>
      <c r="M43" s="135"/>
      <c r="N43" s="135"/>
      <c r="O43" s="135"/>
      <c r="P43" s="135"/>
      <c r="Q43" s="135"/>
      <c r="R43" s="135"/>
      <c r="S43" s="135"/>
    </row>
    <row r="44" customFormat="false" ht="15.75" hidden="false" customHeight="true" outlineLevel="0" collapsed="false">
      <c r="A44" s="135"/>
      <c r="B44" s="135"/>
      <c r="C44" s="135"/>
      <c r="D44" s="182"/>
      <c r="E44" s="135"/>
      <c r="F44" s="135"/>
      <c r="G44" s="135"/>
      <c r="H44" s="135"/>
      <c r="I44" s="135"/>
      <c r="J44" s="135"/>
      <c r="K44" s="135"/>
      <c r="L44" s="189"/>
      <c r="M44" s="135"/>
      <c r="N44" s="135"/>
      <c r="O44" s="135"/>
      <c r="P44" s="135"/>
      <c r="Q44" s="135"/>
      <c r="R44" s="135"/>
      <c r="S44" s="135"/>
    </row>
    <row r="45" customFormat="false" ht="15.75" hidden="false" customHeight="true" outlineLevel="0" collapsed="false">
      <c r="A45" s="135"/>
      <c r="B45" s="135"/>
      <c r="C45" s="135"/>
      <c r="D45" s="182"/>
      <c r="E45" s="135"/>
      <c r="F45" s="135"/>
      <c r="G45" s="135"/>
      <c r="H45" s="135"/>
      <c r="I45" s="135"/>
      <c r="J45" s="135"/>
      <c r="K45" s="135"/>
      <c r="L45" s="189"/>
      <c r="M45" s="135"/>
      <c r="N45" s="135"/>
      <c r="O45" s="135"/>
      <c r="P45" s="135"/>
      <c r="Q45" s="135"/>
      <c r="R45" s="135"/>
      <c r="S45" s="135"/>
    </row>
    <row r="46" customFormat="false" ht="15.75" hidden="false" customHeight="true" outlineLevel="0" collapsed="false">
      <c r="A46" s="135"/>
      <c r="B46" s="135"/>
      <c r="C46" s="135"/>
      <c r="D46" s="182"/>
      <c r="E46" s="135"/>
      <c r="F46" s="135"/>
      <c r="G46" s="135"/>
      <c r="H46" s="135"/>
      <c r="I46" s="135"/>
      <c r="J46" s="135"/>
      <c r="K46" s="135"/>
      <c r="L46" s="189"/>
      <c r="M46" s="135"/>
      <c r="N46" s="135"/>
      <c r="O46" s="135"/>
      <c r="P46" s="135"/>
      <c r="Q46" s="135"/>
      <c r="R46" s="135"/>
      <c r="S46" s="135"/>
    </row>
    <row r="47" customFormat="false" ht="15.75" hidden="false" customHeight="true" outlineLevel="0" collapsed="false">
      <c r="A47" s="135"/>
      <c r="B47" s="135"/>
      <c r="C47" s="135"/>
      <c r="D47" s="182"/>
      <c r="E47" s="135"/>
      <c r="F47" s="135"/>
      <c r="G47" s="135"/>
      <c r="H47" s="135"/>
      <c r="I47" s="135"/>
      <c r="J47" s="135"/>
      <c r="K47" s="135"/>
      <c r="L47" s="189"/>
      <c r="M47" s="135"/>
      <c r="N47" s="135"/>
      <c r="O47" s="135"/>
      <c r="P47" s="135"/>
      <c r="Q47" s="135"/>
      <c r="R47" s="135"/>
      <c r="S47" s="135"/>
    </row>
    <row r="48" customFormat="false" ht="15.75" hidden="false" customHeight="true" outlineLevel="0" collapsed="false">
      <c r="A48" s="135"/>
      <c r="B48" s="135"/>
      <c r="C48" s="135"/>
      <c r="D48" s="182"/>
      <c r="E48" s="135"/>
      <c r="F48" s="135"/>
      <c r="G48" s="135"/>
      <c r="H48" s="135"/>
      <c r="I48" s="135"/>
      <c r="J48" s="135"/>
      <c r="K48" s="135"/>
      <c r="L48" s="189"/>
      <c r="M48" s="135"/>
      <c r="N48" s="135"/>
      <c r="O48" s="135"/>
      <c r="P48" s="135"/>
      <c r="Q48" s="135"/>
      <c r="R48" s="135"/>
      <c r="S48" s="135"/>
    </row>
    <row r="49" customFormat="false" ht="15.75" hidden="false" customHeight="true" outlineLevel="0" collapsed="false">
      <c r="A49" s="135"/>
      <c r="B49" s="135"/>
      <c r="C49" s="135"/>
      <c r="D49" s="182"/>
      <c r="E49" s="135"/>
      <c r="F49" s="135"/>
      <c r="G49" s="135"/>
      <c r="H49" s="135"/>
      <c r="I49" s="135"/>
      <c r="J49" s="135"/>
      <c r="K49" s="135"/>
      <c r="L49" s="189"/>
      <c r="M49" s="135"/>
      <c r="N49" s="135"/>
      <c r="O49" s="135"/>
      <c r="P49" s="135"/>
      <c r="Q49" s="135"/>
      <c r="R49" s="135"/>
      <c r="S49" s="135"/>
    </row>
    <row r="50" customFormat="false" ht="15.75" hidden="false" customHeight="true" outlineLevel="0" collapsed="false">
      <c r="A50" s="135"/>
      <c r="B50" s="135"/>
      <c r="C50" s="135"/>
      <c r="D50" s="182"/>
      <c r="E50" s="135"/>
      <c r="F50" s="135"/>
      <c r="G50" s="135"/>
      <c r="H50" s="135"/>
      <c r="I50" s="135"/>
      <c r="J50" s="135"/>
      <c r="K50" s="135"/>
      <c r="L50" s="189"/>
      <c r="M50" s="135"/>
      <c r="N50" s="135"/>
      <c r="O50" s="135"/>
      <c r="P50" s="135"/>
      <c r="Q50" s="135"/>
      <c r="R50" s="135"/>
      <c r="S50" s="135"/>
    </row>
    <row r="51" customFormat="false" ht="15.75" hidden="false" customHeight="true" outlineLevel="0" collapsed="false">
      <c r="A51" s="135"/>
      <c r="B51" s="135"/>
      <c r="C51" s="135"/>
      <c r="D51" s="182"/>
      <c r="E51" s="135"/>
      <c r="F51" s="135"/>
      <c r="G51" s="135"/>
      <c r="H51" s="135"/>
      <c r="I51" s="135"/>
      <c r="J51" s="135"/>
      <c r="K51" s="135"/>
      <c r="L51" s="189"/>
      <c r="M51" s="135"/>
      <c r="N51" s="135"/>
      <c r="O51" s="135"/>
      <c r="P51" s="135"/>
      <c r="Q51" s="135"/>
      <c r="R51" s="135"/>
      <c r="S51" s="135"/>
    </row>
    <row r="52" customFormat="false" ht="15.75" hidden="false" customHeight="true" outlineLevel="0" collapsed="false">
      <c r="A52" s="135"/>
      <c r="B52" s="135"/>
      <c r="C52" s="135"/>
      <c r="D52" s="182"/>
      <c r="E52" s="135"/>
      <c r="F52" s="135"/>
      <c r="G52" s="135"/>
      <c r="H52" s="135"/>
      <c r="I52" s="135"/>
      <c r="J52" s="135"/>
      <c r="K52" s="135"/>
      <c r="L52" s="189"/>
      <c r="M52" s="135"/>
      <c r="N52" s="135"/>
      <c r="O52" s="135"/>
      <c r="P52" s="135"/>
      <c r="Q52" s="135"/>
      <c r="R52" s="135"/>
      <c r="S52" s="135"/>
    </row>
    <row r="53" customFormat="false" ht="15.75" hidden="false" customHeight="true" outlineLevel="0" collapsed="false">
      <c r="A53" s="135"/>
      <c r="B53" s="135"/>
      <c r="C53" s="135"/>
      <c r="D53" s="182"/>
      <c r="E53" s="135"/>
      <c r="F53" s="135"/>
      <c r="G53" s="135"/>
      <c r="H53" s="135"/>
      <c r="I53" s="135"/>
      <c r="J53" s="135"/>
      <c r="K53" s="135"/>
      <c r="L53" s="189"/>
      <c r="M53" s="135"/>
      <c r="N53" s="135"/>
      <c r="O53" s="135"/>
      <c r="P53" s="135"/>
      <c r="Q53" s="135"/>
      <c r="R53" s="135"/>
      <c r="S53" s="135"/>
    </row>
    <row r="54" customFormat="false" ht="15.75" hidden="false" customHeight="true" outlineLevel="0" collapsed="false">
      <c r="A54" s="135"/>
      <c r="B54" s="135"/>
      <c r="C54" s="135"/>
      <c r="D54" s="182"/>
      <c r="E54" s="135"/>
      <c r="F54" s="135"/>
      <c r="G54" s="135"/>
      <c r="H54" s="135"/>
      <c r="I54" s="135"/>
      <c r="J54" s="135"/>
      <c r="K54" s="135"/>
      <c r="L54" s="189"/>
      <c r="M54" s="135"/>
      <c r="N54" s="135"/>
      <c r="O54" s="135"/>
      <c r="P54" s="135"/>
      <c r="Q54" s="135"/>
      <c r="R54" s="135"/>
      <c r="S54" s="135"/>
    </row>
    <row r="55" customFormat="false" ht="15.75" hidden="false" customHeight="true" outlineLevel="0" collapsed="false">
      <c r="A55" s="135"/>
      <c r="B55" s="135"/>
      <c r="C55" s="135"/>
      <c r="D55" s="182"/>
      <c r="E55" s="135"/>
      <c r="F55" s="135"/>
      <c r="G55" s="135"/>
      <c r="H55" s="135"/>
      <c r="I55" s="135"/>
      <c r="J55" s="135"/>
      <c r="K55" s="135"/>
      <c r="L55" s="189"/>
      <c r="M55" s="135"/>
      <c r="N55" s="135"/>
      <c r="O55" s="135"/>
      <c r="P55" s="135"/>
      <c r="Q55" s="135"/>
      <c r="R55" s="135"/>
      <c r="S55" s="135"/>
    </row>
    <row r="56" customFormat="false" ht="15.75" hidden="false" customHeight="true" outlineLevel="0" collapsed="false">
      <c r="A56" s="135"/>
      <c r="B56" s="135"/>
      <c r="C56" s="135"/>
      <c r="D56" s="182"/>
      <c r="E56" s="135"/>
      <c r="F56" s="135"/>
      <c r="G56" s="135"/>
      <c r="H56" s="135"/>
      <c r="I56" s="135"/>
      <c r="J56" s="135"/>
      <c r="K56" s="135"/>
      <c r="L56" s="189"/>
      <c r="M56" s="135"/>
      <c r="N56" s="135"/>
      <c r="O56" s="135"/>
      <c r="P56" s="135"/>
      <c r="Q56" s="135"/>
      <c r="R56" s="135"/>
      <c r="S56" s="135"/>
    </row>
    <row r="57" customFormat="false" ht="15.75" hidden="false" customHeight="true" outlineLevel="0" collapsed="false">
      <c r="A57" s="135"/>
      <c r="B57" s="135"/>
      <c r="C57" s="135"/>
      <c r="D57" s="182"/>
      <c r="E57" s="135"/>
      <c r="F57" s="135"/>
      <c r="G57" s="135"/>
      <c r="H57" s="135"/>
      <c r="I57" s="135"/>
      <c r="J57" s="135"/>
      <c r="K57" s="135"/>
      <c r="L57" s="189"/>
      <c r="M57" s="135"/>
      <c r="N57" s="135"/>
      <c r="O57" s="135"/>
      <c r="P57" s="135"/>
      <c r="Q57" s="135"/>
      <c r="R57" s="135"/>
      <c r="S57" s="135"/>
    </row>
    <row r="58" customFormat="false" ht="15.75" hidden="false" customHeight="true" outlineLevel="0" collapsed="false">
      <c r="A58" s="135"/>
      <c r="B58" s="135"/>
      <c r="C58" s="135"/>
      <c r="D58" s="182"/>
      <c r="E58" s="135"/>
      <c r="F58" s="135"/>
      <c r="G58" s="135"/>
      <c r="H58" s="135"/>
      <c r="I58" s="135"/>
      <c r="J58" s="135"/>
      <c r="K58" s="135"/>
      <c r="L58" s="189"/>
      <c r="M58" s="135"/>
      <c r="N58" s="135"/>
      <c r="O58" s="135"/>
      <c r="P58" s="135"/>
      <c r="Q58" s="135"/>
      <c r="R58" s="135"/>
      <c r="S58" s="135"/>
    </row>
    <row r="59" customFormat="false" ht="15.75" hidden="false" customHeight="true" outlineLevel="0" collapsed="false">
      <c r="A59" s="135"/>
      <c r="B59" s="135"/>
      <c r="C59" s="135"/>
      <c r="D59" s="182"/>
      <c r="E59" s="135"/>
      <c r="F59" s="135"/>
      <c r="G59" s="135"/>
      <c r="H59" s="135"/>
      <c r="I59" s="135"/>
      <c r="J59" s="135"/>
      <c r="K59" s="135"/>
      <c r="L59" s="189"/>
      <c r="M59" s="135"/>
      <c r="N59" s="135"/>
      <c r="O59" s="135"/>
      <c r="P59" s="135"/>
      <c r="Q59" s="135"/>
      <c r="R59" s="135"/>
      <c r="S59" s="135"/>
    </row>
    <row r="60" customFormat="false" ht="15.75" hidden="false" customHeight="true" outlineLevel="0" collapsed="false">
      <c r="A60" s="135"/>
      <c r="B60" s="135"/>
      <c r="C60" s="135"/>
      <c r="D60" s="182"/>
      <c r="E60" s="135"/>
      <c r="F60" s="135"/>
      <c r="G60" s="135"/>
      <c r="H60" s="135"/>
      <c r="I60" s="135"/>
      <c r="J60" s="135"/>
      <c r="K60" s="135"/>
      <c r="L60" s="189"/>
      <c r="M60" s="135"/>
      <c r="N60" s="135"/>
      <c r="O60" s="135"/>
      <c r="P60" s="135"/>
      <c r="Q60" s="135"/>
      <c r="R60" s="135"/>
      <c r="S60" s="135"/>
    </row>
    <row r="61" customFormat="false" ht="15.75" hidden="false" customHeight="true" outlineLevel="0" collapsed="false">
      <c r="A61" s="135"/>
      <c r="B61" s="135"/>
      <c r="C61" s="135"/>
      <c r="D61" s="182"/>
      <c r="E61" s="135"/>
      <c r="F61" s="135"/>
      <c r="G61" s="135"/>
      <c r="H61" s="135"/>
      <c r="I61" s="135"/>
      <c r="J61" s="135"/>
      <c r="K61" s="135"/>
      <c r="L61" s="189"/>
      <c r="M61" s="135"/>
      <c r="N61" s="135"/>
      <c r="O61" s="135"/>
      <c r="P61" s="135"/>
      <c r="Q61" s="135"/>
      <c r="R61" s="135"/>
      <c r="S61" s="135"/>
    </row>
    <row r="62" customFormat="false" ht="15.75" hidden="false" customHeight="true" outlineLevel="0" collapsed="false">
      <c r="A62" s="135"/>
      <c r="B62" s="135"/>
      <c r="C62" s="135"/>
      <c r="D62" s="182"/>
      <c r="E62" s="135"/>
      <c r="F62" s="135"/>
      <c r="G62" s="135"/>
      <c r="H62" s="135"/>
      <c r="I62" s="135"/>
      <c r="J62" s="135"/>
      <c r="K62" s="135"/>
      <c r="L62" s="189"/>
      <c r="M62" s="135"/>
      <c r="N62" s="135"/>
      <c r="O62" s="135"/>
      <c r="P62" s="135"/>
      <c r="Q62" s="135"/>
      <c r="R62" s="135"/>
      <c r="S62" s="135"/>
    </row>
    <row r="63" customFormat="false" ht="15.75" hidden="false" customHeight="true" outlineLevel="0" collapsed="false">
      <c r="A63" s="135"/>
      <c r="B63" s="135"/>
      <c r="C63" s="135"/>
      <c r="D63" s="182"/>
      <c r="E63" s="135"/>
      <c r="F63" s="135"/>
      <c r="G63" s="135"/>
      <c r="H63" s="135"/>
      <c r="I63" s="135"/>
      <c r="J63" s="135"/>
      <c r="K63" s="135"/>
      <c r="L63" s="189"/>
      <c r="M63" s="135"/>
      <c r="N63" s="135"/>
      <c r="O63" s="135"/>
      <c r="P63" s="135"/>
      <c r="Q63" s="135"/>
      <c r="R63" s="135"/>
      <c r="S63" s="135"/>
    </row>
    <row r="64" customFormat="false" ht="15.75" hidden="false" customHeight="true" outlineLevel="0" collapsed="false">
      <c r="A64" s="135"/>
      <c r="B64" s="135"/>
      <c r="C64" s="135"/>
      <c r="D64" s="182"/>
      <c r="E64" s="135"/>
      <c r="F64" s="135"/>
      <c r="G64" s="135"/>
      <c r="H64" s="135"/>
      <c r="I64" s="135"/>
      <c r="J64" s="135"/>
      <c r="K64" s="135"/>
      <c r="L64" s="189"/>
      <c r="M64" s="135"/>
      <c r="N64" s="135"/>
      <c r="O64" s="135"/>
      <c r="P64" s="135"/>
      <c r="Q64" s="135"/>
      <c r="R64" s="135"/>
      <c r="S64" s="135"/>
    </row>
    <row r="65" customFormat="false" ht="15.75" hidden="false" customHeight="true" outlineLevel="0" collapsed="false">
      <c r="A65" s="135"/>
      <c r="B65" s="135"/>
      <c r="C65" s="135"/>
      <c r="D65" s="182"/>
      <c r="E65" s="135"/>
      <c r="F65" s="135"/>
      <c r="G65" s="135"/>
      <c r="H65" s="135"/>
      <c r="I65" s="135"/>
      <c r="J65" s="135"/>
      <c r="K65" s="135"/>
      <c r="L65" s="189"/>
      <c r="M65" s="135"/>
      <c r="N65" s="135"/>
      <c r="O65" s="135"/>
      <c r="P65" s="135"/>
      <c r="Q65" s="135"/>
      <c r="R65" s="135"/>
      <c r="S65" s="135"/>
    </row>
    <row r="66" customFormat="false" ht="15.75" hidden="false" customHeight="true" outlineLevel="0" collapsed="false">
      <c r="A66" s="135"/>
      <c r="B66" s="135"/>
      <c r="C66" s="135"/>
      <c r="D66" s="182"/>
      <c r="E66" s="135"/>
      <c r="F66" s="135"/>
      <c r="G66" s="135"/>
      <c r="H66" s="135"/>
      <c r="I66" s="135"/>
      <c r="J66" s="135"/>
      <c r="K66" s="135"/>
      <c r="L66" s="189"/>
      <c r="M66" s="135"/>
      <c r="N66" s="135"/>
      <c r="O66" s="135"/>
      <c r="P66" s="135"/>
      <c r="Q66" s="135"/>
      <c r="R66" s="135"/>
      <c r="S66" s="135"/>
    </row>
    <row r="67" customFormat="false" ht="15.75" hidden="false" customHeight="true" outlineLevel="0" collapsed="false">
      <c r="A67" s="135"/>
      <c r="B67" s="135"/>
      <c r="C67" s="135"/>
      <c r="D67" s="182"/>
      <c r="E67" s="135"/>
      <c r="F67" s="135"/>
      <c r="G67" s="135"/>
      <c r="H67" s="135"/>
      <c r="I67" s="135"/>
      <c r="J67" s="135"/>
      <c r="K67" s="135"/>
      <c r="L67" s="189"/>
      <c r="M67" s="135"/>
      <c r="N67" s="135"/>
      <c r="O67" s="135"/>
      <c r="P67" s="135"/>
      <c r="Q67" s="135"/>
      <c r="R67" s="135"/>
      <c r="S67" s="135"/>
    </row>
    <row r="68" customFormat="false" ht="15.75" hidden="false" customHeight="true" outlineLevel="0" collapsed="false">
      <c r="A68" s="135"/>
      <c r="B68" s="135"/>
      <c r="C68" s="135"/>
      <c r="D68" s="182"/>
      <c r="E68" s="135"/>
      <c r="F68" s="135"/>
      <c r="G68" s="135"/>
      <c r="H68" s="135"/>
      <c r="I68" s="135"/>
      <c r="J68" s="135"/>
      <c r="K68" s="135"/>
      <c r="L68" s="189"/>
      <c r="M68" s="135"/>
      <c r="N68" s="135"/>
      <c r="O68" s="135"/>
      <c r="P68" s="135"/>
      <c r="Q68" s="135"/>
      <c r="R68" s="135"/>
      <c r="S68" s="135"/>
    </row>
    <row r="69" customFormat="false" ht="15.75" hidden="false" customHeight="true" outlineLevel="0" collapsed="false">
      <c r="A69" s="135"/>
      <c r="B69" s="135"/>
      <c r="C69" s="135"/>
      <c r="D69" s="182"/>
      <c r="E69" s="135"/>
      <c r="F69" s="135"/>
      <c r="G69" s="135"/>
      <c r="H69" s="135"/>
      <c r="I69" s="135"/>
      <c r="J69" s="135"/>
      <c r="K69" s="135"/>
      <c r="L69" s="189"/>
      <c r="M69" s="135"/>
      <c r="N69" s="135"/>
      <c r="O69" s="135"/>
      <c r="P69" s="135"/>
      <c r="Q69" s="135"/>
      <c r="R69" s="135"/>
      <c r="S69" s="135"/>
    </row>
    <row r="70" customFormat="false" ht="15.75" hidden="false" customHeight="true" outlineLevel="0" collapsed="false">
      <c r="A70" s="135"/>
      <c r="B70" s="135"/>
      <c r="C70" s="135"/>
      <c r="D70" s="182"/>
      <c r="E70" s="135"/>
      <c r="F70" s="135"/>
      <c r="G70" s="135"/>
      <c r="H70" s="135"/>
      <c r="I70" s="135"/>
      <c r="J70" s="135"/>
      <c r="K70" s="135"/>
      <c r="L70" s="189"/>
      <c r="M70" s="135"/>
      <c r="N70" s="135"/>
      <c r="O70" s="135"/>
      <c r="P70" s="135"/>
      <c r="Q70" s="135"/>
      <c r="R70" s="135"/>
      <c r="S70" s="135"/>
    </row>
    <row r="71" customFormat="false" ht="15.75" hidden="false" customHeight="true" outlineLevel="0" collapsed="false">
      <c r="A71" s="135"/>
      <c r="B71" s="135"/>
      <c r="C71" s="135"/>
      <c r="D71" s="182"/>
      <c r="E71" s="135"/>
      <c r="F71" s="135"/>
      <c r="G71" s="135"/>
      <c r="H71" s="135"/>
      <c r="I71" s="135"/>
      <c r="J71" s="135"/>
      <c r="K71" s="135"/>
      <c r="L71" s="189"/>
      <c r="M71" s="135"/>
      <c r="N71" s="135"/>
      <c r="O71" s="135"/>
      <c r="P71" s="135"/>
      <c r="Q71" s="135"/>
      <c r="R71" s="135"/>
      <c r="S71" s="135"/>
    </row>
    <row r="72" customFormat="false" ht="15.75" hidden="false" customHeight="true" outlineLevel="0" collapsed="false">
      <c r="A72" s="135"/>
      <c r="B72" s="135"/>
      <c r="C72" s="135"/>
      <c r="D72" s="182"/>
      <c r="E72" s="135"/>
      <c r="F72" s="135"/>
      <c r="G72" s="135"/>
      <c r="H72" s="135"/>
      <c r="I72" s="135"/>
      <c r="J72" s="135"/>
      <c r="K72" s="135"/>
      <c r="L72" s="189"/>
      <c r="M72" s="135"/>
      <c r="N72" s="135"/>
      <c r="O72" s="135"/>
      <c r="P72" s="135"/>
      <c r="Q72" s="135"/>
      <c r="R72" s="135"/>
      <c r="S72" s="135"/>
    </row>
    <row r="73" customFormat="false" ht="15.75" hidden="false" customHeight="true" outlineLevel="0" collapsed="false">
      <c r="A73" s="135"/>
      <c r="B73" s="135"/>
      <c r="C73" s="135"/>
      <c r="D73" s="182"/>
      <c r="E73" s="135"/>
      <c r="F73" s="135"/>
      <c r="G73" s="135"/>
      <c r="H73" s="135"/>
      <c r="I73" s="135"/>
      <c r="J73" s="135"/>
      <c r="K73" s="135"/>
      <c r="L73" s="189"/>
      <c r="M73" s="135"/>
      <c r="N73" s="135"/>
      <c r="O73" s="135"/>
      <c r="P73" s="135"/>
      <c r="Q73" s="135"/>
      <c r="R73" s="135"/>
      <c r="S73" s="135"/>
    </row>
    <row r="74" customFormat="false" ht="15.75" hidden="false" customHeight="true" outlineLevel="0" collapsed="false">
      <c r="A74" s="135"/>
      <c r="B74" s="135"/>
      <c r="C74" s="135"/>
      <c r="D74" s="182"/>
      <c r="E74" s="135"/>
      <c r="F74" s="135"/>
      <c r="G74" s="135"/>
      <c r="H74" s="135"/>
      <c r="I74" s="135"/>
      <c r="J74" s="135"/>
      <c r="K74" s="135"/>
      <c r="L74" s="189"/>
      <c r="M74" s="135"/>
      <c r="N74" s="135"/>
      <c r="O74" s="135"/>
      <c r="P74" s="135"/>
      <c r="Q74" s="135"/>
      <c r="R74" s="135"/>
      <c r="S74" s="135"/>
    </row>
    <row r="75" customFormat="false" ht="15.75" hidden="false" customHeight="true" outlineLevel="0" collapsed="false">
      <c r="A75" s="135"/>
      <c r="B75" s="135"/>
      <c r="C75" s="135"/>
      <c r="D75" s="182"/>
      <c r="E75" s="135"/>
      <c r="F75" s="135"/>
      <c r="G75" s="135"/>
      <c r="H75" s="135"/>
      <c r="I75" s="135"/>
      <c r="J75" s="135"/>
      <c r="K75" s="135"/>
      <c r="L75" s="189"/>
      <c r="M75" s="135"/>
      <c r="N75" s="135"/>
      <c r="O75" s="135"/>
      <c r="P75" s="135"/>
      <c r="Q75" s="135"/>
      <c r="R75" s="135"/>
      <c r="S75" s="135"/>
    </row>
    <row r="76" customFormat="false" ht="15.75" hidden="false" customHeight="true" outlineLevel="0" collapsed="false">
      <c r="A76" s="135"/>
      <c r="B76" s="135"/>
      <c r="C76" s="135"/>
      <c r="D76" s="182"/>
      <c r="E76" s="135"/>
      <c r="F76" s="135"/>
      <c r="G76" s="135"/>
      <c r="H76" s="135"/>
      <c r="I76" s="135"/>
      <c r="J76" s="135"/>
      <c r="K76" s="135"/>
      <c r="L76" s="189"/>
      <c r="M76" s="135"/>
      <c r="N76" s="135"/>
      <c r="O76" s="135"/>
      <c r="P76" s="135"/>
      <c r="Q76" s="135"/>
      <c r="R76" s="135"/>
      <c r="S76" s="135"/>
    </row>
    <row r="77" customFormat="false" ht="15.75" hidden="false" customHeight="true" outlineLevel="0" collapsed="false">
      <c r="A77" s="135"/>
      <c r="B77" s="135"/>
      <c r="C77" s="135"/>
      <c r="D77" s="182"/>
      <c r="E77" s="135"/>
      <c r="F77" s="135"/>
      <c r="G77" s="135"/>
      <c r="H77" s="135"/>
      <c r="I77" s="135"/>
      <c r="J77" s="135"/>
      <c r="K77" s="135"/>
      <c r="L77" s="189"/>
      <c r="M77" s="135"/>
      <c r="N77" s="135"/>
      <c r="O77" s="135"/>
      <c r="P77" s="135"/>
      <c r="Q77" s="135"/>
      <c r="R77" s="135"/>
      <c r="S77" s="135"/>
    </row>
    <row r="78" customFormat="false" ht="15.75" hidden="false" customHeight="true" outlineLevel="0" collapsed="false">
      <c r="A78" s="135"/>
      <c r="B78" s="135"/>
      <c r="C78" s="135"/>
      <c r="D78" s="182"/>
      <c r="E78" s="135"/>
      <c r="F78" s="135"/>
      <c r="G78" s="135"/>
      <c r="H78" s="135"/>
      <c r="I78" s="135"/>
      <c r="J78" s="135"/>
      <c r="K78" s="135"/>
      <c r="L78" s="189"/>
      <c r="M78" s="135"/>
      <c r="N78" s="135"/>
      <c r="O78" s="135"/>
      <c r="P78" s="135"/>
      <c r="Q78" s="135"/>
      <c r="R78" s="135"/>
      <c r="S78" s="135"/>
    </row>
    <row r="79" customFormat="false" ht="15.75" hidden="false" customHeight="true" outlineLevel="0" collapsed="false">
      <c r="A79" s="135"/>
      <c r="B79" s="135"/>
      <c r="C79" s="135"/>
      <c r="D79" s="182"/>
      <c r="E79" s="135"/>
      <c r="F79" s="135"/>
      <c r="G79" s="135"/>
      <c r="H79" s="135"/>
      <c r="I79" s="135"/>
      <c r="J79" s="135"/>
      <c r="K79" s="135"/>
      <c r="L79" s="189"/>
      <c r="M79" s="135"/>
      <c r="N79" s="135"/>
      <c r="O79" s="135"/>
      <c r="P79" s="135"/>
      <c r="Q79" s="135"/>
      <c r="R79" s="135"/>
      <c r="S79" s="135"/>
    </row>
    <row r="80" customFormat="false" ht="15.75" hidden="false" customHeight="true" outlineLevel="0" collapsed="false">
      <c r="A80" s="135"/>
      <c r="B80" s="135"/>
      <c r="C80" s="135"/>
      <c r="D80" s="182"/>
      <c r="E80" s="135"/>
      <c r="F80" s="135"/>
      <c r="G80" s="135"/>
      <c r="H80" s="135"/>
      <c r="I80" s="135"/>
      <c r="J80" s="135"/>
      <c r="K80" s="135"/>
      <c r="L80" s="189"/>
      <c r="M80" s="135"/>
      <c r="N80" s="135"/>
      <c r="O80" s="135"/>
      <c r="P80" s="135"/>
      <c r="Q80" s="135"/>
      <c r="R80" s="135"/>
      <c r="S80" s="135"/>
    </row>
    <row r="81" customFormat="false" ht="15.75" hidden="false" customHeight="true" outlineLevel="0" collapsed="false">
      <c r="A81" s="135"/>
      <c r="B81" s="135"/>
      <c r="C81" s="135"/>
      <c r="D81" s="182"/>
      <c r="E81" s="135"/>
      <c r="F81" s="135"/>
      <c r="G81" s="135"/>
      <c r="H81" s="135"/>
      <c r="I81" s="135"/>
      <c r="J81" s="135"/>
      <c r="K81" s="135"/>
      <c r="L81" s="189"/>
      <c r="M81" s="135"/>
      <c r="N81" s="135"/>
      <c r="O81" s="135"/>
      <c r="P81" s="135"/>
      <c r="Q81" s="135"/>
      <c r="R81" s="135"/>
      <c r="S81" s="135"/>
    </row>
    <row r="82" customFormat="false" ht="15.75" hidden="false" customHeight="true" outlineLevel="0" collapsed="false">
      <c r="A82" s="135"/>
      <c r="B82" s="135"/>
      <c r="C82" s="135"/>
      <c r="D82" s="182"/>
      <c r="E82" s="135"/>
      <c r="F82" s="135"/>
      <c r="G82" s="135"/>
      <c r="H82" s="135"/>
      <c r="I82" s="135"/>
      <c r="J82" s="135"/>
      <c r="K82" s="135"/>
      <c r="L82" s="189"/>
      <c r="M82" s="135"/>
      <c r="N82" s="135"/>
      <c r="O82" s="135"/>
      <c r="P82" s="135"/>
      <c r="Q82" s="135"/>
      <c r="R82" s="135"/>
      <c r="S82" s="135"/>
    </row>
    <row r="83" customFormat="false" ht="15.75" hidden="false" customHeight="true" outlineLevel="0" collapsed="false">
      <c r="A83" s="135"/>
      <c r="B83" s="135"/>
      <c r="C83" s="135"/>
      <c r="D83" s="182"/>
      <c r="E83" s="135"/>
      <c r="F83" s="135"/>
      <c r="G83" s="135"/>
      <c r="H83" s="135"/>
      <c r="I83" s="135"/>
      <c r="J83" s="135"/>
      <c r="K83" s="135"/>
      <c r="L83" s="189"/>
      <c r="M83" s="135"/>
      <c r="N83" s="135"/>
      <c r="O83" s="135"/>
      <c r="P83" s="135"/>
      <c r="Q83" s="135"/>
      <c r="R83" s="135"/>
      <c r="S83" s="135"/>
    </row>
    <row r="84" customFormat="false" ht="15.75" hidden="false" customHeight="true" outlineLevel="0" collapsed="false">
      <c r="A84" s="135"/>
      <c r="B84" s="135"/>
      <c r="C84" s="135"/>
      <c r="D84" s="182"/>
      <c r="E84" s="135"/>
      <c r="F84" s="135"/>
      <c r="G84" s="135"/>
      <c r="H84" s="135"/>
      <c r="I84" s="135"/>
      <c r="J84" s="135"/>
      <c r="K84" s="135"/>
      <c r="L84" s="189"/>
      <c r="M84" s="135"/>
      <c r="N84" s="135"/>
      <c r="O84" s="135"/>
      <c r="P84" s="135"/>
      <c r="Q84" s="135"/>
      <c r="R84" s="135"/>
      <c r="S84" s="135"/>
    </row>
    <row r="85" customFormat="false" ht="15.75" hidden="false" customHeight="true" outlineLevel="0" collapsed="false">
      <c r="A85" s="135"/>
      <c r="B85" s="135"/>
      <c r="C85" s="135"/>
      <c r="D85" s="182"/>
      <c r="E85" s="135"/>
      <c r="F85" s="135"/>
      <c r="G85" s="135"/>
      <c r="H85" s="135"/>
      <c r="I85" s="135"/>
      <c r="J85" s="135"/>
      <c r="K85" s="135"/>
      <c r="L85" s="189"/>
      <c r="M85" s="135"/>
      <c r="N85" s="135"/>
      <c r="O85" s="135"/>
      <c r="P85" s="135"/>
      <c r="Q85" s="135"/>
      <c r="R85" s="135"/>
      <c r="S85" s="135"/>
    </row>
    <row r="86" customFormat="false" ht="15.75" hidden="false" customHeight="true" outlineLevel="0" collapsed="false">
      <c r="A86" s="135"/>
      <c r="B86" s="135"/>
      <c r="C86" s="135"/>
      <c r="D86" s="182"/>
      <c r="E86" s="135"/>
      <c r="F86" s="135"/>
      <c r="G86" s="135"/>
      <c r="H86" s="135"/>
      <c r="I86" s="135"/>
      <c r="J86" s="135"/>
      <c r="K86" s="135"/>
      <c r="L86" s="189"/>
      <c r="M86" s="135"/>
      <c r="N86" s="135"/>
      <c r="O86" s="135"/>
      <c r="P86" s="135"/>
      <c r="Q86" s="135"/>
      <c r="R86" s="135"/>
      <c r="S86" s="135"/>
    </row>
    <row r="87" customFormat="false" ht="15.75" hidden="false" customHeight="true" outlineLevel="0" collapsed="false">
      <c r="A87" s="135"/>
      <c r="B87" s="135"/>
      <c r="C87" s="135"/>
      <c r="D87" s="182"/>
      <c r="E87" s="135"/>
      <c r="F87" s="135"/>
      <c r="G87" s="135"/>
      <c r="H87" s="135"/>
      <c r="I87" s="135"/>
      <c r="J87" s="135"/>
      <c r="K87" s="135"/>
      <c r="L87" s="189"/>
      <c r="M87" s="135"/>
      <c r="N87" s="135"/>
      <c r="O87" s="135"/>
      <c r="P87" s="135"/>
      <c r="Q87" s="135"/>
      <c r="R87" s="135"/>
      <c r="S87" s="135"/>
    </row>
    <row r="88" customFormat="false" ht="15.75" hidden="false" customHeight="true" outlineLevel="0" collapsed="false">
      <c r="A88" s="135"/>
      <c r="B88" s="135"/>
      <c r="C88" s="135"/>
      <c r="D88" s="182"/>
      <c r="E88" s="135"/>
      <c r="F88" s="135"/>
      <c r="G88" s="135"/>
      <c r="H88" s="135"/>
      <c r="I88" s="135"/>
      <c r="J88" s="135"/>
      <c r="K88" s="135"/>
      <c r="L88" s="189"/>
      <c r="M88" s="135"/>
      <c r="N88" s="135"/>
      <c r="O88" s="135"/>
      <c r="P88" s="135"/>
      <c r="Q88" s="135"/>
      <c r="R88" s="135"/>
      <c r="S88" s="135"/>
    </row>
    <row r="89" customFormat="false" ht="15.75" hidden="false" customHeight="true" outlineLevel="0" collapsed="false">
      <c r="A89" s="135"/>
      <c r="B89" s="135"/>
      <c r="C89" s="135"/>
      <c r="D89" s="182"/>
      <c r="E89" s="135"/>
      <c r="F89" s="135"/>
      <c r="G89" s="135"/>
      <c r="H89" s="135"/>
      <c r="I89" s="135"/>
      <c r="J89" s="135"/>
      <c r="K89" s="135"/>
      <c r="L89" s="189"/>
      <c r="M89" s="135"/>
      <c r="N89" s="135"/>
      <c r="O89" s="135"/>
      <c r="P89" s="135"/>
      <c r="Q89" s="135"/>
      <c r="R89" s="135"/>
      <c r="S89" s="135"/>
    </row>
    <row r="90" customFormat="false" ht="15.75" hidden="false" customHeight="true" outlineLevel="0" collapsed="false">
      <c r="A90" s="135"/>
      <c r="B90" s="135"/>
      <c r="C90" s="135"/>
      <c r="D90" s="182"/>
      <c r="E90" s="135"/>
      <c r="F90" s="135"/>
      <c r="G90" s="135"/>
      <c r="H90" s="135"/>
      <c r="I90" s="135"/>
      <c r="J90" s="135"/>
      <c r="K90" s="135"/>
      <c r="L90" s="189"/>
      <c r="M90" s="135"/>
      <c r="N90" s="135"/>
      <c r="O90" s="135"/>
      <c r="P90" s="135"/>
      <c r="Q90" s="135"/>
      <c r="R90" s="135"/>
      <c r="S90" s="135"/>
    </row>
    <row r="91" customFormat="false" ht="15.75" hidden="false" customHeight="true" outlineLevel="0" collapsed="false">
      <c r="A91" s="135"/>
      <c r="B91" s="135"/>
      <c r="C91" s="135"/>
      <c r="D91" s="182"/>
      <c r="E91" s="135"/>
      <c r="F91" s="135"/>
      <c r="G91" s="135"/>
      <c r="H91" s="135"/>
      <c r="I91" s="135"/>
      <c r="J91" s="135"/>
      <c r="K91" s="135"/>
      <c r="L91" s="189"/>
      <c r="M91" s="135"/>
      <c r="N91" s="135"/>
      <c r="O91" s="135"/>
      <c r="P91" s="135"/>
      <c r="Q91" s="135"/>
      <c r="R91" s="135"/>
      <c r="S91" s="135"/>
    </row>
    <row r="92" customFormat="false" ht="15.75" hidden="false" customHeight="true" outlineLevel="0" collapsed="false">
      <c r="A92" s="135"/>
      <c r="B92" s="135"/>
      <c r="C92" s="135"/>
      <c r="D92" s="182"/>
      <c r="E92" s="135"/>
      <c r="F92" s="135"/>
      <c r="G92" s="135"/>
      <c r="H92" s="135"/>
      <c r="I92" s="135"/>
      <c r="J92" s="135"/>
      <c r="K92" s="135"/>
      <c r="L92" s="189"/>
      <c r="M92" s="135"/>
      <c r="N92" s="135"/>
      <c r="O92" s="135"/>
      <c r="P92" s="135"/>
      <c r="Q92" s="135"/>
      <c r="R92" s="135"/>
      <c r="S92" s="135"/>
    </row>
    <row r="93" customFormat="false" ht="15.75" hidden="false" customHeight="true" outlineLevel="0" collapsed="false">
      <c r="A93" s="135"/>
      <c r="B93" s="135"/>
      <c r="C93" s="135"/>
      <c r="D93" s="182"/>
      <c r="E93" s="135"/>
      <c r="F93" s="135"/>
      <c r="G93" s="135"/>
      <c r="H93" s="135"/>
      <c r="I93" s="135"/>
      <c r="J93" s="135"/>
      <c r="K93" s="135"/>
      <c r="L93" s="189"/>
      <c r="M93" s="135"/>
      <c r="N93" s="135"/>
      <c r="O93" s="135"/>
      <c r="P93" s="135"/>
      <c r="Q93" s="135"/>
      <c r="R93" s="135"/>
      <c r="S93" s="135"/>
    </row>
    <row r="94" customFormat="false" ht="15.75" hidden="false" customHeight="true" outlineLevel="0" collapsed="false">
      <c r="A94" s="135"/>
      <c r="B94" s="135"/>
      <c r="C94" s="135"/>
      <c r="D94" s="182"/>
      <c r="E94" s="135"/>
      <c r="F94" s="135"/>
      <c r="G94" s="135"/>
      <c r="H94" s="135"/>
      <c r="I94" s="135"/>
      <c r="J94" s="135"/>
      <c r="K94" s="135"/>
      <c r="L94" s="189"/>
      <c r="M94" s="135"/>
      <c r="N94" s="135"/>
      <c r="O94" s="135"/>
      <c r="P94" s="135"/>
      <c r="Q94" s="135"/>
      <c r="R94" s="135"/>
      <c r="S94" s="135"/>
    </row>
    <row r="95" customFormat="false" ht="15.75" hidden="false" customHeight="true" outlineLevel="0" collapsed="false">
      <c r="A95" s="135"/>
      <c r="B95" s="135"/>
      <c r="C95" s="135"/>
      <c r="D95" s="182"/>
      <c r="E95" s="135"/>
      <c r="F95" s="135"/>
      <c r="G95" s="135"/>
      <c r="H95" s="135"/>
      <c r="I95" s="135"/>
      <c r="J95" s="135"/>
      <c r="K95" s="135"/>
      <c r="L95" s="189"/>
      <c r="M95" s="135"/>
      <c r="N95" s="135"/>
      <c r="O95" s="135"/>
      <c r="P95" s="135"/>
      <c r="Q95" s="135"/>
      <c r="R95" s="135"/>
      <c r="S95" s="135"/>
    </row>
    <row r="96" customFormat="false" ht="15.75" hidden="false" customHeight="true" outlineLevel="0" collapsed="false">
      <c r="A96" s="135"/>
      <c r="B96" s="135"/>
      <c r="C96" s="135"/>
      <c r="D96" s="182"/>
      <c r="E96" s="135"/>
      <c r="F96" s="135"/>
      <c r="G96" s="135"/>
      <c r="H96" s="135"/>
      <c r="I96" s="135"/>
      <c r="J96" s="135"/>
      <c r="K96" s="135"/>
      <c r="L96" s="189"/>
      <c r="M96" s="135"/>
      <c r="N96" s="135"/>
      <c r="O96" s="135"/>
      <c r="P96" s="135"/>
      <c r="Q96" s="135"/>
      <c r="R96" s="135"/>
      <c r="S96" s="135"/>
    </row>
    <row r="97" customFormat="false" ht="15.75" hidden="false" customHeight="true" outlineLevel="0" collapsed="false">
      <c r="A97" s="135"/>
      <c r="B97" s="135"/>
      <c r="C97" s="135"/>
      <c r="D97" s="182"/>
      <c r="E97" s="135"/>
      <c r="F97" s="135"/>
      <c r="G97" s="135"/>
      <c r="H97" s="135"/>
      <c r="I97" s="135"/>
      <c r="J97" s="135"/>
      <c r="K97" s="135"/>
      <c r="L97" s="189"/>
      <c r="M97" s="135"/>
      <c r="N97" s="135"/>
      <c r="O97" s="135"/>
      <c r="P97" s="135"/>
      <c r="Q97" s="135"/>
      <c r="R97" s="135"/>
      <c r="S97" s="135"/>
    </row>
    <row r="98" customFormat="false" ht="15.75" hidden="false" customHeight="true" outlineLevel="0" collapsed="false">
      <c r="A98" s="135"/>
      <c r="B98" s="135"/>
      <c r="C98" s="135"/>
      <c r="D98" s="182"/>
      <c r="E98" s="135"/>
      <c r="F98" s="135"/>
      <c r="G98" s="135"/>
      <c r="H98" s="135"/>
      <c r="I98" s="135"/>
      <c r="J98" s="135"/>
      <c r="K98" s="135"/>
      <c r="L98" s="189"/>
      <c r="M98" s="135"/>
      <c r="N98" s="135"/>
      <c r="O98" s="135"/>
      <c r="P98" s="135"/>
      <c r="Q98" s="135"/>
      <c r="R98" s="135"/>
      <c r="S98" s="135"/>
    </row>
    <row r="99" customFormat="false" ht="15.75" hidden="false" customHeight="true" outlineLevel="0" collapsed="false">
      <c r="A99" s="135"/>
      <c r="B99" s="135"/>
      <c r="C99" s="135"/>
      <c r="D99" s="182"/>
      <c r="E99" s="135"/>
      <c r="F99" s="135"/>
      <c r="G99" s="135"/>
      <c r="H99" s="135"/>
      <c r="I99" s="135"/>
      <c r="J99" s="135"/>
      <c r="K99" s="135"/>
      <c r="L99" s="189"/>
      <c r="M99" s="135"/>
      <c r="N99" s="135"/>
      <c r="O99" s="135"/>
      <c r="P99" s="135"/>
      <c r="Q99" s="135"/>
      <c r="R99" s="135"/>
      <c r="S99" s="135"/>
    </row>
    <row r="100" customFormat="false" ht="15.75" hidden="false" customHeight="true" outlineLevel="0" collapsed="false">
      <c r="A100" s="135"/>
      <c r="B100" s="135"/>
      <c r="C100" s="135"/>
      <c r="D100" s="182"/>
      <c r="E100" s="135"/>
      <c r="F100" s="135"/>
      <c r="G100" s="135"/>
      <c r="H100" s="135"/>
      <c r="I100" s="135"/>
      <c r="J100" s="135"/>
      <c r="K100" s="135"/>
      <c r="L100" s="189"/>
      <c r="M100" s="135"/>
      <c r="N100" s="135"/>
      <c r="O100" s="135"/>
      <c r="P100" s="135"/>
      <c r="Q100" s="135"/>
      <c r="R100" s="135"/>
      <c r="S100" s="135"/>
    </row>
    <row r="101" customFormat="false" ht="15.75" hidden="false" customHeight="true" outlineLevel="0" collapsed="false">
      <c r="A101" s="135"/>
      <c r="B101" s="135"/>
      <c r="C101" s="135"/>
      <c r="D101" s="182"/>
      <c r="E101" s="135"/>
      <c r="F101" s="135"/>
      <c r="G101" s="135"/>
      <c r="H101" s="135"/>
      <c r="I101" s="135"/>
      <c r="J101" s="135"/>
      <c r="K101" s="135"/>
      <c r="L101" s="189"/>
      <c r="M101" s="135"/>
      <c r="N101" s="135"/>
      <c r="O101" s="135"/>
      <c r="P101" s="135"/>
      <c r="Q101" s="135"/>
      <c r="R101" s="135"/>
      <c r="S101" s="135"/>
    </row>
    <row r="102" customFormat="false" ht="15.75" hidden="false" customHeight="true" outlineLevel="0" collapsed="false">
      <c r="A102" s="135"/>
      <c r="B102" s="135"/>
      <c r="C102" s="135"/>
      <c r="D102" s="182"/>
      <c r="E102" s="135"/>
      <c r="F102" s="135"/>
      <c r="G102" s="135"/>
      <c r="H102" s="135"/>
      <c r="I102" s="135"/>
      <c r="J102" s="135"/>
      <c r="K102" s="135"/>
      <c r="L102" s="189"/>
      <c r="M102" s="135"/>
      <c r="N102" s="135"/>
      <c r="O102" s="135"/>
      <c r="P102" s="135"/>
      <c r="Q102" s="135"/>
      <c r="R102" s="135"/>
      <c r="S102" s="135"/>
    </row>
    <row r="103" customFormat="false" ht="15.75" hidden="false" customHeight="true" outlineLevel="0" collapsed="false">
      <c r="A103" s="135"/>
      <c r="B103" s="135"/>
      <c r="C103" s="135"/>
      <c r="D103" s="182"/>
      <c r="E103" s="135"/>
      <c r="F103" s="135"/>
      <c r="G103" s="135"/>
      <c r="H103" s="135"/>
      <c r="I103" s="135"/>
      <c r="J103" s="135"/>
      <c r="K103" s="135"/>
      <c r="L103" s="189"/>
      <c r="M103" s="135"/>
      <c r="N103" s="135"/>
      <c r="O103" s="135"/>
      <c r="P103" s="135"/>
      <c r="Q103" s="135"/>
      <c r="R103" s="135"/>
      <c r="S103" s="135"/>
    </row>
    <row r="104" customFormat="false" ht="15.75" hidden="false" customHeight="true" outlineLevel="0" collapsed="false">
      <c r="A104" s="135"/>
      <c r="B104" s="135"/>
      <c r="C104" s="135"/>
      <c r="D104" s="182"/>
      <c r="E104" s="135"/>
      <c r="F104" s="135"/>
      <c r="G104" s="135"/>
      <c r="H104" s="135"/>
      <c r="I104" s="135"/>
      <c r="J104" s="135"/>
      <c r="K104" s="135"/>
      <c r="L104" s="189"/>
      <c r="M104" s="135"/>
      <c r="N104" s="135"/>
      <c r="O104" s="135"/>
      <c r="P104" s="135"/>
      <c r="Q104" s="135"/>
      <c r="R104" s="135"/>
      <c r="S104" s="135"/>
    </row>
    <row r="105" customFormat="false" ht="15.75" hidden="false" customHeight="true" outlineLevel="0" collapsed="false">
      <c r="A105" s="135"/>
      <c r="B105" s="135"/>
      <c r="C105" s="135"/>
      <c r="D105" s="182"/>
      <c r="E105" s="135"/>
      <c r="F105" s="135"/>
      <c r="G105" s="135"/>
      <c r="H105" s="135"/>
      <c r="I105" s="135"/>
      <c r="J105" s="135"/>
      <c r="K105" s="135"/>
      <c r="L105" s="189"/>
      <c r="M105" s="135"/>
      <c r="N105" s="135"/>
      <c r="O105" s="135"/>
      <c r="P105" s="135"/>
      <c r="Q105" s="135"/>
      <c r="R105" s="135"/>
      <c r="S105" s="135"/>
    </row>
    <row r="106" customFormat="false" ht="15.75" hidden="false" customHeight="true" outlineLevel="0" collapsed="false">
      <c r="A106" s="135"/>
      <c r="B106" s="135"/>
      <c r="C106" s="135"/>
      <c r="D106" s="182"/>
      <c r="E106" s="135"/>
      <c r="F106" s="135"/>
      <c r="G106" s="135"/>
      <c r="H106" s="135"/>
      <c r="I106" s="135"/>
      <c r="J106" s="135"/>
      <c r="K106" s="135"/>
      <c r="L106" s="189"/>
      <c r="M106" s="135"/>
      <c r="N106" s="135"/>
      <c r="O106" s="135"/>
      <c r="P106" s="135"/>
      <c r="Q106" s="135"/>
      <c r="R106" s="135"/>
      <c r="S106" s="135"/>
    </row>
    <row r="107" customFormat="false" ht="15.75" hidden="false" customHeight="true" outlineLevel="0" collapsed="false">
      <c r="A107" s="135"/>
      <c r="B107" s="135"/>
      <c r="C107" s="135"/>
      <c r="D107" s="182"/>
      <c r="E107" s="135"/>
      <c r="F107" s="135"/>
      <c r="G107" s="135"/>
      <c r="H107" s="135"/>
      <c r="I107" s="135"/>
      <c r="J107" s="135"/>
      <c r="K107" s="135"/>
      <c r="L107" s="189"/>
      <c r="M107" s="135"/>
      <c r="N107" s="135"/>
      <c r="O107" s="135"/>
      <c r="P107" s="135"/>
      <c r="Q107" s="135"/>
      <c r="R107" s="135"/>
      <c r="S107" s="135"/>
    </row>
    <row r="108" customFormat="false" ht="15.75" hidden="false" customHeight="true" outlineLevel="0" collapsed="false">
      <c r="A108" s="135"/>
      <c r="B108" s="135"/>
      <c r="C108" s="135"/>
      <c r="D108" s="182"/>
      <c r="E108" s="135"/>
      <c r="F108" s="135"/>
      <c r="G108" s="135"/>
      <c r="H108" s="135"/>
      <c r="I108" s="135"/>
      <c r="J108" s="135"/>
      <c r="K108" s="135"/>
      <c r="L108" s="189"/>
      <c r="M108" s="135"/>
      <c r="N108" s="135"/>
      <c r="O108" s="135"/>
      <c r="P108" s="135"/>
      <c r="Q108" s="135"/>
      <c r="R108" s="135"/>
      <c r="S108" s="135"/>
    </row>
    <row r="109" customFormat="false" ht="15.75" hidden="false" customHeight="true" outlineLevel="0" collapsed="false">
      <c r="A109" s="135"/>
      <c r="B109" s="135"/>
      <c r="C109" s="135"/>
      <c r="D109" s="182"/>
      <c r="E109" s="135"/>
      <c r="F109" s="135"/>
      <c r="G109" s="135"/>
      <c r="H109" s="135"/>
      <c r="I109" s="135"/>
      <c r="J109" s="135"/>
      <c r="K109" s="135"/>
      <c r="L109" s="189"/>
      <c r="M109" s="135"/>
      <c r="N109" s="135"/>
      <c r="O109" s="135"/>
      <c r="P109" s="135"/>
      <c r="Q109" s="135"/>
      <c r="R109" s="135"/>
      <c r="S109" s="135"/>
    </row>
    <row r="110" customFormat="false" ht="15.75" hidden="false" customHeight="true" outlineLevel="0" collapsed="false">
      <c r="A110" s="135"/>
      <c r="B110" s="135"/>
      <c r="C110" s="135"/>
      <c r="D110" s="182"/>
      <c r="E110" s="135"/>
      <c r="F110" s="135"/>
      <c r="G110" s="135"/>
      <c r="H110" s="135"/>
      <c r="I110" s="135"/>
      <c r="J110" s="135"/>
      <c r="K110" s="135"/>
      <c r="L110" s="189"/>
      <c r="M110" s="135"/>
      <c r="N110" s="135"/>
      <c r="O110" s="135"/>
      <c r="P110" s="135"/>
      <c r="Q110" s="135"/>
      <c r="R110" s="135"/>
      <c r="S110" s="135"/>
    </row>
    <row r="111" customFormat="false" ht="15.75" hidden="false" customHeight="true" outlineLevel="0" collapsed="false">
      <c r="A111" s="135"/>
      <c r="B111" s="135"/>
      <c r="C111" s="135"/>
      <c r="D111" s="182"/>
      <c r="E111" s="135"/>
      <c r="F111" s="135"/>
      <c r="G111" s="135"/>
      <c r="H111" s="135"/>
      <c r="I111" s="135"/>
      <c r="J111" s="135"/>
      <c r="K111" s="135"/>
      <c r="L111" s="189"/>
      <c r="M111" s="135"/>
      <c r="N111" s="135"/>
      <c r="O111" s="135"/>
      <c r="P111" s="135"/>
      <c r="Q111" s="135"/>
      <c r="R111" s="135"/>
      <c r="S111" s="135"/>
    </row>
    <row r="112" customFormat="false" ht="15.75" hidden="false" customHeight="true" outlineLevel="0" collapsed="false">
      <c r="A112" s="135"/>
      <c r="B112" s="135"/>
      <c r="C112" s="135"/>
      <c r="D112" s="182"/>
      <c r="E112" s="135"/>
      <c r="F112" s="135"/>
      <c r="G112" s="135"/>
      <c r="H112" s="135"/>
      <c r="I112" s="135"/>
      <c r="J112" s="135"/>
      <c r="K112" s="135"/>
      <c r="L112" s="189"/>
      <c r="M112" s="135"/>
      <c r="N112" s="135"/>
      <c r="O112" s="135"/>
      <c r="P112" s="135"/>
      <c r="Q112" s="135"/>
      <c r="R112" s="135"/>
      <c r="S112" s="135"/>
    </row>
    <row r="113" customFormat="false" ht="15.75" hidden="false" customHeight="true" outlineLevel="0" collapsed="false">
      <c r="A113" s="135"/>
      <c r="B113" s="135"/>
      <c r="C113" s="135"/>
      <c r="D113" s="182"/>
      <c r="E113" s="135"/>
      <c r="F113" s="135"/>
      <c r="G113" s="135"/>
      <c r="H113" s="135"/>
      <c r="I113" s="135"/>
      <c r="J113" s="135"/>
      <c r="K113" s="135"/>
      <c r="L113" s="189"/>
      <c r="M113" s="135"/>
      <c r="N113" s="135"/>
      <c r="O113" s="135"/>
      <c r="P113" s="135"/>
      <c r="Q113" s="135"/>
      <c r="R113" s="135"/>
      <c r="S113" s="135"/>
    </row>
    <row r="114" customFormat="false" ht="15.75" hidden="false" customHeight="true" outlineLevel="0" collapsed="false">
      <c r="A114" s="135"/>
      <c r="B114" s="135"/>
      <c r="C114" s="135"/>
      <c r="D114" s="182"/>
      <c r="E114" s="135"/>
      <c r="F114" s="135"/>
      <c r="G114" s="135"/>
      <c r="H114" s="135"/>
      <c r="I114" s="135"/>
      <c r="J114" s="135"/>
      <c r="K114" s="135"/>
      <c r="L114" s="189"/>
      <c r="M114" s="135"/>
      <c r="N114" s="135"/>
      <c r="O114" s="135"/>
      <c r="P114" s="135"/>
      <c r="Q114" s="135"/>
      <c r="R114" s="135"/>
      <c r="S114" s="135"/>
    </row>
    <row r="115" customFormat="false" ht="15.75" hidden="false" customHeight="true" outlineLevel="0" collapsed="false">
      <c r="A115" s="135"/>
      <c r="B115" s="135"/>
      <c r="C115" s="135"/>
      <c r="D115" s="182"/>
      <c r="E115" s="135"/>
      <c r="F115" s="135"/>
      <c r="G115" s="135"/>
      <c r="H115" s="135"/>
      <c r="I115" s="135"/>
      <c r="J115" s="135"/>
      <c r="K115" s="135"/>
      <c r="L115" s="189"/>
      <c r="M115" s="135"/>
      <c r="N115" s="135"/>
      <c r="O115" s="135"/>
      <c r="P115" s="135"/>
      <c r="Q115" s="135"/>
      <c r="R115" s="135"/>
      <c r="S115" s="135"/>
    </row>
    <row r="116" customFormat="false" ht="15.75" hidden="false" customHeight="true" outlineLevel="0" collapsed="false">
      <c r="A116" s="135"/>
      <c r="B116" s="135"/>
      <c r="C116" s="135"/>
      <c r="D116" s="182"/>
      <c r="E116" s="135"/>
      <c r="F116" s="135"/>
      <c r="G116" s="135"/>
      <c r="H116" s="135"/>
      <c r="I116" s="135"/>
      <c r="J116" s="135"/>
      <c r="K116" s="135"/>
      <c r="L116" s="189"/>
      <c r="M116" s="135"/>
      <c r="N116" s="135"/>
      <c r="O116" s="135"/>
      <c r="P116" s="135"/>
      <c r="Q116" s="135"/>
      <c r="R116" s="135"/>
      <c r="S116" s="135"/>
    </row>
    <row r="117" customFormat="false" ht="15.75" hidden="false" customHeight="true" outlineLevel="0" collapsed="false">
      <c r="A117" s="135"/>
      <c r="B117" s="135"/>
      <c r="C117" s="135"/>
      <c r="D117" s="182"/>
      <c r="E117" s="135"/>
      <c r="F117" s="135"/>
      <c r="G117" s="135"/>
      <c r="H117" s="135"/>
      <c r="I117" s="135"/>
      <c r="J117" s="135"/>
      <c r="K117" s="135"/>
      <c r="L117" s="189"/>
      <c r="M117" s="135"/>
      <c r="N117" s="135"/>
      <c r="O117" s="135"/>
      <c r="P117" s="135"/>
      <c r="Q117" s="135"/>
      <c r="R117" s="135"/>
      <c r="S117" s="135"/>
    </row>
    <row r="118" customFormat="false" ht="15.75" hidden="false" customHeight="true" outlineLevel="0" collapsed="false">
      <c r="A118" s="135"/>
      <c r="B118" s="135"/>
      <c r="C118" s="135"/>
      <c r="D118" s="182"/>
      <c r="E118" s="135"/>
      <c r="F118" s="135"/>
      <c r="G118" s="135"/>
      <c r="H118" s="135"/>
      <c r="I118" s="135"/>
      <c r="J118" s="135"/>
      <c r="K118" s="135"/>
      <c r="L118" s="189"/>
      <c r="M118" s="135"/>
      <c r="N118" s="135"/>
      <c r="O118" s="135"/>
      <c r="P118" s="135"/>
      <c r="Q118" s="135"/>
      <c r="R118" s="135"/>
      <c r="S118" s="135"/>
    </row>
    <row r="119" customFormat="false" ht="15.75" hidden="false" customHeight="true" outlineLevel="0" collapsed="false">
      <c r="A119" s="135"/>
      <c r="B119" s="135"/>
      <c r="C119" s="135"/>
      <c r="D119" s="182"/>
      <c r="E119" s="135"/>
      <c r="F119" s="135"/>
      <c r="G119" s="135"/>
      <c r="H119" s="135"/>
      <c r="I119" s="135"/>
      <c r="J119" s="135"/>
      <c r="K119" s="135"/>
      <c r="L119" s="189"/>
      <c r="M119" s="135"/>
      <c r="N119" s="135"/>
      <c r="O119" s="135"/>
      <c r="P119" s="135"/>
      <c r="Q119" s="135"/>
      <c r="R119" s="135"/>
      <c r="S119" s="135"/>
    </row>
    <row r="120" customFormat="false" ht="15.75" hidden="false" customHeight="true" outlineLevel="0" collapsed="false">
      <c r="A120" s="135"/>
      <c r="B120" s="135"/>
      <c r="C120" s="135"/>
      <c r="D120" s="182"/>
      <c r="E120" s="135"/>
      <c r="F120" s="135"/>
      <c r="G120" s="135"/>
      <c r="H120" s="135"/>
      <c r="I120" s="135"/>
      <c r="J120" s="135"/>
      <c r="K120" s="135"/>
      <c r="L120" s="189"/>
      <c r="M120" s="135"/>
      <c r="N120" s="135"/>
      <c r="O120" s="135"/>
      <c r="P120" s="135"/>
      <c r="Q120" s="135"/>
      <c r="R120" s="135"/>
      <c r="S120" s="135"/>
    </row>
    <row r="121" customFormat="false" ht="15.75" hidden="false" customHeight="true" outlineLevel="0" collapsed="false">
      <c r="A121" s="135"/>
      <c r="B121" s="135"/>
      <c r="C121" s="135"/>
      <c r="D121" s="182"/>
      <c r="E121" s="135"/>
      <c r="F121" s="135"/>
      <c r="G121" s="135"/>
      <c r="H121" s="135"/>
      <c r="I121" s="135"/>
      <c r="J121" s="135"/>
      <c r="K121" s="135"/>
      <c r="L121" s="189"/>
      <c r="M121" s="135"/>
      <c r="N121" s="135"/>
      <c r="O121" s="135"/>
      <c r="P121" s="135"/>
      <c r="Q121" s="135"/>
      <c r="R121" s="135"/>
      <c r="S121" s="135"/>
    </row>
    <row r="122" customFormat="false" ht="15.75" hidden="false" customHeight="true" outlineLevel="0" collapsed="false">
      <c r="A122" s="135"/>
      <c r="B122" s="135"/>
      <c r="C122" s="135"/>
      <c r="D122" s="182"/>
      <c r="E122" s="135"/>
      <c r="F122" s="135"/>
      <c r="G122" s="135"/>
      <c r="H122" s="135"/>
      <c r="I122" s="135"/>
      <c r="J122" s="135"/>
      <c r="K122" s="135"/>
      <c r="L122" s="189"/>
      <c r="M122" s="135"/>
      <c r="N122" s="135"/>
      <c r="O122" s="135"/>
      <c r="P122" s="135"/>
      <c r="Q122" s="135"/>
      <c r="R122" s="135"/>
      <c r="S122" s="135"/>
    </row>
    <row r="123" customFormat="false" ht="15.75" hidden="false" customHeight="true" outlineLevel="0" collapsed="false">
      <c r="A123" s="135"/>
      <c r="B123" s="135"/>
      <c r="C123" s="135"/>
      <c r="D123" s="182"/>
      <c r="E123" s="135"/>
      <c r="F123" s="135"/>
      <c r="G123" s="135"/>
      <c r="H123" s="135"/>
      <c r="I123" s="135"/>
      <c r="J123" s="135"/>
      <c r="K123" s="135"/>
      <c r="L123" s="189"/>
      <c r="M123" s="135"/>
      <c r="N123" s="135"/>
      <c r="O123" s="135"/>
      <c r="P123" s="135"/>
      <c r="Q123" s="135"/>
      <c r="R123" s="135"/>
      <c r="S123" s="135"/>
    </row>
    <row r="124" customFormat="false" ht="15.75" hidden="false" customHeight="true" outlineLevel="0" collapsed="false">
      <c r="A124" s="135"/>
      <c r="B124" s="135"/>
      <c r="C124" s="135"/>
      <c r="D124" s="182"/>
      <c r="E124" s="135"/>
      <c r="F124" s="135"/>
      <c r="G124" s="135"/>
      <c r="H124" s="135"/>
      <c r="I124" s="135"/>
      <c r="J124" s="135"/>
      <c r="K124" s="135"/>
      <c r="L124" s="189"/>
      <c r="M124" s="135"/>
      <c r="N124" s="135"/>
      <c r="O124" s="135"/>
      <c r="P124" s="135"/>
      <c r="Q124" s="135"/>
      <c r="R124" s="135"/>
      <c r="S124" s="135"/>
    </row>
    <row r="125" customFormat="false" ht="15.75" hidden="false" customHeight="true" outlineLevel="0" collapsed="false">
      <c r="A125" s="135"/>
      <c r="B125" s="135"/>
      <c r="C125" s="135"/>
      <c r="D125" s="182"/>
      <c r="E125" s="135"/>
      <c r="F125" s="135"/>
      <c r="G125" s="135"/>
      <c r="H125" s="135"/>
      <c r="I125" s="135"/>
      <c r="J125" s="135"/>
      <c r="K125" s="135"/>
      <c r="L125" s="189"/>
      <c r="M125" s="135"/>
      <c r="N125" s="135"/>
      <c r="O125" s="135"/>
      <c r="P125" s="135"/>
      <c r="Q125" s="135"/>
      <c r="R125" s="135"/>
      <c r="S125" s="135"/>
    </row>
    <row r="126" customFormat="false" ht="15.75" hidden="false" customHeight="true" outlineLevel="0" collapsed="false">
      <c r="A126" s="135"/>
      <c r="B126" s="135"/>
      <c r="C126" s="135"/>
      <c r="D126" s="182"/>
      <c r="E126" s="135"/>
      <c r="F126" s="135"/>
      <c r="G126" s="135"/>
      <c r="H126" s="135"/>
      <c r="I126" s="135"/>
      <c r="J126" s="135"/>
      <c r="K126" s="135"/>
      <c r="L126" s="189"/>
      <c r="M126" s="135"/>
      <c r="N126" s="135"/>
      <c r="O126" s="135"/>
      <c r="P126" s="135"/>
      <c r="Q126" s="135"/>
      <c r="R126" s="135"/>
      <c r="S126" s="135"/>
    </row>
    <row r="127" customFormat="false" ht="15.75" hidden="false" customHeight="true" outlineLevel="0" collapsed="false">
      <c r="A127" s="135"/>
      <c r="B127" s="135"/>
      <c r="C127" s="135"/>
      <c r="D127" s="182"/>
      <c r="E127" s="135"/>
      <c r="F127" s="135"/>
      <c r="G127" s="135"/>
      <c r="H127" s="135"/>
      <c r="I127" s="135"/>
      <c r="J127" s="135"/>
      <c r="K127" s="135"/>
      <c r="L127" s="189"/>
      <c r="M127" s="135"/>
      <c r="N127" s="135"/>
      <c r="O127" s="135"/>
      <c r="P127" s="135"/>
      <c r="Q127" s="135"/>
      <c r="R127" s="135"/>
      <c r="S127" s="135"/>
    </row>
    <row r="128" customFormat="false" ht="15.75" hidden="false" customHeight="true" outlineLevel="0" collapsed="false">
      <c r="A128" s="135"/>
      <c r="B128" s="135"/>
      <c r="C128" s="135"/>
      <c r="D128" s="182"/>
      <c r="E128" s="135"/>
      <c r="F128" s="135"/>
      <c r="G128" s="135"/>
      <c r="H128" s="135"/>
      <c r="I128" s="135"/>
      <c r="J128" s="135"/>
      <c r="K128" s="135"/>
      <c r="L128" s="189"/>
      <c r="M128" s="135"/>
      <c r="N128" s="135"/>
      <c r="O128" s="135"/>
      <c r="P128" s="135"/>
      <c r="Q128" s="135"/>
      <c r="R128" s="135"/>
      <c r="S128" s="135"/>
    </row>
    <row r="129" customFormat="false" ht="15.75" hidden="false" customHeight="true" outlineLevel="0" collapsed="false">
      <c r="A129" s="135"/>
      <c r="B129" s="135"/>
      <c r="C129" s="135"/>
      <c r="D129" s="182"/>
      <c r="E129" s="135"/>
      <c r="F129" s="135"/>
      <c r="G129" s="135"/>
      <c r="H129" s="135"/>
      <c r="I129" s="135"/>
      <c r="J129" s="135"/>
      <c r="K129" s="135"/>
      <c r="L129" s="189"/>
      <c r="M129" s="135"/>
      <c r="N129" s="135"/>
      <c r="O129" s="135"/>
      <c r="P129" s="135"/>
      <c r="Q129" s="135"/>
      <c r="R129" s="135"/>
      <c r="S129" s="135"/>
    </row>
    <row r="130" customFormat="false" ht="15.75" hidden="false" customHeight="true" outlineLevel="0" collapsed="false">
      <c r="A130" s="135"/>
      <c r="B130" s="135"/>
      <c r="C130" s="135"/>
      <c r="D130" s="182"/>
      <c r="E130" s="135"/>
      <c r="F130" s="135"/>
      <c r="G130" s="135"/>
      <c r="H130" s="135"/>
      <c r="I130" s="135"/>
      <c r="J130" s="135"/>
      <c r="K130" s="135"/>
      <c r="L130" s="189"/>
      <c r="M130" s="135"/>
      <c r="N130" s="135"/>
      <c r="O130" s="135"/>
      <c r="P130" s="135"/>
      <c r="Q130" s="135"/>
      <c r="R130" s="135"/>
      <c r="S130" s="135"/>
    </row>
    <row r="131" customFormat="false" ht="15.75" hidden="false" customHeight="true" outlineLevel="0" collapsed="false">
      <c r="A131" s="135"/>
      <c r="B131" s="135"/>
      <c r="C131" s="135"/>
      <c r="D131" s="182"/>
      <c r="E131" s="135"/>
      <c r="F131" s="135"/>
      <c r="G131" s="135"/>
      <c r="H131" s="135"/>
      <c r="I131" s="135"/>
      <c r="J131" s="135"/>
      <c r="K131" s="135"/>
      <c r="L131" s="189"/>
      <c r="M131" s="135"/>
      <c r="N131" s="135"/>
      <c r="O131" s="135"/>
      <c r="P131" s="135"/>
      <c r="Q131" s="135"/>
      <c r="R131" s="135"/>
      <c r="S131" s="135"/>
    </row>
    <row r="132" customFormat="false" ht="15.75" hidden="false" customHeight="true" outlineLevel="0" collapsed="false">
      <c r="A132" s="135"/>
      <c r="B132" s="135"/>
      <c r="C132" s="135"/>
      <c r="D132" s="182"/>
      <c r="E132" s="135"/>
      <c r="F132" s="135"/>
      <c r="G132" s="135"/>
      <c r="H132" s="135"/>
      <c r="I132" s="135"/>
      <c r="J132" s="135"/>
      <c r="K132" s="135"/>
      <c r="L132" s="189"/>
      <c r="M132" s="135"/>
      <c r="N132" s="135"/>
      <c r="O132" s="135"/>
      <c r="P132" s="135"/>
      <c r="Q132" s="135"/>
      <c r="R132" s="135"/>
      <c r="S132" s="135"/>
    </row>
    <row r="133" customFormat="false" ht="15.75" hidden="false" customHeight="true" outlineLevel="0" collapsed="false">
      <c r="A133" s="135"/>
      <c r="B133" s="135"/>
      <c r="C133" s="135"/>
      <c r="D133" s="182"/>
      <c r="E133" s="135"/>
      <c r="F133" s="135"/>
      <c r="G133" s="135"/>
      <c r="H133" s="135"/>
      <c r="I133" s="135"/>
      <c r="J133" s="135"/>
      <c r="K133" s="135"/>
      <c r="L133" s="189"/>
      <c r="M133" s="135"/>
      <c r="N133" s="135"/>
      <c r="O133" s="135"/>
      <c r="P133" s="135"/>
      <c r="Q133" s="135"/>
      <c r="R133" s="135"/>
      <c r="S133" s="135"/>
    </row>
    <row r="134" customFormat="false" ht="15.75" hidden="false" customHeight="true" outlineLevel="0" collapsed="false">
      <c r="A134" s="135"/>
      <c r="B134" s="135"/>
      <c r="C134" s="135"/>
      <c r="D134" s="182"/>
      <c r="E134" s="135"/>
      <c r="F134" s="135"/>
      <c r="G134" s="135"/>
      <c r="H134" s="135"/>
      <c r="I134" s="135"/>
      <c r="J134" s="135"/>
      <c r="K134" s="135"/>
      <c r="L134" s="189"/>
      <c r="M134" s="135"/>
      <c r="N134" s="135"/>
      <c r="O134" s="135"/>
      <c r="P134" s="135"/>
      <c r="Q134" s="135"/>
      <c r="R134" s="135"/>
      <c r="S134" s="135"/>
    </row>
    <row r="135" customFormat="false" ht="15.75" hidden="false" customHeight="true" outlineLevel="0" collapsed="false">
      <c r="A135" s="135"/>
      <c r="B135" s="135"/>
      <c r="C135" s="135"/>
      <c r="D135" s="182"/>
      <c r="E135" s="135"/>
      <c r="F135" s="135"/>
      <c r="G135" s="135"/>
      <c r="H135" s="135"/>
      <c r="I135" s="135"/>
      <c r="J135" s="135"/>
      <c r="K135" s="135"/>
      <c r="L135" s="189"/>
      <c r="M135" s="135"/>
      <c r="N135" s="135"/>
      <c r="O135" s="135"/>
      <c r="P135" s="135"/>
      <c r="Q135" s="135"/>
      <c r="R135" s="135"/>
      <c r="S135" s="135"/>
    </row>
    <row r="136" customFormat="false" ht="15.75" hidden="false" customHeight="true" outlineLevel="0" collapsed="false">
      <c r="A136" s="135"/>
      <c r="B136" s="135"/>
      <c r="C136" s="135"/>
      <c r="D136" s="182"/>
      <c r="E136" s="135"/>
      <c r="F136" s="135"/>
      <c r="G136" s="135"/>
      <c r="H136" s="135"/>
      <c r="I136" s="135"/>
      <c r="J136" s="135"/>
      <c r="K136" s="135"/>
      <c r="L136" s="189"/>
      <c r="M136" s="135"/>
      <c r="N136" s="135"/>
      <c r="O136" s="135"/>
      <c r="P136" s="135"/>
      <c r="Q136" s="135"/>
      <c r="R136" s="135"/>
      <c r="S136" s="135"/>
    </row>
    <row r="137" customFormat="false" ht="15.75" hidden="false" customHeight="true" outlineLevel="0" collapsed="false">
      <c r="A137" s="135"/>
      <c r="B137" s="135"/>
      <c r="C137" s="135"/>
      <c r="D137" s="182"/>
      <c r="E137" s="135"/>
      <c r="F137" s="135"/>
      <c r="G137" s="135"/>
      <c r="H137" s="135"/>
      <c r="I137" s="135"/>
      <c r="J137" s="135"/>
      <c r="K137" s="135"/>
      <c r="L137" s="189"/>
      <c r="M137" s="135"/>
      <c r="N137" s="135"/>
      <c r="O137" s="135"/>
      <c r="P137" s="135"/>
      <c r="Q137" s="135"/>
      <c r="R137" s="135"/>
      <c r="S137" s="135"/>
    </row>
    <row r="138" customFormat="false" ht="15.75" hidden="false" customHeight="true" outlineLevel="0" collapsed="false">
      <c r="A138" s="135"/>
      <c r="B138" s="135"/>
      <c r="C138" s="135"/>
      <c r="D138" s="182"/>
      <c r="E138" s="135"/>
      <c r="F138" s="135"/>
      <c r="G138" s="135"/>
      <c r="H138" s="135"/>
      <c r="I138" s="135"/>
      <c r="J138" s="135"/>
      <c r="K138" s="135"/>
      <c r="L138" s="189"/>
      <c r="M138" s="135"/>
      <c r="N138" s="135"/>
      <c r="O138" s="135"/>
      <c r="P138" s="135"/>
      <c r="Q138" s="135"/>
      <c r="R138" s="135"/>
      <c r="S138" s="135"/>
    </row>
    <row r="139" customFormat="false" ht="15.75" hidden="false" customHeight="true" outlineLevel="0" collapsed="false">
      <c r="A139" s="135"/>
      <c r="B139" s="135"/>
      <c r="C139" s="135"/>
      <c r="D139" s="182"/>
      <c r="E139" s="135"/>
      <c r="F139" s="135"/>
      <c r="G139" s="135"/>
      <c r="H139" s="135"/>
      <c r="I139" s="135"/>
      <c r="J139" s="135"/>
      <c r="K139" s="135"/>
      <c r="L139" s="189"/>
      <c r="M139" s="135"/>
      <c r="N139" s="135"/>
      <c r="O139" s="135"/>
      <c r="P139" s="135"/>
      <c r="Q139" s="135"/>
      <c r="R139" s="135"/>
      <c r="S139" s="135"/>
    </row>
    <row r="140" customFormat="false" ht="15.75" hidden="false" customHeight="true" outlineLevel="0" collapsed="false">
      <c r="A140" s="135"/>
      <c r="B140" s="135"/>
      <c r="C140" s="135"/>
      <c r="D140" s="182"/>
      <c r="E140" s="135"/>
      <c r="F140" s="135"/>
      <c r="G140" s="135"/>
      <c r="H140" s="135"/>
      <c r="I140" s="135"/>
      <c r="J140" s="135"/>
      <c r="K140" s="135"/>
      <c r="L140" s="189"/>
      <c r="M140" s="135"/>
      <c r="N140" s="135"/>
      <c r="O140" s="135"/>
      <c r="P140" s="135"/>
      <c r="Q140" s="135"/>
      <c r="R140" s="135"/>
      <c r="S140" s="135"/>
    </row>
    <row r="141" customFormat="false" ht="15.75" hidden="false" customHeight="true" outlineLevel="0" collapsed="false">
      <c r="A141" s="135"/>
      <c r="B141" s="135"/>
      <c r="C141" s="135"/>
      <c r="D141" s="182"/>
      <c r="E141" s="135"/>
      <c r="F141" s="135"/>
      <c r="G141" s="135"/>
      <c r="H141" s="135"/>
      <c r="I141" s="135"/>
      <c r="J141" s="135"/>
      <c r="K141" s="135"/>
      <c r="L141" s="189"/>
      <c r="M141" s="135"/>
      <c r="N141" s="135"/>
      <c r="O141" s="135"/>
      <c r="P141" s="135"/>
      <c r="Q141" s="135"/>
      <c r="R141" s="135"/>
      <c r="S141" s="135"/>
    </row>
    <row r="142" customFormat="false" ht="15.75" hidden="false" customHeight="true" outlineLevel="0" collapsed="false">
      <c r="A142" s="135"/>
      <c r="B142" s="135"/>
      <c r="C142" s="135"/>
      <c r="D142" s="182"/>
      <c r="E142" s="135"/>
      <c r="F142" s="135"/>
      <c r="G142" s="135"/>
      <c r="H142" s="135"/>
      <c r="I142" s="135"/>
      <c r="J142" s="135"/>
      <c r="K142" s="135"/>
      <c r="L142" s="189"/>
      <c r="M142" s="135"/>
      <c r="N142" s="135"/>
      <c r="O142" s="135"/>
      <c r="P142" s="135"/>
      <c r="Q142" s="135"/>
      <c r="R142" s="135"/>
      <c r="S142" s="135"/>
    </row>
    <row r="143" customFormat="false" ht="15.75" hidden="false" customHeight="true" outlineLevel="0" collapsed="false">
      <c r="A143" s="135"/>
      <c r="B143" s="135"/>
      <c r="C143" s="135"/>
      <c r="D143" s="182"/>
      <c r="E143" s="135"/>
      <c r="F143" s="135"/>
      <c r="G143" s="135"/>
      <c r="H143" s="135"/>
      <c r="I143" s="135"/>
      <c r="J143" s="135"/>
      <c r="K143" s="135"/>
      <c r="L143" s="189"/>
      <c r="M143" s="135"/>
      <c r="N143" s="135"/>
      <c r="O143" s="135"/>
      <c r="P143" s="135"/>
      <c r="Q143" s="135"/>
      <c r="R143" s="135"/>
      <c r="S143" s="135"/>
    </row>
    <row r="144" customFormat="false" ht="15.75" hidden="false" customHeight="true" outlineLevel="0" collapsed="false">
      <c r="A144" s="135"/>
      <c r="B144" s="135"/>
      <c r="C144" s="135"/>
      <c r="D144" s="182"/>
      <c r="E144" s="135"/>
      <c r="F144" s="135"/>
      <c r="G144" s="135"/>
      <c r="H144" s="135"/>
      <c r="I144" s="135"/>
      <c r="J144" s="135"/>
      <c r="K144" s="135"/>
      <c r="L144" s="189"/>
      <c r="M144" s="135"/>
      <c r="N144" s="135"/>
      <c r="O144" s="135"/>
      <c r="P144" s="135"/>
      <c r="Q144" s="135"/>
      <c r="R144" s="135"/>
      <c r="S144" s="135"/>
    </row>
    <row r="145" customFormat="false" ht="15.75" hidden="false" customHeight="true" outlineLevel="0" collapsed="false">
      <c r="A145" s="135"/>
      <c r="B145" s="135"/>
      <c r="C145" s="135"/>
      <c r="D145" s="182"/>
      <c r="E145" s="135"/>
      <c r="F145" s="135"/>
      <c r="G145" s="135"/>
      <c r="H145" s="135"/>
      <c r="I145" s="135"/>
      <c r="J145" s="135"/>
      <c r="K145" s="135"/>
      <c r="L145" s="189"/>
      <c r="M145" s="135"/>
      <c r="N145" s="135"/>
      <c r="O145" s="135"/>
      <c r="P145" s="135"/>
      <c r="Q145" s="135"/>
      <c r="R145" s="135"/>
      <c r="S145" s="135"/>
    </row>
    <row r="146" customFormat="false" ht="15.75" hidden="false" customHeight="true" outlineLevel="0" collapsed="false">
      <c r="A146" s="135"/>
      <c r="B146" s="135"/>
      <c r="C146" s="135"/>
      <c r="D146" s="182"/>
      <c r="E146" s="135"/>
      <c r="F146" s="135"/>
      <c r="G146" s="135"/>
      <c r="H146" s="135"/>
      <c r="I146" s="135"/>
      <c r="J146" s="135"/>
      <c r="K146" s="135"/>
      <c r="L146" s="189"/>
      <c r="M146" s="135"/>
      <c r="N146" s="135"/>
      <c r="O146" s="135"/>
      <c r="P146" s="135"/>
      <c r="Q146" s="135"/>
      <c r="R146" s="135"/>
      <c r="S146" s="135"/>
    </row>
    <row r="147" customFormat="false" ht="15.75" hidden="false" customHeight="true" outlineLevel="0" collapsed="false">
      <c r="A147" s="135"/>
      <c r="B147" s="135"/>
      <c r="C147" s="135"/>
      <c r="D147" s="182"/>
      <c r="E147" s="135"/>
      <c r="F147" s="135"/>
      <c r="G147" s="135"/>
      <c r="H147" s="135"/>
      <c r="I147" s="135"/>
      <c r="J147" s="135"/>
      <c r="K147" s="135"/>
      <c r="L147" s="189"/>
      <c r="M147" s="135"/>
      <c r="N147" s="135"/>
      <c r="O147" s="135"/>
      <c r="P147" s="135"/>
      <c r="Q147" s="135"/>
      <c r="R147" s="135"/>
      <c r="S147" s="135"/>
    </row>
    <row r="148" customFormat="false" ht="15.75" hidden="false" customHeight="true" outlineLevel="0" collapsed="false">
      <c r="A148" s="135"/>
      <c r="B148" s="135"/>
      <c r="C148" s="135"/>
      <c r="D148" s="182"/>
      <c r="E148" s="135"/>
      <c r="F148" s="135"/>
      <c r="G148" s="135"/>
      <c r="H148" s="135"/>
      <c r="I148" s="135"/>
      <c r="J148" s="135"/>
      <c r="K148" s="135"/>
      <c r="L148" s="189"/>
      <c r="M148" s="135"/>
      <c r="N148" s="135"/>
      <c r="O148" s="135"/>
      <c r="P148" s="135"/>
      <c r="Q148" s="135"/>
      <c r="R148" s="135"/>
      <c r="S148" s="135"/>
    </row>
    <row r="149" customFormat="false" ht="15.75" hidden="false" customHeight="true" outlineLevel="0" collapsed="false">
      <c r="A149" s="135"/>
      <c r="B149" s="135"/>
      <c r="C149" s="135"/>
      <c r="D149" s="182"/>
      <c r="E149" s="135"/>
      <c r="F149" s="135"/>
      <c r="G149" s="135"/>
      <c r="H149" s="135"/>
      <c r="I149" s="135"/>
      <c r="J149" s="135"/>
      <c r="K149" s="135"/>
      <c r="L149" s="189"/>
      <c r="M149" s="135"/>
      <c r="N149" s="135"/>
      <c r="O149" s="135"/>
      <c r="P149" s="135"/>
      <c r="Q149" s="135"/>
      <c r="R149" s="135"/>
      <c r="S149" s="135"/>
    </row>
    <row r="150" customFormat="false" ht="15.75" hidden="false" customHeight="true" outlineLevel="0" collapsed="false">
      <c r="A150" s="135"/>
      <c r="B150" s="135"/>
      <c r="C150" s="135"/>
      <c r="D150" s="182"/>
      <c r="E150" s="135"/>
      <c r="F150" s="135"/>
      <c r="G150" s="135"/>
      <c r="H150" s="135"/>
      <c r="I150" s="135"/>
      <c r="J150" s="135"/>
      <c r="K150" s="135"/>
      <c r="L150" s="189"/>
      <c r="M150" s="135"/>
      <c r="N150" s="135"/>
      <c r="O150" s="135"/>
      <c r="P150" s="135"/>
      <c r="Q150" s="135"/>
      <c r="R150" s="135"/>
      <c r="S150" s="135"/>
    </row>
    <row r="151" customFormat="false" ht="15.75" hidden="false" customHeight="true" outlineLevel="0" collapsed="false">
      <c r="A151" s="135"/>
      <c r="B151" s="135"/>
      <c r="C151" s="135"/>
      <c r="D151" s="182"/>
      <c r="E151" s="135"/>
      <c r="F151" s="135"/>
      <c r="G151" s="135"/>
      <c r="H151" s="135"/>
      <c r="I151" s="135"/>
      <c r="J151" s="135"/>
      <c r="K151" s="135"/>
      <c r="L151" s="189"/>
      <c r="M151" s="135"/>
      <c r="N151" s="135"/>
      <c r="O151" s="135"/>
      <c r="P151" s="135"/>
      <c r="Q151" s="135"/>
      <c r="R151" s="135"/>
      <c r="S151" s="135"/>
    </row>
    <row r="152" customFormat="false" ht="15.75" hidden="false" customHeight="true" outlineLevel="0" collapsed="false">
      <c r="A152" s="135"/>
      <c r="B152" s="135"/>
      <c r="C152" s="135"/>
      <c r="D152" s="182"/>
      <c r="E152" s="135"/>
      <c r="F152" s="135"/>
      <c r="G152" s="135"/>
      <c r="H152" s="135"/>
      <c r="I152" s="135"/>
      <c r="J152" s="135"/>
      <c r="K152" s="135"/>
      <c r="L152" s="189"/>
      <c r="M152" s="135"/>
      <c r="N152" s="135"/>
      <c r="O152" s="135"/>
      <c r="P152" s="135"/>
      <c r="Q152" s="135"/>
      <c r="R152" s="135"/>
      <c r="S152" s="135"/>
    </row>
    <row r="153" customFormat="false" ht="15.75" hidden="false" customHeight="true" outlineLevel="0" collapsed="false">
      <c r="A153" s="135"/>
      <c r="B153" s="135"/>
      <c r="C153" s="135"/>
      <c r="D153" s="182"/>
      <c r="E153" s="135"/>
      <c r="F153" s="135"/>
      <c r="G153" s="135"/>
      <c r="H153" s="135"/>
      <c r="I153" s="135"/>
      <c r="J153" s="135"/>
      <c r="K153" s="135"/>
      <c r="L153" s="189"/>
      <c r="M153" s="135"/>
      <c r="N153" s="135"/>
      <c r="O153" s="135"/>
      <c r="P153" s="135"/>
      <c r="Q153" s="135"/>
      <c r="R153" s="135"/>
      <c r="S153" s="135"/>
    </row>
    <row r="154" customFormat="false" ht="15.75" hidden="false" customHeight="true" outlineLevel="0" collapsed="false">
      <c r="A154" s="135"/>
      <c r="B154" s="135"/>
      <c r="C154" s="135"/>
      <c r="D154" s="182"/>
      <c r="E154" s="135"/>
      <c r="F154" s="135"/>
      <c r="G154" s="135"/>
      <c r="H154" s="135"/>
      <c r="I154" s="135"/>
      <c r="J154" s="135"/>
      <c r="K154" s="135"/>
      <c r="L154" s="189"/>
      <c r="M154" s="135"/>
      <c r="N154" s="135"/>
      <c r="O154" s="135"/>
      <c r="P154" s="135"/>
      <c r="Q154" s="135"/>
      <c r="R154" s="135"/>
      <c r="S154" s="135"/>
    </row>
    <row r="155" customFormat="false" ht="15.75" hidden="false" customHeight="true" outlineLevel="0" collapsed="false">
      <c r="A155" s="135"/>
      <c r="B155" s="135"/>
      <c r="C155" s="135"/>
      <c r="D155" s="182"/>
      <c r="E155" s="135"/>
      <c r="F155" s="135"/>
      <c r="G155" s="135"/>
      <c r="H155" s="135"/>
      <c r="I155" s="135"/>
      <c r="J155" s="135"/>
      <c r="K155" s="135"/>
      <c r="L155" s="189"/>
      <c r="M155" s="135"/>
      <c r="N155" s="135"/>
      <c r="O155" s="135"/>
      <c r="P155" s="135"/>
      <c r="Q155" s="135"/>
      <c r="R155" s="135"/>
      <c r="S155" s="135"/>
    </row>
    <row r="156" customFormat="false" ht="15.75" hidden="false" customHeight="true" outlineLevel="0" collapsed="false">
      <c r="A156" s="135"/>
      <c r="B156" s="135"/>
      <c r="C156" s="135"/>
      <c r="D156" s="182"/>
      <c r="E156" s="135"/>
      <c r="F156" s="135"/>
      <c r="G156" s="135"/>
      <c r="H156" s="135"/>
      <c r="I156" s="135"/>
      <c r="J156" s="135"/>
      <c r="K156" s="135"/>
      <c r="L156" s="189"/>
      <c r="M156" s="135"/>
      <c r="N156" s="135"/>
      <c r="O156" s="135"/>
      <c r="P156" s="135"/>
      <c r="Q156" s="135"/>
      <c r="R156" s="135"/>
      <c r="S156" s="135"/>
    </row>
    <row r="157" customFormat="false" ht="15.75" hidden="false" customHeight="true" outlineLevel="0" collapsed="false">
      <c r="A157" s="135"/>
      <c r="B157" s="135"/>
      <c r="C157" s="135"/>
      <c r="D157" s="182"/>
      <c r="E157" s="135"/>
      <c r="F157" s="135"/>
      <c r="G157" s="135"/>
      <c r="H157" s="135"/>
      <c r="I157" s="135"/>
      <c r="J157" s="135"/>
      <c r="K157" s="135"/>
      <c r="L157" s="189"/>
      <c r="M157" s="135"/>
      <c r="N157" s="135"/>
      <c r="O157" s="135"/>
      <c r="P157" s="135"/>
      <c r="Q157" s="135"/>
      <c r="R157" s="135"/>
      <c r="S157" s="135"/>
    </row>
    <row r="158" customFormat="false" ht="15.75" hidden="false" customHeight="true" outlineLevel="0" collapsed="false">
      <c r="A158" s="135"/>
      <c r="B158" s="135"/>
      <c r="C158" s="135"/>
      <c r="D158" s="182"/>
      <c r="E158" s="135"/>
      <c r="F158" s="135"/>
      <c r="G158" s="135"/>
      <c r="H158" s="135"/>
      <c r="I158" s="135"/>
      <c r="J158" s="135"/>
      <c r="K158" s="135"/>
      <c r="L158" s="189"/>
      <c r="M158" s="135"/>
      <c r="N158" s="135"/>
      <c r="O158" s="135"/>
      <c r="P158" s="135"/>
      <c r="Q158" s="135"/>
      <c r="R158" s="135"/>
      <c r="S158" s="135"/>
    </row>
    <row r="159" customFormat="false" ht="15.75" hidden="false" customHeight="true" outlineLevel="0" collapsed="false">
      <c r="A159" s="135"/>
      <c r="B159" s="135"/>
      <c r="C159" s="135"/>
      <c r="D159" s="182"/>
      <c r="E159" s="135"/>
      <c r="F159" s="135"/>
      <c r="G159" s="135"/>
      <c r="H159" s="135"/>
      <c r="I159" s="135"/>
      <c r="J159" s="135"/>
      <c r="K159" s="135"/>
      <c r="L159" s="189"/>
      <c r="M159" s="135"/>
      <c r="N159" s="135"/>
      <c r="O159" s="135"/>
      <c r="P159" s="135"/>
      <c r="Q159" s="135"/>
      <c r="R159" s="135"/>
      <c r="S159" s="135"/>
    </row>
    <row r="160" customFormat="false" ht="15.75" hidden="false" customHeight="true" outlineLevel="0" collapsed="false">
      <c r="A160" s="135"/>
      <c r="B160" s="135"/>
      <c r="C160" s="135"/>
      <c r="D160" s="182"/>
      <c r="E160" s="135"/>
      <c r="F160" s="135"/>
      <c r="G160" s="135"/>
      <c r="H160" s="135"/>
      <c r="I160" s="135"/>
      <c r="J160" s="135"/>
      <c r="K160" s="135"/>
      <c r="L160" s="189"/>
      <c r="M160" s="135"/>
      <c r="N160" s="135"/>
      <c r="O160" s="135"/>
      <c r="P160" s="135"/>
      <c r="Q160" s="135"/>
      <c r="R160" s="135"/>
      <c r="S160" s="135"/>
    </row>
    <row r="161" customFormat="false" ht="15.75" hidden="false" customHeight="true" outlineLevel="0" collapsed="false">
      <c r="A161" s="135"/>
      <c r="B161" s="135"/>
      <c r="C161" s="135"/>
      <c r="D161" s="182"/>
      <c r="E161" s="135"/>
      <c r="F161" s="135"/>
      <c r="G161" s="135"/>
      <c r="H161" s="135"/>
      <c r="I161" s="135"/>
      <c r="J161" s="135"/>
      <c r="K161" s="135"/>
      <c r="L161" s="189"/>
      <c r="M161" s="135"/>
      <c r="N161" s="135"/>
      <c r="O161" s="135"/>
      <c r="P161" s="135"/>
      <c r="Q161" s="135"/>
      <c r="R161" s="135"/>
      <c r="S161" s="135"/>
    </row>
    <row r="162" customFormat="false" ht="15.75" hidden="false" customHeight="true" outlineLevel="0" collapsed="false">
      <c r="A162" s="135"/>
      <c r="B162" s="135"/>
      <c r="C162" s="135"/>
      <c r="D162" s="182"/>
      <c r="E162" s="135"/>
      <c r="F162" s="135"/>
      <c r="G162" s="135"/>
      <c r="H162" s="135"/>
      <c r="I162" s="135"/>
      <c r="J162" s="135"/>
      <c r="K162" s="135"/>
      <c r="L162" s="189"/>
      <c r="M162" s="135"/>
      <c r="N162" s="135"/>
      <c r="O162" s="135"/>
      <c r="P162" s="135"/>
      <c r="Q162" s="135"/>
      <c r="R162" s="135"/>
      <c r="S162" s="135"/>
    </row>
    <row r="163" customFormat="false" ht="15.75" hidden="false" customHeight="true" outlineLevel="0" collapsed="false">
      <c r="A163" s="135"/>
      <c r="B163" s="135"/>
      <c r="C163" s="135"/>
      <c r="D163" s="182"/>
      <c r="E163" s="135"/>
      <c r="F163" s="135"/>
      <c r="G163" s="135"/>
      <c r="H163" s="135"/>
      <c r="I163" s="135"/>
      <c r="J163" s="135"/>
      <c r="K163" s="135"/>
      <c r="L163" s="189"/>
      <c r="M163" s="135"/>
      <c r="N163" s="135"/>
      <c r="O163" s="135"/>
      <c r="P163" s="135"/>
      <c r="Q163" s="135"/>
      <c r="R163" s="135"/>
      <c r="S163" s="135"/>
    </row>
    <row r="164" customFormat="false" ht="15.75" hidden="false" customHeight="true" outlineLevel="0" collapsed="false">
      <c r="A164" s="135"/>
      <c r="B164" s="135"/>
      <c r="C164" s="135"/>
      <c r="D164" s="182"/>
      <c r="E164" s="135"/>
      <c r="F164" s="135"/>
      <c r="G164" s="135"/>
      <c r="H164" s="135"/>
      <c r="I164" s="135"/>
      <c r="J164" s="135"/>
      <c r="K164" s="135"/>
      <c r="L164" s="189"/>
      <c r="M164" s="135"/>
      <c r="N164" s="135"/>
      <c r="O164" s="135"/>
      <c r="P164" s="135"/>
      <c r="Q164" s="135"/>
      <c r="R164" s="135"/>
      <c r="S164" s="135"/>
    </row>
    <row r="165" customFormat="false" ht="15.75" hidden="false" customHeight="true" outlineLevel="0" collapsed="false">
      <c r="A165" s="135"/>
      <c r="B165" s="135"/>
      <c r="C165" s="135"/>
      <c r="D165" s="182"/>
      <c r="E165" s="135"/>
      <c r="F165" s="135"/>
      <c r="G165" s="135"/>
      <c r="H165" s="135"/>
      <c r="I165" s="135"/>
      <c r="J165" s="135"/>
      <c r="K165" s="135"/>
      <c r="L165" s="189"/>
      <c r="M165" s="135"/>
      <c r="N165" s="135"/>
      <c r="O165" s="135"/>
      <c r="P165" s="135"/>
      <c r="Q165" s="135"/>
      <c r="R165" s="135"/>
      <c r="S165" s="135"/>
    </row>
    <row r="166" customFormat="false" ht="15.75" hidden="false" customHeight="true" outlineLevel="0" collapsed="false">
      <c r="A166" s="135"/>
      <c r="B166" s="135"/>
      <c r="C166" s="135"/>
      <c r="D166" s="182"/>
      <c r="E166" s="135"/>
      <c r="F166" s="135"/>
      <c r="G166" s="135"/>
      <c r="H166" s="135"/>
      <c r="I166" s="135"/>
      <c r="J166" s="135"/>
      <c r="K166" s="135"/>
      <c r="L166" s="189"/>
      <c r="M166" s="135"/>
      <c r="N166" s="135"/>
      <c r="O166" s="135"/>
      <c r="P166" s="135"/>
      <c r="Q166" s="135"/>
      <c r="R166" s="135"/>
      <c r="S166" s="135"/>
    </row>
    <row r="167" customFormat="false" ht="15.75" hidden="false" customHeight="true" outlineLevel="0" collapsed="false">
      <c r="A167" s="135"/>
      <c r="B167" s="135"/>
      <c r="C167" s="135"/>
      <c r="D167" s="182"/>
      <c r="E167" s="135"/>
      <c r="F167" s="135"/>
      <c r="G167" s="135"/>
      <c r="H167" s="135"/>
      <c r="I167" s="135"/>
      <c r="J167" s="135"/>
      <c r="K167" s="135"/>
      <c r="L167" s="189"/>
      <c r="M167" s="135"/>
      <c r="N167" s="135"/>
      <c r="O167" s="135"/>
      <c r="P167" s="135"/>
      <c r="Q167" s="135"/>
      <c r="R167" s="135"/>
      <c r="S167" s="135"/>
    </row>
    <row r="168" customFormat="false" ht="15.75" hidden="false" customHeight="true" outlineLevel="0" collapsed="false">
      <c r="A168" s="135"/>
      <c r="B168" s="135"/>
      <c r="C168" s="135"/>
      <c r="D168" s="182"/>
      <c r="E168" s="135"/>
      <c r="F168" s="135"/>
      <c r="G168" s="135"/>
      <c r="H168" s="135"/>
      <c r="I168" s="135"/>
      <c r="J168" s="135"/>
      <c r="K168" s="135"/>
      <c r="L168" s="189"/>
      <c r="M168" s="135"/>
      <c r="N168" s="135"/>
      <c r="O168" s="135"/>
      <c r="P168" s="135"/>
      <c r="Q168" s="135"/>
      <c r="R168" s="135"/>
      <c r="S168" s="135"/>
    </row>
    <row r="169" customFormat="false" ht="15.75" hidden="false" customHeight="true" outlineLevel="0" collapsed="false">
      <c r="A169" s="135"/>
      <c r="B169" s="135"/>
      <c r="C169" s="135"/>
      <c r="D169" s="182"/>
      <c r="E169" s="135"/>
      <c r="F169" s="135"/>
      <c r="G169" s="135"/>
      <c r="H169" s="135"/>
      <c r="I169" s="135"/>
      <c r="J169" s="135"/>
      <c r="K169" s="135"/>
      <c r="L169" s="189"/>
      <c r="M169" s="135"/>
      <c r="N169" s="135"/>
      <c r="O169" s="135"/>
      <c r="P169" s="135"/>
      <c r="Q169" s="135"/>
      <c r="R169" s="135"/>
      <c r="S169" s="135"/>
    </row>
    <row r="170" customFormat="false" ht="15.75" hidden="false" customHeight="true" outlineLevel="0" collapsed="false">
      <c r="A170" s="135"/>
      <c r="B170" s="135"/>
      <c r="C170" s="135"/>
      <c r="D170" s="182"/>
      <c r="E170" s="135"/>
      <c r="F170" s="135"/>
      <c r="G170" s="135"/>
      <c r="H170" s="135"/>
      <c r="I170" s="135"/>
      <c r="J170" s="135"/>
      <c r="K170" s="135"/>
      <c r="L170" s="189"/>
      <c r="M170" s="135"/>
      <c r="N170" s="135"/>
      <c r="O170" s="135"/>
      <c r="P170" s="135"/>
      <c r="Q170" s="135"/>
      <c r="R170" s="135"/>
      <c r="S170" s="135"/>
    </row>
    <row r="171" customFormat="false" ht="15.75" hidden="false" customHeight="true" outlineLevel="0" collapsed="false">
      <c r="A171" s="135"/>
      <c r="B171" s="135"/>
      <c r="C171" s="135"/>
      <c r="D171" s="182"/>
      <c r="E171" s="135"/>
      <c r="F171" s="135"/>
      <c r="G171" s="135"/>
      <c r="H171" s="135"/>
      <c r="I171" s="135"/>
      <c r="J171" s="135"/>
      <c r="K171" s="135"/>
      <c r="L171" s="189"/>
      <c r="M171" s="135"/>
      <c r="N171" s="135"/>
      <c r="O171" s="135"/>
      <c r="P171" s="135"/>
      <c r="Q171" s="135"/>
      <c r="R171" s="135"/>
      <c r="S171" s="135"/>
    </row>
    <row r="172" customFormat="false" ht="15.75" hidden="false" customHeight="true" outlineLevel="0" collapsed="false">
      <c r="A172" s="135"/>
      <c r="B172" s="135"/>
      <c r="C172" s="135"/>
      <c r="D172" s="182"/>
      <c r="E172" s="135"/>
      <c r="F172" s="135"/>
      <c r="G172" s="135"/>
      <c r="H172" s="135"/>
      <c r="I172" s="135"/>
      <c r="J172" s="135"/>
      <c r="K172" s="135"/>
      <c r="L172" s="189"/>
      <c r="M172" s="135"/>
      <c r="N172" s="135"/>
      <c r="O172" s="135"/>
      <c r="P172" s="135"/>
      <c r="Q172" s="135"/>
      <c r="R172" s="135"/>
      <c r="S172" s="135"/>
    </row>
    <row r="173" customFormat="false" ht="15.75" hidden="false" customHeight="true" outlineLevel="0" collapsed="false">
      <c r="A173" s="135"/>
      <c r="B173" s="135"/>
      <c r="C173" s="135"/>
      <c r="D173" s="182"/>
      <c r="E173" s="135"/>
      <c r="F173" s="135"/>
      <c r="G173" s="135"/>
      <c r="H173" s="135"/>
      <c r="I173" s="135"/>
      <c r="J173" s="135"/>
      <c r="K173" s="135"/>
      <c r="L173" s="189"/>
      <c r="M173" s="135"/>
      <c r="N173" s="135"/>
      <c r="O173" s="135"/>
      <c r="P173" s="135"/>
      <c r="Q173" s="135"/>
      <c r="R173" s="135"/>
      <c r="S173" s="135"/>
    </row>
    <row r="174" customFormat="false" ht="15.75" hidden="false" customHeight="true" outlineLevel="0" collapsed="false">
      <c r="A174" s="135"/>
      <c r="B174" s="135"/>
      <c r="C174" s="135"/>
      <c r="D174" s="182"/>
      <c r="E174" s="135"/>
      <c r="F174" s="135"/>
      <c r="G174" s="135"/>
      <c r="H174" s="135"/>
      <c r="I174" s="135"/>
      <c r="J174" s="135"/>
      <c r="K174" s="135"/>
      <c r="L174" s="189"/>
      <c r="M174" s="135"/>
      <c r="N174" s="135"/>
      <c r="O174" s="135"/>
      <c r="P174" s="135"/>
      <c r="Q174" s="135"/>
      <c r="R174" s="135"/>
      <c r="S174" s="135"/>
    </row>
    <row r="175" customFormat="false" ht="15.75" hidden="false" customHeight="true" outlineLevel="0" collapsed="false">
      <c r="A175" s="135"/>
      <c r="B175" s="135"/>
      <c r="C175" s="135"/>
      <c r="D175" s="182"/>
      <c r="E175" s="135"/>
      <c r="F175" s="135"/>
      <c r="G175" s="135"/>
      <c r="H175" s="135"/>
      <c r="I175" s="135"/>
      <c r="J175" s="135"/>
      <c r="K175" s="135"/>
      <c r="L175" s="189"/>
      <c r="M175" s="135"/>
      <c r="N175" s="135"/>
      <c r="O175" s="135"/>
      <c r="P175" s="135"/>
      <c r="Q175" s="135"/>
      <c r="R175" s="135"/>
      <c r="S175" s="135"/>
    </row>
    <row r="176" customFormat="false" ht="15.75" hidden="false" customHeight="true" outlineLevel="0" collapsed="false">
      <c r="A176" s="135"/>
      <c r="B176" s="135"/>
      <c r="C176" s="135"/>
      <c r="D176" s="182"/>
      <c r="E176" s="135"/>
      <c r="F176" s="135"/>
      <c r="G176" s="135"/>
      <c r="H176" s="135"/>
      <c r="I176" s="135"/>
      <c r="J176" s="135"/>
      <c r="K176" s="135"/>
      <c r="L176" s="189"/>
      <c r="M176" s="135"/>
      <c r="N176" s="135"/>
      <c r="O176" s="135"/>
      <c r="P176" s="135"/>
      <c r="Q176" s="135"/>
      <c r="R176" s="135"/>
      <c r="S176" s="135"/>
    </row>
    <row r="177" customFormat="false" ht="15.75" hidden="false" customHeight="true" outlineLevel="0" collapsed="false">
      <c r="A177" s="135"/>
      <c r="B177" s="135"/>
      <c r="C177" s="135"/>
      <c r="D177" s="182"/>
      <c r="E177" s="135"/>
      <c r="F177" s="135"/>
      <c r="G177" s="135"/>
      <c r="H177" s="135"/>
      <c r="I177" s="135"/>
      <c r="J177" s="135"/>
      <c r="K177" s="135"/>
      <c r="L177" s="189"/>
      <c r="M177" s="135"/>
      <c r="N177" s="135"/>
      <c r="O177" s="135"/>
      <c r="P177" s="135"/>
      <c r="Q177" s="135"/>
      <c r="R177" s="135"/>
      <c r="S177" s="135"/>
    </row>
    <row r="178" customFormat="false" ht="15.75" hidden="false" customHeight="true" outlineLevel="0" collapsed="false">
      <c r="A178" s="135"/>
      <c r="B178" s="135"/>
      <c r="C178" s="135"/>
      <c r="D178" s="182"/>
      <c r="E178" s="135"/>
      <c r="F178" s="135"/>
      <c r="G178" s="135"/>
      <c r="H178" s="135"/>
      <c r="I178" s="135"/>
      <c r="J178" s="135"/>
      <c r="K178" s="135"/>
      <c r="L178" s="189"/>
      <c r="M178" s="135"/>
      <c r="N178" s="135"/>
      <c r="O178" s="135"/>
      <c r="P178" s="135"/>
      <c r="Q178" s="135"/>
      <c r="R178" s="135"/>
      <c r="S178" s="135"/>
    </row>
    <row r="179" customFormat="false" ht="15.75" hidden="false" customHeight="true" outlineLevel="0" collapsed="false">
      <c r="A179" s="135"/>
      <c r="B179" s="135"/>
      <c r="C179" s="135"/>
      <c r="D179" s="182"/>
      <c r="E179" s="135"/>
      <c r="F179" s="135"/>
      <c r="G179" s="135"/>
      <c r="H179" s="135"/>
      <c r="I179" s="135"/>
      <c r="J179" s="135"/>
      <c r="K179" s="135"/>
      <c r="L179" s="189"/>
      <c r="M179" s="135"/>
      <c r="N179" s="135"/>
      <c r="O179" s="135"/>
      <c r="P179" s="135"/>
      <c r="Q179" s="135"/>
      <c r="R179" s="135"/>
      <c r="S179" s="135"/>
    </row>
    <row r="180" customFormat="false" ht="15.75" hidden="false" customHeight="true" outlineLevel="0" collapsed="false">
      <c r="A180" s="135"/>
      <c r="B180" s="135"/>
      <c r="C180" s="135"/>
      <c r="D180" s="182"/>
      <c r="E180" s="135"/>
      <c r="F180" s="135"/>
      <c r="G180" s="135"/>
      <c r="H180" s="135"/>
      <c r="I180" s="135"/>
      <c r="J180" s="135"/>
      <c r="K180" s="135"/>
      <c r="L180" s="189"/>
      <c r="M180" s="135"/>
      <c r="N180" s="135"/>
      <c r="O180" s="135"/>
      <c r="P180" s="135"/>
      <c r="Q180" s="135"/>
      <c r="R180" s="135"/>
      <c r="S180" s="135"/>
    </row>
    <row r="181" customFormat="false" ht="15.75" hidden="false" customHeight="true" outlineLevel="0" collapsed="false">
      <c r="A181" s="135"/>
      <c r="B181" s="135"/>
      <c r="C181" s="135"/>
      <c r="D181" s="182"/>
      <c r="E181" s="135"/>
      <c r="F181" s="135"/>
      <c r="G181" s="135"/>
      <c r="H181" s="135"/>
      <c r="I181" s="135"/>
      <c r="J181" s="135"/>
      <c r="K181" s="135"/>
      <c r="L181" s="189"/>
      <c r="M181" s="135"/>
      <c r="N181" s="135"/>
      <c r="O181" s="135"/>
      <c r="P181" s="135"/>
      <c r="Q181" s="135"/>
      <c r="R181" s="135"/>
      <c r="S181" s="135"/>
    </row>
    <row r="182" customFormat="false" ht="15.75" hidden="false" customHeight="true" outlineLevel="0" collapsed="false">
      <c r="A182" s="135"/>
      <c r="B182" s="135"/>
      <c r="C182" s="135"/>
      <c r="D182" s="182"/>
      <c r="E182" s="135"/>
      <c r="F182" s="135"/>
      <c r="G182" s="135"/>
      <c r="H182" s="135"/>
      <c r="I182" s="135"/>
      <c r="J182" s="135"/>
      <c r="K182" s="135"/>
      <c r="L182" s="189"/>
      <c r="M182" s="135"/>
      <c r="N182" s="135"/>
      <c r="O182" s="135"/>
      <c r="P182" s="135"/>
      <c r="Q182" s="135"/>
      <c r="R182" s="135"/>
      <c r="S182" s="135"/>
    </row>
    <row r="183" customFormat="false" ht="15.75" hidden="false" customHeight="true" outlineLevel="0" collapsed="false">
      <c r="A183" s="135"/>
      <c r="B183" s="135"/>
      <c r="C183" s="135"/>
      <c r="D183" s="182"/>
      <c r="E183" s="135"/>
      <c r="F183" s="135"/>
      <c r="G183" s="135"/>
      <c r="H183" s="135"/>
      <c r="I183" s="135"/>
      <c r="J183" s="135"/>
      <c r="K183" s="135"/>
      <c r="L183" s="189"/>
      <c r="M183" s="135"/>
      <c r="N183" s="135"/>
      <c r="O183" s="135"/>
      <c r="P183" s="135"/>
      <c r="Q183" s="135"/>
      <c r="R183" s="135"/>
      <c r="S183" s="135"/>
    </row>
    <row r="184" customFormat="false" ht="15.75" hidden="false" customHeight="true" outlineLevel="0" collapsed="false">
      <c r="A184" s="135"/>
      <c r="B184" s="135"/>
      <c r="C184" s="135"/>
      <c r="D184" s="182"/>
      <c r="E184" s="135"/>
      <c r="F184" s="135"/>
      <c r="G184" s="135"/>
      <c r="H184" s="135"/>
      <c r="I184" s="135"/>
      <c r="J184" s="135"/>
      <c r="K184" s="135"/>
      <c r="L184" s="189"/>
      <c r="M184" s="135"/>
      <c r="N184" s="135"/>
      <c r="O184" s="135"/>
      <c r="P184" s="135"/>
      <c r="Q184" s="135"/>
      <c r="R184" s="135"/>
      <c r="S184" s="135"/>
    </row>
    <row r="185" customFormat="false" ht="15.75" hidden="false" customHeight="true" outlineLevel="0" collapsed="false">
      <c r="A185" s="135"/>
      <c r="B185" s="135"/>
      <c r="C185" s="135"/>
      <c r="D185" s="182"/>
      <c r="E185" s="135"/>
      <c r="F185" s="135"/>
      <c r="G185" s="135"/>
      <c r="H185" s="135"/>
      <c r="I185" s="135"/>
      <c r="J185" s="135"/>
      <c r="K185" s="135"/>
      <c r="L185" s="189"/>
      <c r="M185" s="135"/>
      <c r="N185" s="135"/>
      <c r="O185" s="135"/>
      <c r="P185" s="135"/>
      <c r="Q185" s="135"/>
      <c r="R185" s="135"/>
      <c r="S185" s="135"/>
    </row>
    <row r="186" customFormat="false" ht="15.75" hidden="false" customHeight="true" outlineLevel="0" collapsed="false">
      <c r="A186" s="135"/>
      <c r="B186" s="135"/>
      <c r="C186" s="135"/>
      <c r="D186" s="182"/>
      <c r="E186" s="135"/>
      <c r="F186" s="135"/>
      <c r="G186" s="135"/>
      <c r="H186" s="135"/>
      <c r="I186" s="135"/>
      <c r="J186" s="135"/>
      <c r="K186" s="135"/>
      <c r="L186" s="189"/>
      <c r="M186" s="135"/>
      <c r="N186" s="135"/>
      <c r="O186" s="135"/>
      <c r="P186" s="135"/>
      <c r="Q186" s="135"/>
      <c r="R186" s="135"/>
      <c r="S186" s="135"/>
    </row>
    <row r="187" customFormat="false" ht="15.75" hidden="false" customHeight="true" outlineLevel="0" collapsed="false">
      <c r="A187" s="135"/>
      <c r="B187" s="135"/>
      <c r="C187" s="135"/>
      <c r="D187" s="182"/>
      <c r="E187" s="135"/>
      <c r="F187" s="135"/>
      <c r="G187" s="135"/>
      <c r="H187" s="135"/>
      <c r="I187" s="135"/>
      <c r="J187" s="135"/>
      <c r="K187" s="135"/>
      <c r="L187" s="189"/>
      <c r="M187" s="135"/>
      <c r="N187" s="135"/>
      <c r="O187" s="135"/>
      <c r="P187" s="135"/>
      <c r="Q187" s="135"/>
      <c r="R187" s="135"/>
      <c r="S187" s="135"/>
    </row>
    <row r="188" customFormat="false" ht="15.75" hidden="false" customHeight="true" outlineLevel="0" collapsed="false">
      <c r="A188" s="135"/>
      <c r="B188" s="135"/>
      <c r="C188" s="135"/>
      <c r="D188" s="182"/>
      <c r="E188" s="135"/>
      <c r="F188" s="135"/>
      <c r="G188" s="135"/>
      <c r="H188" s="135"/>
      <c r="I188" s="135"/>
      <c r="J188" s="135"/>
      <c r="K188" s="135"/>
      <c r="L188" s="189"/>
      <c r="M188" s="135"/>
      <c r="N188" s="135"/>
      <c r="O188" s="135"/>
      <c r="P188" s="135"/>
      <c r="Q188" s="135"/>
      <c r="R188" s="135"/>
      <c r="S188" s="135"/>
    </row>
    <row r="189" customFormat="false" ht="15.75" hidden="false" customHeight="true" outlineLevel="0" collapsed="false">
      <c r="A189" s="135"/>
      <c r="B189" s="135"/>
      <c r="C189" s="135"/>
      <c r="D189" s="182"/>
      <c r="E189" s="135"/>
      <c r="F189" s="135"/>
      <c r="G189" s="135"/>
      <c r="H189" s="135"/>
      <c r="I189" s="135"/>
      <c r="J189" s="135"/>
      <c r="K189" s="135"/>
      <c r="L189" s="189"/>
      <c r="M189" s="135"/>
      <c r="N189" s="135"/>
      <c r="O189" s="135"/>
      <c r="P189" s="135"/>
      <c r="Q189" s="135"/>
      <c r="R189" s="135"/>
      <c r="S189" s="135"/>
    </row>
    <row r="190" customFormat="false" ht="15.75" hidden="false" customHeight="true" outlineLevel="0" collapsed="false">
      <c r="A190" s="135"/>
      <c r="B190" s="135"/>
      <c r="C190" s="135"/>
      <c r="D190" s="182"/>
      <c r="E190" s="135"/>
      <c r="F190" s="135"/>
      <c r="G190" s="135"/>
      <c r="H190" s="135"/>
      <c r="I190" s="135"/>
      <c r="J190" s="135"/>
      <c r="K190" s="135"/>
      <c r="L190" s="189"/>
      <c r="M190" s="135"/>
      <c r="N190" s="135"/>
      <c r="O190" s="135"/>
      <c r="P190" s="135"/>
      <c r="Q190" s="135"/>
      <c r="R190" s="135"/>
      <c r="S190" s="135"/>
    </row>
    <row r="191" customFormat="false" ht="15.75" hidden="false" customHeight="true" outlineLevel="0" collapsed="false">
      <c r="A191" s="135"/>
      <c r="B191" s="135"/>
      <c r="C191" s="135"/>
      <c r="D191" s="182"/>
      <c r="E191" s="135"/>
      <c r="F191" s="135"/>
      <c r="G191" s="135"/>
      <c r="H191" s="135"/>
      <c r="I191" s="135"/>
      <c r="J191" s="135"/>
      <c r="K191" s="135"/>
      <c r="L191" s="189"/>
      <c r="M191" s="135"/>
      <c r="N191" s="135"/>
      <c r="O191" s="135"/>
      <c r="P191" s="135"/>
      <c r="Q191" s="135"/>
      <c r="R191" s="135"/>
      <c r="S191" s="135"/>
    </row>
    <row r="192" customFormat="false" ht="15.75" hidden="false" customHeight="true" outlineLevel="0" collapsed="false">
      <c r="A192" s="135"/>
      <c r="B192" s="135"/>
      <c r="C192" s="135"/>
      <c r="D192" s="182"/>
      <c r="E192" s="135"/>
      <c r="F192" s="135"/>
      <c r="G192" s="135"/>
      <c r="H192" s="135"/>
      <c r="I192" s="135"/>
      <c r="J192" s="135"/>
      <c r="K192" s="135"/>
      <c r="L192" s="189"/>
      <c r="M192" s="135"/>
      <c r="N192" s="135"/>
      <c r="O192" s="135"/>
      <c r="P192" s="135"/>
      <c r="Q192" s="135"/>
      <c r="R192" s="135"/>
      <c r="S192" s="135"/>
    </row>
    <row r="193" customFormat="false" ht="15.75" hidden="false" customHeight="true" outlineLevel="0" collapsed="false">
      <c r="A193" s="135"/>
      <c r="B193" s="135"/>
      <c r="C193" s="135"/>
      <c r="D193" s="182"/>
      <c r="E193" s="135"/>
      <c r="F193" s="135"/>
      <c r="G193" s="135"/>
      <c r="H193" s="135"/>
      <c r="I193" s="135"/>
      <c r="J193" s="135"/>
      <c r="K193" s="135"/>
      <c r="L193" s="189"/>
      <c r="M193" s="135"/>
      <c r="N193" s="135"/>
      <c r="O193" s="135"/>
      <c r="P193" s="135"/>
      <c r="Q193" s="135"/>
      <c r="R193" s="135"/>
      <c r="S193" s="135"/>
    </row>
    <row r="194" customFormat="false" ht="15.75" hidden="false" customHeight="true" outlineLevel="0" collapsed="false">
      <c r="A194" s="135"/>
      <c r="B194" s="135"/>
      <c r="C194" s="135"/>
      <c r="D194" s="182"/>
      <c r="E194" s="135"/>
      <c r="F194" s="135"/>
      <c r="G194" s="135"/>
      <c r="H194" s="135"/>
      <c r="I194" s="135"/>
      <c r="J194" s="135"/>
      <c r="K194" s="135"/>
      <c r="L194" s="189"/>
      <c r="M194" s="135"/>
      <c r="N194" s="135"/>
      <c r="O194" s="135"/>
      <c r="P194" s="135"/>
      <c r="Q194" s="135"/>
      <c r="R194" s="135"/>
      <c r="S194" s="135"/>
    </row>
    <row r="195" customFormat="false" ht="15.75" hidden="false" customHeight="true" outlineLevel="0" collapsed="false">
      <c r="A195" s="135"/>
      <c r="B195" s="135"/>
      <c r="C195" s="135"/>
      <c r="D195" s="182"/>
      <c r="E195" s="135"/>
      <c r="F195" s="135"/>
      <c r="G195" s="135"/>
      <c r="H195" s="135"/>
      <c r="I195" s="135"/>
      <c r="J195" s="135"/>
      <c r="K195" s="135"/>
      <c r="L195" s="189"/>
      <c r="M195" s="135"/>
      <c r="N195" s="135"/>
      <c r="O195" s="135"/>
      <c r="P195" s="135"/>
      <c r="Q195" s="135"/>
      <c r="R195" s="135"/>
      <c r="S195" s="135"/>
    </row>
    <row r="196" customFormat="false" ht="15.75" hidden="false" customHeight="true" outlineLevel="0" collapsed="false">
      <c r="A196" s="135"/>
      <c r="B196" s="135"/>
      <c r="C196" s="135"/>
      <c r="D196" s="182"/>
      <c r="E196" s="135"/>
      <c r="F196" s="135"/>
      <c r="G196" s="135"/>
      <c r="H196" s="135"/>
      <c r="I196" s="135"/>
      <c r="J196" s="135"/>
      <c r="K196" s="135"/>
      <c r="L196" s="189"/>
      <c r="M196" s="135"/>
      <c r="N196" s="135"/>
      <c r="O196" s="135"/>
      <c r="P196" s="135"/>
      <c r="Q196" s="135"/>
      <c r="R196" s="135"/>
      <c r="S196" s="135"/>
    </row>
    <row r="197" customFormat="false" ht="15.75" hidden="false" customHeight="true" outlineLevel="0" collapsed="false">
      <c r="A197" s="135"/>
      <c r="B197" s="135"/>
      <c r="C197" s="135"/>
      <c r="D197" s="182"/>
      <c r="E197" s="135"/>
      <c r="F197" s="135"/>
      <c r="G197" s="135"/>
      <c r="H197" s="135"/>
      <c r="I197" s="135"/>
      <c r="J197" s="135"/>
      <c r="K197" s="135"/>
      <c r="L197" s="189"/>
      <c r="M197" s="135"/>
      <c r="N197" s="135"/>
      <c r="O197" s="135"/>
      <c r="P197" s="135"/>
      <c r="Q197" s="135"/>
      <c r="R197" s="135"/>
      <c r="S197" s="135"/>
    </row>
    <row r="198" customFormat="false" ht="15.75" hidden="false" customHeight="true" outlineLevel="0" collapsed="false">
      <c r="A198" s="135"/>
      <c r="B198" s="135"/>
      <c r="C198" s="135"/>
      <c r="D198" s="182"/>
      <c r="E198" s="135"/>
      <c r="F198" s="135"/>
      <c r="G198" s="135"/>
      <c r="H198" s="135"/>
      <c r="I198" s="135"/>
      <c r="J198" s="135"/>
      <c r="K198" s="135"/>
      <c r="L198" s="189"/>
      <c r="M198" s="135"/>
      <c r="N198" s="135"/>
      <c r="O198" s="135"/>
      <c r="P198" s="135"/>
      <c r="Q198" s="135"/>
      <c r="R198" s="135"/>
      <c r="S198" s="135"/>
    </row>
    <row r="199" customFormat="false" ht="15.75" hidden="false" customHeight="true" outlineLevel="0" collapsed="false">
      <c r="A199" s="135"/>
      <c r="B199" s="135"/>
      <c r="C199" s="135"/>
      <c r="D199" s="182"/>
      <c r="E199" s="135"/>
      <c r="F199" s="135"/>
      <c r="G199" s="135"/>
      <c r="H199" s="135"/>
      <c r="I199" s="135"/>
      <c r="J199" s="135"/>
      <c r="K199" s="135"/>
      <c r="L199" s="189"/>
      <c r="M199" s="135"/>
      <c r="N199" s="135"/>
      <c r="O199" s="135"/>
      <c r="P199" s="135"/>
      <c r="Q199" s="135"/>
      <c r="R199" s="135"/>
      <c r="S199" s="135"/>
    </row>
    <row r="200" customFormat="false" ht="15.75" hidden="false" customHeight="true" outlineLevel="0" collapsed="false">
      <c r="A200" s="135"/>
      <c r="B200" s="135"/>
      <c r="C200" s="135"/>
      <c r="D200" s="182"/>
      <c r="E200" s="135"/>
      <c r="F200" s="135"/>
      <c r="G200" s="135"/>
      <c r="H200" s="135"/>
      <c r="I200" s="135"/>
      <c r="J200" s="135"/>
      <c r="K200" s="135"/>
      <c r="L200" s="189"/>
      <c r="M200" s="135"/>
      <c r="N200" s="135"/>
      <c r="O200" s="135"/>
      <c r="P200" s="135"/>
      <c r="Q200" s="135"/>
      <c r="R200" s="135"/>
      <c r="S200" s="135"/>
    </row>
    <row r="201" customFormat="false" ht="15.75" hidden="false" customHeight="true" outlineLevel="0" collapsed="false">
      <c r="A201" s="135"/>
      <c r="B201" s="135"/>
      <c r="C201" s="135"/>
      <c r="D201" s="182"/>
      <c r="E201" s="135"/>
      <c r="F201" s="135"/>
      <c r="G201" s="135"/>
      <c r="H201" s="135"/>
      <c r="I201" s="135"/>
      <c r="J201" s="135"/>
      <c r="K201" s="135"/>
      <c r="L201" s="189"/>
      <c r="M201" s="135"/>
      <c r="N201" s="135"/>
      <c r="O201" s="135"/>
      <c r="P201" s="135"/>
      <c r="Q201" s="135"/>
      <c r="R201" s="135"/>
      <c r="S201" s="135"/>
    </row>
    <row r="202" customFormat="false" ht="15.75" hidden="false" customHeight="true" outlineLevel="0" collapsed="false">
      <c r="A202" s="135"/>
      <c r="B202" s="135"/>
      <c r="C202" s="135"/>
      <c r="D202" s="182"/>
      <c r="E202" s="135"/>
      <c r="F202" s="135"/>
      <c r="G202" s="135"/>
      <c r="H202" s="135"/>
      <c r="I202" s="135"/>
      <c r="J202" s="135"/>
      <c r="K202" s="135"/>
      <c r="L202" s="189"/>
      <c r="M202" s="135"/>
      <c r="N202" s="135"/>
      <c r="O202" s="135"/>
      <c r="P202" s="135"/>
      <c r="Q202" s="135"/>
      <c r="R202" s="135"/>
      <c r="S202" s="135"/>
    </row>
    <row r="203" customFormat="false" ht="15.75" hidden="false" customHeight="true" outlineLevel="0" collapsed="false">
      <c r="A203" s="135"/>
      <c r="B203" s="135"/>
      <c r="C203" s="135"/>
      <c r="D203" s="182"/>
      <c r="E203" s="135"/>
      <c r="F203" s="135"/>
      <c r="G203" s="135"/>
      <c r="H203" s="135"/>
      <c r="I203" s="135"/>
      <c r="J203" s="135"/>
      <c r="K203" s="135"/>
      <c r="L203" s="189"/>
      <c r="M203" s="135"/>
      <c r="N203" s="135"/>
      <c r="O203" s="135"/>
      <c r="P203" s="135"/>
      <c r="Q203" s="135"/>
      <c r="R203" s="135"/>
      <c r="S203" s="135"/>
    </row>
    <row r="204" customFormat="false" ht="15.75" hidden="false" customHeight="true" outlineLevel="0" collapsed="false">
      <c r="A204" s="135"/>
      <c r="B204" s="135"/>
      <c r="C204" s="135"/>
      <c r="D204" s="182"/>
      <c r="E204" s="135"/>
      <c r="F204" s="135"/>
      <c r="G204" s="135"/>
      <c r="H204" s="135"/>
      <c r="I204" s="135"/>
      <c r="J204" s="135"/>
      <c r="K204" s="135"/>
      <c r="L204" s="189"/>
      <c r="M204" s="135"/>
      <c r="N204" s="135"/>
      <c r="O204" s="135"/>
      <c r="P204" s="135"/>
      <c r="Q204" s="135"/>
      <c r="R204" s="135"/>
      <c r="S204" s="135"/>
    </row>
    <row r="205" customFormat="false" ht="15.75" hidden="false" customHeight="true" outlineLevel="0" collapsed="false">
      <c r="A205" s="135"/>
      <c r="B205" s="135"/>
      <c r="C205" s="135"/>
      <c r="D205" s="182"/>
      <c r="E205" s="135"/>
      <c r="F205" s="135"/>
      <c r="G205" s="135"/>
      <c r="H205" s="135"/>
      <c r="I205" s="135"/>
      <c r="J205" s="135"/>
      <c r="K205" s="135"/>
      <c r="L205" s="189"/>
      <c r="M205" s="135"/>
      <c r="N205" s="135"/>
      <c r="O205" s="135"/>
      <c r="P205" s="135"/>
      <c r="Q205" s="135"/>
      <c r="R205" s="135"/>
      <c r="S205" s="135"/>
    </row>
    <row r="206" customFormat="false" ht="15.75" hidden="false" customHeight="true" outlineLevel="0" collapsed="false">
      <c r="A206" s="135"/>
      <c r="B206" s="135"/>
      <c r="C206" s="135"/>
      <c r="D206" s="182"/>
      <c r="E206" s="135"/>
      <c r="F206" s="135"/>
      <c r="G206" s="135"/>
      <c r="H206" s="135"/>
      <c r="I206" s="135"/>
      <c r="J206" s="135"/>
      <c r="K206" s="135"/>
      <c r="L206" s="189"/>
      <c r="M206" s="135"/>
      <c r="N206" s="135"/>
      <c r="O206" s="135"/>
      <c r="P206" s="135"/>
      <c r="Q206" s="135"/>
      <c r="R206" s="135"/>
      <c r="S206" s="135"/>
    </row>
    <row r="207" customFormat="false" ht="15.75" hidden="false" customHeight="true" outlineLevel="0" collapsed="false">
      <c r="A207" s="135"/>
      <c r="B207" s="135"/>
      <c r="C207" s="135"/>
      <c r="D207" s="182"/>
      <c r="E207" s="135"/>
      <c r="F207" s="135"/>
      <c r="G207" s="135"/>
      <c r="H207" s="135"/>
      <c r="I207" s="135"/>
      <c r="J207" s="135"/>
      <c r="K207" s="135"/>
      <c r="L207" s="189"/>
      <c r="M207" s="135"/>
      <c r="N207" s="135"/>
      <c r="O207" s="135"/>
      <c r="P207" s="135"/>
      <c r="Q207" s="135"/>
      <c r="R207" s="135"/>
      <c r="S207" s="135"/>
    </row>
    <row r="208" customFormat="false" ht="15.75" hidden="false" customHeight="true" outlineLevel="0" collapsed="false">
      <c r="A208" s="135"/>
      <c r="B208" s="135"/>
      <c r="C208" s="135"/>
      <c r="D208" s="182"/>
      <c r="E208" s="135"/>
      <c r="F208" s="135"/>
      <c r="G208" s="135"/>
      <c r="H208" s="135"/>
      <c r="I208" s="135"/>
      <c r="J208" s="135"/>
      <c r="K208" s="135"/>
      <c r="L208" s="189"/>
      <c r="M208" s="135"/>
      <c r="N208" s="135"/>
      <c r="O208" s="135"/>
      <c r="P208" s="135"/>
      <c r="Q208" s="135"/>
      <c r="R208" s="135"/>
      <c r="S208" s="135"/>
    </row>
    <row r="209" customFormat="false" ht="15.75" hidden="false" customHeight="true" outlineLevel="0" collapsed="false">
      <c r="A209" s="135"/>
      <c r="B209" s="135"/>
      <c r="C209" s="135"/>
      <c r="D209" s="182"/>
      <c r="E209" s="135"/>
      <c r="F209" s="135"/>
      <c r="G209" s="135"/>
      <c r="H209" s="135"/>
      <c r="I209" s="135"/>
      <c r="J209" s="135"/>
      <c r="K209" s="135"/>
      <c r="L209" s="189"/>
      <c r="M209" s="135"/>
      <c r="N209" s="135"/>
      <c r="O209" s="135"/>
      <c r="P209" s="135"/>
      <c r="Q209" s="135"/>
      <c r="R209" s="135"/>
      <c r="S209" s="135"/>
    </row>
    <row r="210" customFormat="false" ht="15.75" hidden="false" customHeight="true" outlineLevel="0" collapsed="false">
      <c r="A210" s="135"/>
      <c r="B210" s="135"/>
      <c r="C210" s="135"/>
      <c r="D210" s="182"/>
      <c r="E210" s="135"/>
      <c r="F210" s="135"/>
      <c r="G210" s="135"/>
      <c r="H210" s="135"/>
      <c r="I210" s="135"/>
      <c r="J210" s="135"/>
      <c r="K210" s="135"/>
      <c r="L210" s="189"/>
      <c r="M210" s="135"/>
      <c r="N210" s="135"/>
      <c r="O210" s="135"/>
      <c r="P210" s="135"/>
      <c r="Q210" s="135"/>
      <c r="R210" s="135"/>
      <c r="S210" s="135"/>
    </row>
    <row r="211" customFormat="false" ht="15.75" hidden="false" customHeight="true" outlineLevel="0" collapsed="false">
      <c r="A211" s="135"/>
      <c r="B211" s="135"/>
      <c r="C211" s="135"/>
      <c r="D211" s="182"/>
      <c r="E211" s="135"/>
      <c r="F211" s="135"/>
      <c r="G211" s="135"/>
      <c r="H211" s="135"/>
      <c r="I211" s="135"/>
      <c r="J211" s="135"/>
      <c r="K211" s="135"/>
      <c r="L211" s="189"/>
      <c r="M211" s="135"/>
      <c r="N211" s="135"/>
      <c r="O211" s="135"/>
      <c r="P211" s="135"/>
      <c r="Q211" s="135"/>
      <c r="R211" s="135"/>
      <c r="S211" s="135"/>
    </row>
    <row r="212" customFormat="false" ht="15.75" hidden="false" customHeight="true" outlineLevel="0" collapsed="false">
      <c r="A212" s="135"/>
      <c r="B212" s="135"/>
      <c r="C212" s="135"/>
      <c r="D212" s="182"/>
      <c r="E212" s="135"/>
      <c r="F212" s="135"/>
      <c r="G212" s="135"/>
      <c r="H212" s="135"/>
      <c r="I212" s="135"/>
      <c r="J212" s="135"/>
      <c r="K212" s="135"/>
      <c r="L212" s="189"/>
      <c r="M212" s="135"/>
      <c r="N212" s="135"/>
      <c r="O212" s="135"/>
      <c r="P212" s="135"/>
      <c r="Q212" s="135"/>
      <c r="R212" s="135"/>
      <c r="S212" s="135"/>
    </row>
    <row r="213" customFormat="false" ht="15.75" hidden="false" customHeight="true" outlineLevel="0" collapsed="false">
      <c r="A213" s="135"/>
      <c r="B213" s="135"/>
      <c r="C213" s="135"/>
      <c r="D213" s="182"/>
      <c r="E213" s="135"/>
      <c r="F213" s="135"/>
      <c r="G213" s="135"/>
      <c r="H213" s="135"/>
      <c r="I213" s="135"/>
      <c r="J213" s="135"/>
      <c r="K213" s="135"/>
      <c r="L213" s="189"/>
      <c r="M213" s="135"/>
      <c r="N213" s="135"/>
      <c r="O213" s="135"/>
      <c r="P213" s="135"/>
      <c r="Q213" s="135"/>
      <c r="R213" s="135"/>
      <c r="S213" s="135"/>
    </row>
    <row r="214" customFormat="false" ht="15.75" hidden="false" customHeight="true" outlineLevel="0" collapsed="false">
      <c r="A214" s="135"/>
      <c r="B214" s="135"/>
      <c r="C214" s="135"/>
      <c r="D214" s="182"/>
      <c r="E214" s="135"/>
      <c r="F214" s="135"/>
      <c r="G214" s="135"/>
      <c r="H214" s="135"/>
      <c r="I214" s="135"/>
      <c r="J214" s="135"/>
      <c r="K214" s="135"/>
      <c r="L214" s="189"/>
      <c r="M214" s="135"/>
      <c r="N214" s="135"/>
      <c r="O214" s="135"/>
      <c r="P214" s="135"/>
      <c r="Q214" s="135"/>
      <c r="R214" s="135"/>
      <c r="S214" s="135"/>
    </row>
    <row r="215" customFormat="false" ht="15.75" hidden="false" customHeight="true" outlineLevel="0" collapsed="false">
      <c r="A215" s="135"/>
      <c r="B215" s="135"/>
      <c r="C215" s="135"/>
      <c r="D215" s="182"/>
      <c r="E215" s="135"/>
      <c r="F215" s="135"/>
      <c r="G215" s="135"/>
      <c r="H215" s="135"/>
      <c r="I215" s="135"/>
      <c r="J215" s="135"/>
      <c r="K215" s="135"/>
      <c r="L215" s="189"/>
      <c r="M215" s="135"/>
      <c r="N215" s="135"/>
      <c r="O215" s="135"/>
      <c r="P215" s="135"/>
      <c r="Q215" s="135"/>
      <c r="R215" s="135"/>
      <c r="S215" s="135"/>
    </row>
    <row r="216" customFormat="false" ht="15.75" hidden="false" customHeight="true" outlineLevel="0" collapsed="false">
      <c r="A216" s="135"/>
      <c r="B216" s="135"/>
      <c r="C216" s="135"/>
      <c r="D216" s="182"/>
      <c r="E216" s="135"/>
      <c r="F216" s="135"/>
      <c r="G216" s="135"/>
      <c r="H216" s="135"/>
      <c r="I216" s="135"/>
      <c r="J216" s="135"/>
      <c r="K216" s="135"/>
      <c r="L216" s="189"/>
      <c r="M216" s="135"/>
      <c r="N216" s="135"/>
      <c r="O216" s="135"/>
      <c r="P216" s="135"/>
      <c r="Q216" s="135"/>
      <c r="R216" s="135"/>
      <c r="S216" s="135"/>
    </row>
    <row r="217" customFormat="false" ht="15.75" hidden="false" customHeight="true" outlineLevel="0" collapsed="false">
      <c r="A217" s="135"/>
      <c r="B217" s="135"/>
      <c r="C217" s="135"/>
      <c r="D217" s="182"/>
      <c r="E217" s="135"/>
      <c r="F217" s="135"/>
      <c r="G217" s="135"/>
      <c r="H217" s="135"/>
      <c r="I217" s="135"/>
      <c r="J217" s="135"/>
      <c r="K217" s="135"/>
      <c r="L217" s="189"/>
      <c r="M217" s="135"/>
      <c r="N217" s="135"/>
      <c r="O217" s="135"/>
      <c r="P217" s="135"/>
      <c r="Q217" s="135"/>
      <c r="R217" s="135"/>
      <c r="S217" s="135"/>
    </row>
    <row r="218" customFormat="false" ht="15.75" hidden="false" customHeight="true" outlineLevel="0" collapsed="false">
      <c r="A218" s="135"/>
      <c r="B218" s="135"/>
      <c r="C218" s="135"/>
      <c r="D218" s="182"/>
      <c r="E218" s="135"/>
      <c r="F218" s="135"/>
      <c r="G218" s="135"/>
      <c r="H218" s="135"/>
      <c r="I218" s="135"/>
      <c r="J218" s="135"/>
      <c r="K218" s="135"/>
      <c r="L218" s="189"/>
      <c r="M218" s="135"/>
      <c r="N218" s="135"/>
      <c r="O218" s="135"/>
      <c r="P218" s="135"/>
      <c r="Q218" s="135"/>
      <c r="R218" s="135"/>
      <c r="S218" s="135"/>
    </row>
    <row r="219" customFormat="false" ht="15.75" hidden="false" customHeight="true" outlineLevel="0" collapsed="false">
      <c r="A219" s="135"/>
      <c r="B219" s="135"/>
      <c r="C219" s="135"/>
      <c r="D219" s="182"/>
      <c r="E219" s="135"/>
      <c r="F219" s="135"/>
      <c r="G219" s="135"/>
      <c r="H219" s="135"/>
      <c r="I219" s="135"/>
      <c r="J219" s="135"/>
      <c r="K219" s="135"/>
      <c r="L219" s="189"/>
      <c r="M219" s="135"/>
      <c r="N219" s="135"/>
      <c r="O219" s="135"/>
      <c r="P219" s="135"/>
      <c r="Q219" s="135"/>
      <c r="R219" s="135"/>
      <c r="S219" s="135"/>
    </row>
    <row r="220" customFormat="false" ht="15.75" hidden="false" customHeight="true" outlineLevel="0" collapsed="false">
      <c r="A220" s="135"/>
      <c r="B220" s="135"/>
      <c r="C220" s="135"/>
      <c r="D220" s="182"/>
      <c r="E220" s="135"/>
      <c r="F220" s="135"/>
      <c r="G220" s="135"/>
      <c r="H220" s="135"/>
      <c r="I220" s="135"/>
      <c r="J220" s="135"/>
      <c r="K220" s="135"/>
      <c r="L220" s="189"/>
      <c r="M220" s="135"/>
      <c r="N220" s="135"/>
      <c r="O220" s="135"/>
      <c r="P220" s="135"/>
      <c r="Q220" s="135"/>
      <c r="R220" s="135"/>
      <c r="S220" s="135"/>
    </row>
    <row r="221" customFormat="false" ht="15.75" hidden="false" customHeight="true" outlineLevel="0" collapsed="false">
      <c r="A221" s="135"/>
      <c r="B221" s="135"/>
      <c r="C221" s="135"/>
      <c r="D221" s="182"/>
      <c r="E221" s="135"/>
      <c r="F221" s="135"/>
      <c r="G221" s="135"/>
      <c r="H221" s="135"/>
      <c r="I221" s="135"/>
      <c r="J221" s="135"/>
      <c r="K221" s="135"/>
      <c r="L221" s="189"/>
      <c r="M221" s="135"/>
      <c r="N221" s="135"/>
      <c r="O221" s="135"/>
      <c r="P221" s="135"/>
      <c r="Q221" s="135"/>
      <c r="R221" s="135"/>
      <c r="S221" s="135"/>
    </row>
    <row r="222" customFormat="false" ht="15.75" hidden="false" customHeight="true" outlineLevel="0" collapsed="false">
      <c r="A222" s="135"/>
      <c r="B222" s="135"/>
      <c r="C222" s="135"/>
      <c r="D222" s="182"/>
      <c r="E222" s="135"/>
      <c r="F222" s="135"/>
      <c r="G222" s="135"/>
      <c r="H222" s="135"/>
      <c r="I222" s="135"/>
      <c r="J222" s="135"/>
      <c r="K222" s="135"/>
      <c r="L222" s="189"/>
      <c r="M222" s="135"/>
      <c r="N222" s="135"/>
      <c r="O222" s="135"/>
      <c r="P222" s="135"/>
      <c r="Q222" s="135"/>
      <c r="R222" s="135"/>
      <c r="S222" s="135"/>
    </row>
    <row r="223" customFormat="false" ht="15.75" hidden="false" customHeight="true" outlineLevel="0" collapsed="false">
      <c r="A223" s="135"/>
      <c r="B223" s="135"/>
      <c r="C223" s="135"/>
      <c r="D223" s="182"/>
      <c r="E223" s="135"/>
      <c r="F223" s="135"/>
      <c r="G223" s="135"/>
      <c r="H223" s="135"/>
      <c r="I223" s="135"/>
      <c r="J223" s="135"/>
      <c r="K223" s="135"/>
      <c r="L223" s="189"/>
      <c r="M223" s="135"/>
      <c r="N223" s="135"/>
      <c r="O223" s="135"/>
      <c r="P223" s="135"/>
      <c r="Q223" s="135"/>
      <c r="R223" s="135"/>
      <c r="S223" s="135"/>
    </row>
    <row r="224" customFormat="false" ht="15.75" hidden="false" customHeight="true" outlineLevel="0" collapsed="false">
      <c r="A224" s="135"/>
      <c r="B224" s="135"/>
      <c r="C224" s="135"/>
      <c r="D224" s="182"/>
      <c r="E224" s="135"/>
      <c r="F224" s="135"/>
      <c r="G224" s="135"/>
      <c r="H224" s="135"/>
      <c r="I224" s="135"/>
      <c r="J224" s="135"/>
      <c r="K224" s="135"/>
      <c r="L224" s="189"/>
      <c r="M224" s="135"/>
      <c r="N224" s="135"/>
      <c r="O224" s="135"/>
      <c r="P224" s="135"/>
      <c r="Q224" s="135"/>
      <c r="R224" s="135"/>
      <c r="S224" s="135"/>
    </row>
    <row r="225" customFormat="false" ht="15.75" hidden="false" customHeight="true" outlineLevel="0" collapsed="false">
      <c r="A225" s="135"/>
      <c r="B225" s="135"/>
      <c r="C225" s="135"/>
      <c r="D225" s="182"/>
      <c r="E225" s="135"/>
      <c r="F225" s="135"/>
      <c r="G225" s="135"/>
      <c r="H225" s="135"/>
      <c r="I225" s="135"/>
      <c r="J225" s="135"/>
      <c r="K225" s="135"/>
      <c r="L225" s="189"/>
      <c r="M225" s="135"/>
      <c r="N225" s="135"/>
      <c r="O225" s="135"/>
      <c r="P225" s="135"/>
      <c r="Q225" s="135"/>
      <c r="R225" s="135"/>
      <c r="S225" s="135"/>
    </row>
    <row r="226" customFormat="false" ht="15.75" hidden="false" customHeight="true" outlineLevel="0" collapsed="false">
      <c r="A226" s="135"/>
      <c r="B226" s="135"/>
      <c r="C226" s="135"/>
      <c r="D226" s="182"/>
      <c r="E226" s="135"/>
      <c r="F226" s="135"/>
      <c r="G226" s="135"/>
      <c r="H226" s="135"/>
      <c r="I226" s="135"/>
      <c r="J226" s="135"/>
      <c r="K226" s="135"/>
      <c r="L226" s="189"/>
      <c r="M226" s="135"/>
      <c r="N226" s="135"/>
      <c r="O226" s="135"/>
      <c r="P226" s="135"/>
      <c r="Q226" s="135"/>
      <c r="R226" s="135"/>
      <c r="S226" s="135"/>
    </row>
    <row r="227" customFormat="false" ht="15.75" hidden="false" customHeight="true" outlineLevel="0" collapsed="false">
      <c r="A227" s="135"/>
      <c r="B227" s="135"/>
      <c r="C227" s="135"/>
      <c r="D227" s="182"/>
      <c r="E227" s="135"/>
      <c r="F227" s="135"/>
      <c r="G227" s="135"/>
      <c r="H227" s="135"/>
      <c r="I227" s="135"/>
      <c r="J227" s="135"/>
      <c r="K227" s="135"/>
      <c r="L227" s="189"/>
      <c r="M227" s="135"/>
      <c r="N227" s="135"/>
      <c r="O227" s="135"/>
      <c r="P227" s="135"/>
      <c r="Q227" s="135"/>
      <c r="R227" s="135"/>
      <c r="S227" s="135"/>
    </row>
    <row r="228" customFormat="false" ht="15.75" hidden="false" customHeight="true" outlineLevel="0" collapsed="false">
      <c r="A228" s="135"/>
      <c r="B228" s="135"/>
      <c r="C228" s="135"/>
      <c r="D228" s="182"/>
      <c r="E228" s="135"/>
      <c r="F228" s="135"/>
      <c r="G228" s="135"/>
      <c r="H228" s="135"/>
      <c r="I228" s="135"/>
      <c r="J228" s="135"/>
      <c r="K228" s="135"/>
      <c r="L228" s="189"/>
      <c r="M228" s="135"/>
      <c r="N228" s="135"/>
      <c r="O228" s="135"/>
      <c r="P228" s="135"/>
      <c r="Q228" s="135"/>
      <c r="R228" s="135"/>
      <c r="S228" s="135"/>
    </row>
    <row r="229" customFormat="false" ht="15.75" hidden="false" customHeight="true" outlineLevel="0" collapsed="false">
      <c r="A229" s="135"/>
      <c r="B229" s="135"/>
      <c r="C229" s="135"/>
      <c r="D229" s="182"/>
      <c r="E229" s="135"/>
      <c r="F229" s="135"/>
      <c r="G229" s="135"/>
      <c r="H229" s="135"/>
      <c r="I229" s="135"/>
      <c r="J229" s="135"/>
      <c r="K229" s="135"/>
      <c r="L229" s="189"/>
      <c r="M229" s="135"/>
      <c r="N229" s="135"/>
      <c r="O229" s="135"/>
      <c r="P229" s="135"/>
      <c r="Q229" s="135"/>
      <c r="R229" s="135"/>
      <c r="S229" s="135"/>
    </row>
    <row r="230" customFormat="false" ht="15.75" hidden="false" customHeight="true" outlineLevel="0" collapsed="false">
      <c r="A230" s="135"/>
      <c r="B230" s="135"/>
      <c r="C230" s="135"/>
      <c r="D230" s="182"/>
      <c r="E230" s="135"/>
      <c r="F230" s="135"/>
      <c r="G230" s="135"/>
      <c r="H230" s="135"/>
      <c r="I230" s="135"/>
      <c r="J230" s="135"/>
      <c r="K230" s="135"/>
      <c r="L230" s="189"/>
      <c r="M230" s="135"/>
      <c r="N230" s="135"/>
      <c r="O230" s="135"/>
      <c r="P230" s="135"/>
      <c r="Q230" s="135"/>
      <c r="R230" s="135"/>
      <c r="S230" s="135"/>
    </row>
    <row r="231" customFormat="false" ht="15.75" hidden="false" customHeight="true" outlineLevel="0" collapsed="false">
      <c r="A231" s="135"/>
      <c r="B231" s="135"/>
      <c r="C231" s="135"/>
      <c r="D231" s="182"/>
      <c r="E231" s="135"/>
      <c r="F231" s="135"/>
      <c r="G231" s="135"/>
      <c r="H231" s="135"/>
      <c r="I231" s="135"/>
      <c r="J231" s="135"/>
      <c r="K231" s="135"/>
      <c r="L231" s="189"/>
      <c r="M231" s="135"/>
      <c r="N231" s="135"/>
      <c r="O231" s="135"/>
      <c r="P231" s="135"/>
      <c r="Q231" s="135"/>
      <c r="R231" s="135"/>
      <c r="S231" s="135"/>
    </row>
    <row r="232" customFormat="false" ht="15.75" hidden="false" customHeight="true" outlineLevel="0" collapsed="false">
      <c r="A232" s="135"/>
      <c r="B232" s="135"/>
      <c r="C232" s="135"/>
      <c r="D232" s="182"/>
      <c r="E232" s="135"/>
      <c r="F232" s="135"/>
      <c r="G232" s="135"/>
      <c r="H232" s="135"/>
      <c r="I232" s="135"/>
      <c r="J232" s="135"/>
      <c r="K232" s="135"/>
      <c r="L232" s="189"/>
      <c r="M232" s="135"/>
      <c r="N232" s="135"/>
      <c r="O232" s="135"/>
      <c r="P232" s="135"/>
      <c r="Q232" s="135"/>
      <c r="R232" s="135"/>
      <c r="S232" s="135"/>
    </row>
    <row r="233" customFormat="false" ht="15.75" hidden="false" customHeight="true" outlineLevel="0" collapsed="false">
      <c r="A233" s="135"/>
      <c r="B233" s="135"/>
      <c r="C233" s="135"/>
      <c r="D233" s="182"/>
      <c r="E233" s="135"/>
      <c r="F233" s="135"/>
      <c r="G233" s="135"/>
      <c r="H233" s="135"/>
      <c r="I233" s="135"/>
      <c r="J233" s="135"/>
      <c r="K233" s="135"/>
      <c r="L233" s="189"/>
      <c r="M233" s="135"/>
      <c r="N233" s="135"/>
      <c r="O233" s="135"/>
      <c r="P233" s="135"/>
      <c r="Q233" s="135"/>
      <c r="R233" s="135"/>
      <c r="S233" s="135"/>
    </row>
    <row r="234" customFormat="false" ht="15.75" hidden="false" customHeight="true" outlineLevel="0" collapsed="false">
      <c r="A234" s="135"/>
      <c r="B234" s="135"/>
      <c r="C234" s="135"/>
      <c r="D234" s="182"/>
      <c r="E234" s="135"/>
      <c r="F234" s="135"/>
      <c r="G234" s="135"/>
      <c r="H234" s="135"/>
      <c r="I234" s="135"/>
      <c r="J234" s="135"/>
      <c r="K234" s="135"/>
      <c r="L234" s="189"/>
      <c r="M234" s="135"/>
      <c r="N234" s="135"/>
      <c r="O234" s="135"/>
      <c r="P234" s="135"/>
      <c r="Q234" s="135"/>
      <c r="R234" s="135"/>
      <c r="S234" s="135"/>
    </row>
    <row r="235" customFormat="false" ht="15.75" hidden="false" customHeight="true" outlineLevel="0" collapsed="false">
      <c r="A235" s="135"/>
      <c r="B235" s="135"/>
      <c r="C235" s="135"/>
      <c r="D235" s="182"/>
      <c r="E235" s="135"/>
      <c r="F235" s="135"/>
      <c r="G235" s="135"/>
      <c r="H235" s="135"/>
      <c r="I235" s="135"/>
      <c r="J235" s="135"/>
      <c r="K235" s="135"/>
      <c r="L235" s="189"/>
      <c r="M235" s="135"/>
      <c r="N235" s="135"/>
      <c r="O235" s="135"/>
      <c r="P235" s="135"/>
      <c r="Q235" s="135"/>
      <c r="R235" s="135"/>
      <c r="S235" s="135"/>
    </row>
    <row r="236" customFormat="false" ht="15.75" hidden="false" customHeight="true" outlineLevel="0" collapsed="false">
      <c r="A236" s="135"/>
      <c r="B236" s="135"/>
      <c r="C236" s="135"/>
      <c r="D236" s="182"/>
      <c r="E236" s="135"/>
      <c r="F236" s="135"/>
      <c r="G236" s="135"/>
      <c r="H236" s="135"/>
      <c r="I236" s="135"/>
      <c r="J236" s="135"/>
      <c r="K236" s="135"/>
      <c r="L236" s="189"/>
      <c r="M236" s="135"/>
      <c r="N236" s="135"/>
      <c r="O236" s="135"/>
      <c r="P236" s="135"/>
      <c r="Q236" s="135"/>
      <c r="R236" s="135"/>
      <c r="S236" s="135"/>
    </row>
    <row r="237" customFormat="false" ht="15.75" hidden="false" customHeight="true" outlineLevel="0" collapsed="false">
      <c r="A237" s="135"/>
      <c r="B237" s="135"/>
      <c r="C237" s="135"/>
      <c r="D237" s="182"/>
      <c r="E237" s="135"/>
      <c r="F237" s="135"/>
      <c r="G237" s="135"/>
      <c r="H237" s="135"/>
      <c r="I237" s="135"/>
      <c r="J237" s="135"/>
      <c r="K237" s="135"/>
      <c r="L237" s="189"/>
      <c r="M237" s="135"/>
      <c r="N237" s="135"/>
      <c r="O237" s="135"/>
      <c r="P237" s="135"/>
      <c r="Q237" s="135"/>
      <c r="R237" s="135"/>
      <c r="S237" s="135"/>
    </row>
    <row r="238" customFormat="false" ht="15.75" hidden="false" customHeight="true" outlineLevel="0" collapsed="false">
      <c r="A238" s="135"/>
      <c r="B238" s="135"/>
      <c r="C238" s="135"/>
      <c r="D238" s="182"/>
      <c r="E238" s="135"/>
      <c r="F238" s="135"/>
      <c r="G238" s="135"/>
      <c r="H238" s="135"/>
      <c r="I238" s="135"/>
      <c r="J238" s="135"/>
      <c r="K238" s="135"/>
      <c r="L238" s="189"/>
      <c r="M238" s="135"/>
      <c r="N238" s="135"/>
      <c r="O238" s="135"/>
      <c r="P238" s="135"/>
      <c r="Q238" s="135"/>
      <c r="R238" s="135"/>
      <c r="S238" s="135"/>
    </row>
    <row r="239" customFormat="false" ht="15.75" hidden="false" customHeight="true" outlineLevel="0" collapsed="false">
      <c r="A239" s="135"/>
      <c r="B239" s="135"/>
      <c r="C239" s="135"/>
      <c r="D239" s="182"/>
      <c r="E239" s="135"/>
      <c r="F239" s="135"/>
      <c r="G239" s="135"/>
      <c r="H239" s="135"/>
      <c r="I239" s="135"/>
      <c r="J239" s="135"/>
      <c r="K239" s="135"/>
      <c r="L239" s="189"/>
      <c r="M239" s="135"/>
      <c r="N239" s="135"/>
      <c r="O239" s="135"/>
      <c r="P239" s="135"/>
      <c r="Q239" s="135"/>
      <c r="R239" s="135"/>
      <c r="S239" s="135"/>
    </row>
    <row r="240" customFormat="false" ht="15.75" hidden="false" customHeight="true" outlineLevel="0" collapsed="false">
      <c r="A240" s="135"/>
      <c r="B240" s="135"/>
      <c r="C240" s="135"/>
      <c r="D240" s="182"/>
      <c r="E240" s="135"/>
      <c r="F240" s="135"/>
      <c r="G240" s="135"/>
      <c r="H240" s="135"/>
      <c r="I240" s="135"/>
      <c r="J240" s="135"/>
      <c r="K240" s="135"/>
      <c r="L240" s="189"/>
      <c r="M240" s="135"/>
      <c r="N240" s="135"/>
      <c r="O240" s="135"/>
      <c r="P240" s="135"/>
      <c r="Q240" s="135"/>
      <c r="R240" s="135"/>
      <c r="S240" s="135"/>
    </row>
    <row r="241" customFormat="false" ht="15.75" hidden="false" customHeight="true" outlineLevel="0" collapsed="false">
      <c r="A241" s="135"/>
      <c r="B241" s="135"/>
      <c r="C241" s="135"/>
      <c r="D241" s="182"/>
      <c r="E241" s="135"/>
      <c r="F241" s="135"/>
      <c r="G241" s="135"/>
      <c r="H241" s="135"/>
      <c r="I241" s="135"/>
      <c r="J241" s="135"/>
      <c r="K241" s="135"/>
      <c r="L241" s="189"/>
      <c r="M241" s="135"/>
      <c r="N241" s="135"/>
      <c r="O241" s="135"/>
      <c r="P241" s="135"/>
      <c r="Q241" s="135"/>
      <c r="R241" s="135"/>
      <c r="S241" s="135"/>
    </row>
    <row r="242" customFormat="false" ht="15.75" hidden="false" customHeight="true" outlineLevel="0" collapsed="false">
      <c r="A242" s="135"/>
      <c r="B242" s="135"/>
      <c r="C242" s="135"/>
      <c r="D242" s="182"/>
      <c r="E242" s="135"/>
      <c r="F242" s="135"/>
      <c r="G242" s="135"/>
      <c r="H242" s="135"/>
      <c r="I242" s="135"/>
      <c r="J242" s="135"/>
      <c r="K242" s="135"/>
      <c r="L242" s="189"/>
      <c r="M242" s="135"/>
      <c r="N242" s="135"/>
      <c r="O242" s="135"/>
      <c r="P242" s="135"/>
      <c r="Q242" s="135"/>
      <c r="R242" s="135"/>
      <c r="S242" s="135"/>
    </row>
    <row r="243" customFormat="false" ht="15.75" hidden="false" customHeight="true" outlineLevel="0" collapsed="false">
      <c r="A243" s="135"/>
      <c r="B243" s="135"/>
      <c r="C243" s="135"/>
      <c r="D243" s="182"/>
      <c r="E243" s="135"/>
      <c r="F243" s="135"/>
      <c r="G243" s="135"/>
      <c r="H243" s="135"/>
      <c r="I243" s="135"/>
      <c r="J243" s="135"/>
      <c r="K243" s="135"/>
      <c r="L243" s="189"/>
      <c r="M243" s="135"/>
      <c r="N243" s="135"/>
      <c r="O243" s="135"/>
      <c r="P243" s="135"/>
      <c r="Q243" s="135"/>
      <c r="R243" s="135"/>
      <c r="S243" s="135"/>
    </row>
    <row r="244" customFormat="false" ht="15.75" hidden="false" customHeight="true" outlineLevel="0" collapsed="false">
      <c r="A244" s="135"/>
      <c r="B244" s="135"/>
      <c r="C244" s="135"/>
      <c r="D244" s="182"/>
      <c r="E244" s="135"/>
      <c r="F244" s="135"/>
      <c r="G244" s="135"/>
      <c r="H244" s="135"/>
      <c r="I244" s="135"/>
      <c r="J244" s="135"/>
      <c r="K244" s="135"/>
      <c r="L244" s="189"/>
      <c r="M244" s="135"/>
      <c r="N244" s="135"/>
      <c r="O244" s="135"/>
      <c r="P244" s="135"/>
      <c r="Q244" s="135"/>
      <c r="R244" s="135"/>
      <c r="S244" s="135"/>
    </row>
    <row r="245" customFormat="false" ht="15.75" hidden="false" customHeight="true" outlineLevel="0" collapsed="false">
      <c r="A245" s="135"/>
      <c r="B245" s="135"/>
      <c r="C245" s="135"/>
      <c r="D245" s="182"/>
      <c r="E245" s="135"/>
      <c r="F245" s="135"/>
      <c r="G245" s="135"/>
      <c r="H245" s="135"/>
      <c r="I245" s="135"/>
      <c r="J245" s="135"/>
      <c r="K245" s="135"/>
      <c r="L245" s="189"/>
      <c r="M245" s="135"/>
      <c r="N245" s="135"/>
      <c r="O245" s="135"/>
      <c r="P245" s="135"/>
      <c r="Q245" s="135"/>
      <c r="R245" s="135"/>
      <c r="S245" s="135"/>
    </row>
    <row r="246" customFormat="false" ht="15.75" hidden="false" customHeight="true" outlineLevel="0" collapsed="false">
      <c r="A246" s="135"/>
      <c r="B246" s="135"/>
      <c r="C246" s="135"/>
      <c r="D246" s="182"/>
      <c r="E246" s="135"/>
      <c r="F246" s="135"/>
      <c r="G246" s="135"/>
      <c r="H246" s="135"/>
      <c r="I246" s="135"/>
      <c r="J246" s="135"/>
      <c r="K246" s="135"/>
      <c r="L246" s="189"/>
      <c r="M246" s="135"/>
      <c r="N246" s="135"/>
      <c r="O246" s="135"/>
      <c r="P246" s="135"/>
      <c r="Q246" s="135"/>
      <c r="R246" s="135"/>
      <c r="S246" s="135"/>
    </row>
    <row r="247" customFormat="false" ht="15.75" hidden="false" customHeight="true" outlineLevel="0" collapsed="false">
      <c r="A247" s="135"/>
      <c r="B247" s="135"/>
      <c r="C247" s="135"/>
      <c r="D247" s="182"/>
      <c r="E247" s="135"/>
      <c r="F247" s="135"/>
      <c r="G247" s="135"/>
      <c r="H247" s="135"/>
      <c r="I247" s="135"/>
      <c r="J247" s="135"/>
      <c r="K247" s="135"/>
      <c r="L247" s="189"/>
      <c r="M247" s="135"/>
      <c r="N247" s="135"/>
      <c r="O247" s="135"/>
      <c r="P247" s="135"/>
      <c r="Q247" s="135"/>
      <c r="R247" s="135"/>
      <c r="S247" s="135"/>
    </row>
    <row r="248" customFormat="false" ht="15.75" hidden="false" customHeight="true" outlineLevel="0" collapsed="false">
      <c r="A248" s="135"/>
      <c r="B248" s="135"/>
      <c r="C248" s="135"/>
      <c r="D248" s="182"/>
      <c r="E248" s="135"/>
      <c r="F248" s="135"/>
      <c r="G248" s="135"/>
      <c r="H248" s="135"/>
      <c r="I248" s="135"/>
      <c r="J248" s="135"/>
      <c r="K248" s="135"/>
      <c r="L248" s="189"/>
      <c r="M248" s="135"/>
      <c r="N248" s="135"/>
      <c r="O248" s="135"/>
      <c r="P248" s="135"/>
      <c r="Q248" s="135"/>
      <c r="R248" s="135"/>
      <c r="S248" s="135"/>
    </row>
    <row r="249" customFormat="false" ht="15.75" hidden="false" customHeight="true" outlineLevel="0" collapsed="false">
      <c r="A249" s="135"/>
      <c r="B249" s="135"/>
      <c r="C249" s="135"/>
      <c r="D249" s="182"/>
      <c r="E249" s="135"/>
      <c r="F249" s="135"/>
      <c r="G249" s="135"/>
      <c r="H249" s="135"/>
      <c r="I249" s="135"/>
      <c r="J249" s="135"/>
      <c r="K249" s="135"/>
      <c r="L249" s="189"/>
      <c r="M249" s="135"/>
      <c r="N249" s="135"/>
      <c r="O249" s="135"/>
      <c r="P249" s="135"/>
      <c r="Q249" s="135"/>
      <c r="R249" s="135"/>
      <c r="S249" s="135"/>
    </row>
    <row r="250" customFormat="false" ht="15.75" hidden="false" customHeight="true" outlineLevel="0" collapsed="false">
      <c r="A250" s="135"/>
      <c r="B250" s="135"/>
      <c r="C250" s="135"/>
      <c r="D250" s="182"/>
      <c r="E250" s="135"/>
      <c r="F250" s="135"/>
      <c r="G250" s="135"/>
      <c r="H250" s="135"/>
      <c r="I250" s="135"/>
      <c r="J250" s="135"/>
      <c r="K250" s="135"/>
      <c r="L250" s="189"/>
      <c r="M250" s="135"/>
      <c r="N250" s="135"/>
      <c r="O250" s="135"/>
      <c r="P250" s="135"/>
      <c r="Q250" s="135"/>
      <c r="R250" s="135"/>
      <c r="S250" s="135"/>
    </row>
    <row r="251" customFormat="false" ht="15.75" hidden="false" customHeight="true" outlineLevel="0" collapsed="false">
      <c r="A251" s="135"/>
      <c r="B251" s="135"/>
      <c r="C251" s="135"/>
      <c r="D251" s="182"/>
      <c r="E251" s="135"/>
      <c r="F251" s="135"/>
      <c r="G251" s="135"/>
      <c r="H251" s="135"/>
      <c r="I251" s="135"/>
      <c r="J251" s="135"/>
      <c r="K251" s="135"/>
      <c r="L251" s="189"/>
      <c r="M251" s="135"/>
      <c r="N251" s="135"/>
      <c r="O251" s="135"/>
      <c r="P251" s="135"/>
      <c r="Q251" s="135"/>
      <c r="R251" s="135"/>
      <c r="S251" s="135"/>
    </row>
    <row r="252" customFormat="false" ht="15.75" hidden="false" customHeight="true" outlineLevel="0" collapsed="false">
      <c r="A252" s="135"/>
      <c r="B252" s="135"/>
      <c r="C252" s="135"/>
      <c r="D252" s="182"/>
      <c r="E252" s="135"/>
      <c r="F252" s="135"/>
      <c r="G252" s="135"/>
      <c r="H252" s="135"/>
      <c r="I252" s="135"/>
      <c r="J252" s="135"/>
      <c r="K252" s="135"/>
      <c r="L252" s="189"/>
      <c r="M252" s="135"/>
      <c r="N252" s="135"/>
      <c r="O252" s="135"/>
      <c r="P252" s="135"/>
      <c r="Q252" s="135"/>
      <c r="R252" s="135"/>
      <c r="S252" s="135"/>
    </row>
    <row r="253" customFormat="false" ht="15.75" hidden="false" customHeight="true" outlineLevel="0" collapsed="false">
      <c r="A253" s="135"/>
      <c r="B253" s="135"/>
      <c r="C253" s="135"/>
      <c r="D253" s="182"/>
      <c r="E253" s="135"/>
      <c r="F253" s="135"/>
      <c r="G253" s="135"/>
      <c r="H253" s="135"/>
      <c r="I253" s="135"/>
      <c r="J253" s="135"/>
      <c r="K253" s="135"/>
      <c r="L253" s="189"/>
      <c r="M253" s="135"/>
      <c r="N253" s="135"/>
      <c r="O253" s="135"/>
      <c r="P253" s="135"/>
      <c r="Q253" s="135"/>
      <c r="R253" s="135"/>
      <c r="S253" s="135"/>
    </row>
    <row r="254" customFormat="false" ht="15.75" hidden="false" customHeight="true" outlineLevel="0" collapsed="false">
      <c r="A254" s="135"/>
      <c r="B254" s="135"/>
      <c r="C254" s="135"/>
      <c r="D254" s="182"/>
      <c r="E254" s="135"/>
      <c r="F254" s="135"/>
      <c r="G254" s="135"/>
      <c r="H254" s="135"/>
      <c r="I254" s="135"/>
      <c r="J254" s="135"/>
      <c r="K254" s="135"/>
      <c r="L254" s="189"/>
      <c r="M254" s="135"/>
      <c r="N254" s="135"/>
      <c r="O254" s="135"/>
      <c r="P254" s="135"/>
      <c r="Q254" s="135"/>
      <c r="R254" s="135"/>
      <c r="S254" s="135"/>
    </row>
    <row r="255" customFormat="false" ht="15.75" hidden="false" customHeight="true" outlineLevel="0" collapsed="false">
      <c r="A255" s="135"/>
      <c r="B255" s="135"/>
      <c r="C255" s="135"/>
      <c r="D255" s="182"/>
      <c r="E255" s="135"/>
      <c r="F255" s="135"/>
      <c r="G255" s="135"/>
      <c r="H255" s="135"/>
      <c r="I255" s="135"/>
      <c r="J255" s="135"/>
      <c r="K255" s="135"/>
      <c r="L255" s="189"/>
      <c r="M255" s="135"/>
      <c r="N255" s="135"/>
      <c r="O255" s="135"/>
      <c r="P255" s="135"/>
      <c r="Q255" s="135"/>
      <c r="R255" s="135"/>
      <c r="S255" s="135"/>
    </row>
    <row r="256" customFormat="false" ht="15.75" hidden="false" customHeight="true" outlineLevel="0" collapsed="false">
      <c r="A256" s="135"/>
      <c r="B256" s="135"/>
      <c r="C256" s="135"/>
      <c r="D256" s="182"/>
      <c r="E256" s="135"/>
      <c r="F256" s="135"/>
      <c r="G256" s="135"/>
      <c r="H256" s="135"/>
      <c r="I256" s="135"/>
      <c r="J256" s="135"/>
      <c r="K256" s="135"/>
      <c r="L256" s="189"/>
      <c r="M256" s="135"/>
      <c r="N256" s="135"/>
      <c r="O256" s="135"/>
      <c r="P256" s="135"/>
      <c r="Q256" s="135"/>
      <c r="R256" s="135"/>
      <c r="S256" s="135"/>
    </row>
    <row r="257" customFormat="false" ht="15.75" hidden="false" customHeight="true" outlineLevel="0" collapsed="false">
      <c r="A257" s="135"/>
      <c r="B257" s="135"/>
      <c r="C257" s="135"/>
      <c r="D257" s="182"/>
      <c r="E257" s="135"/>
      <c r="F257" s="135"/>
      <c r="G257" s="135"/>
      <c r="H257" s="135"/>
      <c r="I257" s="135"/>
      <c r="J257" s="135"/>
      <c r="K257" s="135"/>
      <c r="L257" s="189"/>
      <c r="M257" s="135"/>
      <c r="N257" s="135"/>
      <c r="O257" s="135"/>
      <c r="P257" s="135"/>
      <c r="Q257" s="135"/>
      <c r="R257" s="135"/>
      <c r="S257" s="135"/>
    </row>
    <row r="258" customFormat="false" ht="15.75" hidden="false" customHeight="true" outlineLevel="0" collapsed="false">
      <c r="A258" s="135"/>
      <c r="B258" s="135"/>
      <c r="C258" s="135"/>
      <c r="D258" s="182"/>
      <c r="E258" s="135"/>
      <c r="F258" s="135"/>
      <c r="G258" s="135"/>
      <c r="H258" s="135"/>
      <c r="I258" s="135"/>
      <c r="J258" s="135"/>
      <c r="K258" s="135"/>
      <c r="L258" s="189"/>
      <c r="M258" s="135"/>
      <c r="N258" s="135"/>
      <c r="O258" s="135"/>
      <c r="P258" s="135"/>
      <c r="Q258" s="135"/>
      <c r="R258" s="135"/>
      <c r="S258" s="135"/>
    </row>
    <row r="259" customFormat="false" ht="15.75" hidden="false" customHeight="true" outlineLevel="0" collapsed="false">
      <c r="A259" s="135"/>
      <c r="B259" s="135"/>
      <c r="C259" s="135"/>
      <c r="D259" s="182"/>
      <c r="E259" s="135"/>
      <c r="F259" s="135"/>
      <c r="G259" s="135"/>
      <c r="H259" s="135"/>
      <c r="I259" s="135"/>
      <c r="J259" s="135"/>
      <c r="K259" s="135"/>
      <c r="L259" s="189"/>
      <c r="M259" s="135"/>
      <c r="N259" s="135"/>
      <c r="O259" s="135"/>
      <c r="P259" s="135"/>
      <c r="Q259" s="135"/>
      <c r="R259" s="135"/>
      <c r="S259" s="135"/>
    </row>
    <row r="260" customFormat="false" ht="15.75" hidden="false" customHeight="true" outlineLevel="0" collapsed="false">
      <c r="A260" s="135"/>
      <c r="B260" s="135"/>
      <c r="C260" s="135"/>
      <c r="D260" s="182"/>
      <c r="E260" s="135"/>
      <c r="F260" s="135"/>
      <c r="G260" s="135"/>
      <c r="H260" s="135"/>
      <c r="I260" s="135"/>
      <c r="J260" s="135"/>
      <c r="K260" s="135"/>
      <c r="L260" s="189"/>
      <c r="M260" s="135"/>
      <c r="N260" s="135"/>
      <c r="O260" s="135"/>
      <c r="P260" s="135"/>
      <c r="Q260" s="135"/>
      <c r="R260" s="135"/>
      <c r="S260" s="135"/>
    </row>
    <row r="261" customFormat="false" ht="15.75" hidden="false" customHeight="true" outlineLevel="0" collapsed="false">
      <c r="A261" s="135"/>
      <c r="B261" s="135"/>
      <c r="C261" s="135"/>
      <c r="D261" s="182"/>
      <c r="E261" s="135"/>
      <c r="F261" s="135"/>
      <c r="G261" s="135"/>
      <c r="H261" s="135"/>
      <c r="I261" s="135"/>
      <c r="J261" s="135"/>
      <c r="K261" s="135"/>
      <c r="L261" s="189"/>
      <c r="M261" s="135"/>
      <c r="N261" s="135"/>
      <c r="O261" s="135"/>
      <c r="P261" s="135"/>
      <c r="Q261" s="135"/>
      <c r="R261" s="135"/>
      <c r="S261" s="135"/>
    </row>
    <row r="262" customFormat="false" ht="15.75" hidden="false" customHeight="true" outlineLevel="0" collapsed="false">
      <c r="A262" s="135"/>
      <c r="B262" s="135"/>
      <c r="C262" s="135"/>
      <c r="D262" s="182"/>
      <c r="E262" s="135"/>
      <c r="F262" s="135"/>
      <c r="G262" s="135"/>
      <c r="H262" s="135"/>
      <c r="I262" s="135"/>
      <c r="J262" s="135"/>
      <c r="K262" s="135"/>
      <c r="L262" s="189"/>
      <c r="M262" s="135"/>
      <c r="N262" s="135"/>
      <c r="O262" s="135"/>
      <c r="P262" s="135"/>
      <c r="Q262" s="135"/>
      <c r="R262" s="135"/>
      <c r="S262" s="135"/>
    </row>
    <row r="263" customFormat="false" ht="15.75" hidden="false" customHeight="true" outlineLevel="0" collapsed="false">
      <c r="A263" s="135"/>
      <c r="B263" s="135"/>
      <c r="C263" s="135"/>
      <c r="D263" s="182"/>
      <c r="E263" s="135"/>
      <c r="F263" s="135"/>
      <c r="G263" s="135"/>
      <c r="H263" s="135"/>
      <c r="I263" s="135"/>
      <c r="J263" s="135"/>
      <c r="K263" s="135"/>
      <c r="L263" s="189"/>
      <c r="M263" s="135"/>
      <c r="N263" s="135"/>
      <c r="O263" s="135"/>
      <c r="P263" s="135"/>
      <c r="Q263" s="135"/>
      <c r="R263" s="135"/>
      <c r="S263" s="135"/>
    </row>
    <row r="264" customFormat="false" ht="15.75" hidden="false" customHeight="true" outlineLevel="0" collapsed="false">
      <c r="A264" s="135"/>
      <c r="B264" s="135"/>
      <c r="C264" s="135"/>
      <c r="D264" s="182"/>
      <c r="E264" s="135"/>
      <c r="F264" s="135"/>
      <c r="G264" s="135"/>
      <c r="H264" s="135"/>
      <c r="I264" s="135"/>
      <c r="J264" s="135"/>
      <c r="K264" s="135"/>
      <c r="L264" s="189"/>
      <c r="M264" s="135"/>
      <c r="N264" s="135"/>
      <c r="O264" s="135"/>
      <c r="P264" s="135"/>
      <c r="Q264" s="135"/>
      <c r="R264" s="135"/>
      <c r="S264" s="135"/>
    </row>
    <row r="265" customFormat="false" ht="15.75" hidden="false" customHeight="true" outlineLevel="0" collapsed="false">
      <c r="A265" s="135"/>
      <c r="B265" s="135"/>
      <c r="C265" s="135"/>
      <c r="D265" s="182"/>
      <c r="E265" s="135"/>
      <c r="F265" s="135"/>
      <c r="G265" s="135"/>
      <c r="H265" s="135"/>
      <c r="I265" s="135"/>
      <c r="J265" s="135"/>
      <c r="K265" s="135"/>
      <c r="L265" s="189"/>
      <c r="M265" s="135"/>
      <c r="N265" s="135"/>
      <c r="O265" s="135"/>
      <c r="P265" s="135"/>
      <c r="Q265" s="135"/>
      <c r="R265" s="135"/>
      <c r="S265" s="135"/>
    </row>
    <row r="266" customFormat="false" ht="15.75" hidden="false" customHeight="true" outlineLevel="0" collapsed="false">
      <c r="A266" s="135"/>
      <c r="B266" s="135"/>
      <c r="C266" s="135"/>
      <c r="D266" s="182"/>
      <c r="E266" s="135"/>
      <c r="F266" s="135"/>
      <c r="G266" s="135"/>
      <c r="H266" s="135"/>
      <c r="I266" s="135"/>
      <c r="J266" s="135"/>
      <c r="K266" s="135"/>
      <c r="L266" s="189"/>
      <c r="M266" s="135"/>
      <c r="N266" s="135"/>
      <c r="O266" s="135"/>
      <c r="P266" s="135"/>
      <c r="Q266" s="135"/>
      <c r="R266" s="135"/>
      <c r="S266" s="135"/>
    </row>
    <row r="267" customFormat="false" ht="15.75" hidden="false" customHeight="true" outlineLevel="0" collapsed="false">
      <c r="A267" s="135"/>
      <c r="B267" s="135"/>
      <c r="C267" s="135"/>
      <c r="D267" s="182"/>
      <c r="E267" s="135"/>
      <c r="F267" s="135"/>
      <c r="G267" s="135"/>
      <c r="H267" s="135"/>
      <c r="I267" s="135"/>
      <c r="J267" s="135"/>
      <c r="K267" s="135"/>
      <c r="L267" s="189"/>
      <c r="M267" s="135"/>
      <c r="N267" s="135"/>
      <c r="O267" s="135"/>
      <c r="P267" s="135"/>
      <c r="Q267" s="135"/>
      <c r="R267" s="135"/>
      <c r="S267" s="135"/>
    </row>
    <row r="268" customFormat="false" ht="15.75" hidden="false" customHeight="true" outlineLevel="0" collapsed="false">
      <c r="A268" s="135"/>
      <c r="B268" s="135"/>
      <c r="C268" s="135"/>
      <c r="D268" s="182"/>
      <c r="E268" s="135"/>
      <c r="F268" s="135"/>
      <c r="G268" s="135"/>
      <c r="H268" s="135"/>
      <c r="I268" s="135"/>
      <c r="J268" s="135"/>
      <c r="K268" s="135"/>
      <c r="L268" s="189"/>
      <c r="M268" s="135"/>
      <c r="N268" s="135"/>
      <c r="O268" s="135"/>
      <c r="P268" s="135"/>
      <c r="Q268" s="135"/>
      <c r="R268" s="135"/>
      <c r="S268" s="135"/>
    </row>
    <row r="269" customFormat="false" ht="15.75" hidden="false" customHeight="true" outlineLevel="0" collapsed="false">
      <c r="A269" s="135"/>
      <c r="B269" s="135"/>
      <c r="C269" s="135"/>
      <c r="D269" s="182"/>
      <c r="E269" s="135"/>
      <c r="F269" s="135"/>
      <c r="G269" s="135"/>
      <c r="H269" s="135"/>
      <c r="I269" s="135"/>
      <c r="J269" s="135"/>
      <c r="K269" s="135"/>
      <c r="L269" s="189"/>
      <c r="M269" s="135"/>
      <c r="N269" s="135"/>
      <c r="O269" s="135"/>
      <c r="P269" s="135"/>
      <c r="Q269" s="135"/>
      <c r="R269" s="135"/>
      <c r="S269" s="135"/>
    </row>
    <row r="270" customFormat="false" ht="15.75" hidden="false" customHeight="true" outlineLevel="0" collapsed="false">
      <c r="A270" s="135"/>
      <c r="B270" s="135"/>
      <c r="C270" s="135"/>
      <c r="D270" s="182"/>
      <c r="E270" s="135"/>
      <c r="F270" s="135"/>
      <c r="G270" s="135"/>
      <c r="H270" s="135"/>
      <c r="I270" s="135"/>
      <c r="J270" s="135"/>
      <c r="K270" s="135"/>
      <c r="L270" s="189"/>
      <c r="M270" s="135"/>
      <c r="N270" s="135"/>
      <c r="O270" s="135"/>
      <c r="P270" s="135"/>
      <c r="Q270" s="135"/>
      <c r="R270" s="135"/>
      <c r="S270" s="135"/>
    </row>
    <row r="271" customFormat="false" ht="15.75" hidden="false" customHeight="true" outlineLevel="0" collapsed="false">
      <c r="A271" s="135"/>
      <c r="B271" s="135"/>
      <c r="C271" s="135"/>
      <c r="D271" s="182"/>
      <c r="E271" s="135"/>
      <c r="F271" s="135"/>
      <c r="G271" s="135"/>
      <c r="H271" s="135"/>
      <c r="I271" s="135"/>
      <c r="J271" s="135"/>
      <c r="K271" s="135"/>
      <c r="L271" s="189"/>
      <c r="M271" s="135"/>
      <c r="N271" s="135"/>
      <c r="O271" s="135"/>
      <c r="P271" s="135"/>
      <c r="Q271" s="135"/>
      <c r="R271" s="135"/>
      <c r="S271" s="135"/>
    </row>
    <row r="272" customFormat="false" ht="15.75" hidden="false" customHeight="true" outlineLevel="0" collapsed="false">
      <c r="A272" s="135"/>
      <c r="B272" s="135"/>
      <c r="C272" s="135"/>
      <c r="D272" s="182"/>
      <c r="E272" s="135"/>
      <c r="F272" s="135"/>
      <c r="G272" s="135"/>
      <c r="H272" s="135"/>
      <c r="I272" s="135"/>
      <c r="J272" s="135"/>
      <c r="K272" s="135"/>
      <c r="L272" s="189"/>
      <c r="M272" s="135"/>
      <c r="N272" s="135"/>
      <c r="O272" s="135"/>
      <c r="P272" s="135"/>
      <c r="Q272" s="135"/>
      <c r="R272" s="135"/>
      <c r="S272" s="135"/>
    </row>
    <row r="273" customFormat="false" ht="15.75" hidden="false" customHeight="true" outlineLevel="0" collapsed="false">
      <c r="A273" s="135"/>
      <c r="B273" s="135"/>
      <c r="C273" s="135"/>
      <c r="D273" s="182"/>
      <c r="E273" s="135"/>
      <c r="F273" s="135"/>
      <c r="G273" s="135"/>
      <c r="H273" s="135"/>
      <c r="I273" s="135"/>
      <c r="J273" s="135"/>
      <c r="K273" s="135"/>
      <c r="L273" s="189"/>
      <c r="M273" s="135"/>
      <c r="N273" s="135"/>
      <c r="O273" s="135"/>
      <c r="P273" s="135"/>
      <c r="Q273" s="135"/>
      <c r="R273" s="135"/>
      <c r="S273" s="135"/>
    </row>
    <row r="274" customFormat="false" ht="15.75" hidden="false" customHeight="true" outlineLevel="0" collapsed="false">
      <c r="A274" s="135"/>
      <c r="B274" s="135"/>
      <c r="C274" s="135"/>
      <c r="D274" s="182"/>
      <c r="E274" s="135"/>
      <c r="F274" s="135"/>
      <c r="G274" s="135"/>
      <c r="H274" s="135"/>
      <c r="I274" s="135"/>
      <c r="J274" s="135"/>
      <c r="K274" s="135"/>
      <c r="L274" s="189"/>
      <c r="M274" s="135"/>
      <c r="N274" s="135"/>
      <c r="O274" s="135"/>
      <c r="P274" s="135"/>
      <c r="Q274" s="135"/>
      <c r="R274" s="135"/>
      <c r="S274" s="135"/>
    </row>
    <row r="275" customFormat="false" ht="15.75" hidden="false" customHeight="true" outlineLevel="0" collapsed="false">
      <c r="A275" s="135"/>
      <c r="B275" s="135"/>
      <c r="C275" s="135"/>
      <c r="D275" s="182"/>
      <c r="E275" s="135"/>
      <c r="F275" s="135"/>
      <c r="G275" s="135"/>
      <c r="H275" s="135"/>
      <c r="I275" s="135"/>
      <c r="J275" s="135"/>
      <c r="K275" s="135"/>
      <c r="L275" s="189"/>
      <c r="M275" s="135"/>
      <c r="N275" s="135"/>
      <c r="O275" s="135"/>
      <c r="P275" s="135"/>
      <c r="Q275" s="135"/>
      <c r="R275" s="135"/>
      <c r="S275" s="135"/>
    </row>
    <row r="276" customFormat="false" ht="15.75" hidden="false" customHeight="true" outlineLevel="0" collapsed="false">
      <c r="A276" s="135"/>
      <c r="B276" s="135"/>
      <c r="C276" s="135"/>
      <c r="D276" s="182"/>
      <c r="E276" s="135"/>
      <c r="F276" s="135"/>
      <c r="G276" s="135"/>
      <c r="H276" s="135"/>
      <c r="I276" s="135"/>
      <c r="J276" s="135"/>
      <c r="K276" s="135"/>
      <c r="L276" s="189"/>
      <c r="M276" s="135"/>
      <c r="N276" s="135"/>
      <c r="O276" s="135"/>
      <c r="P276" s="135"/>
      <c r="Q276" s="135"/>
      <c r="R276" s="135"/>
      <c r="S276" s="135"/>
    </row>
    <row r="277" customFormat="false" ht="15.75" hidden="false" customHeight="true" outlineLevel="0" collapsed="false">
      <c r="A277" s="135"/>
      <c r="B277" s="135"/>
      <c r="C277" s="135"/>
      <c r="D277" s="182"/>
      <c r="E277" s="135"/>
      <c r="F277" s="135"/>
      <c r="G277" s="135"/>
      <c r="H277" s="135"/>
      <c r="I277" s="135"/>
      <c r="J277" s="135"/>
      <c r="K277" s="135"/>
      <c r="L277" s="189"/>
      <c r="M277" s="135"/>
      <c r="N277" s="135"/>
      <c r="O277" s="135"/>
      <c r="P277" s="135"/>
      <c r="Q277" s="135"/>
      <c r="R277" s="135"/>
      <c r="S277" s="135"/>
    </row>
    <row r="278" customFormat="false" ht="15.75" hidden="false" customHeight="true" outlineLevel="0" collapsed="false">
      <c r="A278" s="135"/>
      <c r="B278" s="135"/>
      <c r="C278" s="135"/>
      <c r="D278" s="182"/>
      <c r="E278" s="135"/>
      <c r="F278" s="135"/>
      <c r="G278" s="135"/>
      <c r="H278" s="135"/>
      <c r="I278" s="135"/>
      <c r="J278" s="135"/>
      <c r="K278" s="135"/>
      <c r="L278" s="189"/>
      <c r="M278" s="135"/>
      <c r="N278" s="135"/>
      <c r="O278" s="135"/>
      <c r="P278" s="135"/>
      <c r="Q278" s="135"/>
      <c r="R278" s="135"/>
      <c r="S278" s="135"/>
    </row>
    <row r="279" customFormat="false" ht="15.75" hidden="false" customHeight="true" outlineLevel="0" collapsed="false">
      <c r="A279" s="135"/>
      <c r="B279" s="135"/>
      <c r="C279" s="135"/>
      <c r="D279" s="182"/>
      <c r="E279" s="135"/>
      <c r="F279" s="135"/>
      <c r="G279" s="135"/>
      <c r="H279" s="135"/>
      <c r="I279" s="135"/>
      <c r="J279" s="135"/>
      <c r="K279" s="135"/>
      <c r="L279" s="189"/>
      <c r="M279" s="135"/>
      <c r="N279" s="135"/>
      <c r="O279" s="135"/>
      <c r="P279" s="135"/>
      <c r="Q279" s="135"/>
      <c r="R279" s="135"/>
      <c r="S279" s="135"/>
    </row>
    <row r="280" customFormat="false" ht="15.75" hidden="false" customHeight="true" outlineLevel="0" collapsed="false">
      <c r="A280" s="135"/>
      <c r="B280" s="135"/>
      <c r="C280" s="135"/>
      <c r="D280" s="182"/>
      <c r="E280" s="135"/>
      <c r="F280" s="135"/>
      <c r="G280" s="135"/>
      <c r="H280" s="135"/>
      <c r="I280" s="135"/>
      <c r="J280" s="135"/>
      <c r="K280" s="135"/>
      <c r="L280" s="189"/>
      <c r="M280" s="135"/>
      <c r="N280" s="135"/>
      <c r="O280" s="135"/>
      <c r="P280" s="135"/>
      <c r="Q280" s="135"/>
      <c r="R280" s="135"/>
      <c r="S280" s="135"/>
    </row>
    <row r="281" customFormat="false" ht="15.75" hidden="false" customHeight="true" outlineLevel="0" collapsed="false">
      <c r="A281" s="135"/>
      <c r="B281" s="135"/>
      <c r="C281" s="135"/>
      <c r="D281" s="182"/>
      <c r="E281" s="135"/>
      <c r="F281" s="135"/>
      <c r="G281" s="135"/>
      <c r="H281" s="135"/>
      <c r="I281" s="135"/>
      <c r="J281" s="135"/>
      <c r="K281" s="135"/>
      <c r="L281" s="189"/>
      <c r="M281" s="135"/>
      <c r="N281" s="135"/>
      <c r="O281" s="135"/>
      <c r="P281" s="135"/>
      <c r="Q281" s="135"/>
      <c r="R281" s="135"/>
      <c r="S281" s="135"/>
    </row>
    <row r="282" customFormat="false" ht="15.75" hidden="false" customHeight="true" outlineLevel="0" collapsed="false">
      <c r="A282" s="135"/>
      <c r="B282" s="135"/>
      <c r="C282" s="135"/>
      <c r="D282" s="182"/>
      <c r="E282" s="135"/>
      <c r="F282" s="135"/>
      <c r="G282" s="135"/>
      <c r="H282" s="135"/>
      <c r="I282" s="135"/>
      <c r="J282" s="135"/>
      <c r="K282" s="135"/>
      <c r="L282" s="189"/>
      <c r="M282" s="135"/>
      <c r="N282" s="135"/>
      <c r="O282" s="135"/>
      <c r="P282" s="135"/>
      <c r="Q282" s="135"/>
      <c r="R282" s="135"/>
      <c r="S282" s="135"/>
    </row>
    <row r="283" customFormat="false" ht="15.75" hidden="false" customHeight="true" outlineLevel="0" collapsed="false">
      <c r="A283" s="135"/>
      <c r="B283" s="135"/>
      <c r="C283" s="135"/>
      <c r="D283" s="182"/>
      <c r="E283" s="135"/>
      <c r="F283" s="135"/>
      <c r="G283" s="135"/>
      <c r="H283" s="135"/>
      <c r="I283" s="135"/>
      <c r="J283" s="135"/>
      <c r="K283" s="135"/>
      <c r="L283" s="189"/>
      <c r="M283" s="135"/>
      <c r="N283" s="135"/>
      <c r="O283" s="135"/>
      <c r="P283" s="135"/>
      <c r="Q283" s="135"/>
      <c r="R283" s="135"/>
      <c r="S283" s="135"/>
    </row>
    <row r="284" customFormat="false" ht="15.75" hidden="false" customHeight="true" outlineLevel="0" collapsed="false">
      <c r="A284" s="135"/>
      <c r="B284" s="135"/>
      <c r="C284" s="135"/>
      <c r="D284" s="182"/>
      <c r="E284" s="135"/>
      <c r="F284" s="135"/>
      <c r="G284" s="135"/>
      <c r="H284" s="135"/>
      <c r="I284" s="135"/>
      <c r="J284" s="135"/>
      <c r="K284" s="135"/>
      <c r="L284" s="189"/>
      <c r="M284" s="135"/>
      <c r="N284" s="135"/>
      <c r="O284" s="135"/>
      <c r="P284" s="135"/>
      <c r="Q284" s="135"/>
      <c r="R284" s="135"/>
      <c r="S284" s="135"/>
    </row>
    <row r="285" customFormat="false" ht="15.75" hidden="false" customHeight="true" outlineLevel="0" collapsed="false">
      <c r="A285" s="135"/>
      <c r="B285" s="135"/>
      <c r="C285" s="135"/>
      <c r="D285" s="182"/>
      <c r="E285" s="135"/>
      <c r="F285" s="135"/>
      <c r="G285" s="135"/>
      <c r="H285" s="135"/>
      <c r="I285" s="135"/>
      <c r="J285" s="135"/>
      <c r="K285" s="135"/>
      <c r="L285" s="189"/>
      <c r="M285" s="135"/>
      <c r="N285" s="135"/>
      <c r="O285" s="135"/>
      <c r="P285" s="135"/>
      <c r="Q285" s="135"/>
      <c r="R285" s="135"/>
      <c r="S285" s="135"/>
    </row>
    <row r="286" customFormat="false" ht="15.75" hidden="false" customHeight="true" outlineLevel="0" collapsed="false">
      <c r="A286" s="135"/>
      <c r="B286" s="135"/>
      <c r="C286" s="135"/>
      <c r="D286" s="182"/>
      <c r="E286" s="135"/>
      <c r="F286" s="135"/>
      <c r="G286" s="135"/>
      <c r="H286" s="135"/>
      <c r="I286" s="135"/>
      <c r="J286" s="135"/>
      <c r="K286" s="135"/>
      <c r="L286" s="189"/>
      <c r="M286" s="135"/>
      <c r="N286" s="135"/>
      <c r="O286" s="135"/>
      <c r="P286" s="135"/>
      <c r="Q286" s="135"/>
      <c r="R286" s="135"/>
      <c r="S286" s="135"/>
    </row>
    <row r="287" customFormat="false" ht="15.75" hidden="false" customHeight="true" outlineLevel="0" collapsed="false">
      <c r="A287" s="135"/>
      <c r="B287" s="135"/>
      <c r="C287" s="135"/>
      <c r="D287" s="182"/>
      <c r="E287" s="135"/>
      <c r="F287" s="135"/>
      <c r="G287" s="135"/>
      <c r="H287" s="135"/>
      <c r="I287" s="135"/>
      <c r="J287" s="135"/>
      <c r="K287" s="135"/>
      <c r="L287" s="189"/>
      <c r="M287" s="135"/>
      <c r="N287" s="135"/>
      <c r="O287" s="135"/>
      <c r="P287" s="135"/>
      <c r="Q287" s="135"/>
      <c r="R287" s="135"/>
      <c r="S287" s="135"/>
    </row>
    <row r="288" customFormat="false" ht="15.75" hidden="false" customHeight="true" outlineLevel="0" collapsed="false">
      <c r="A288" s="135"/>
      <c r="B288" s="135"/>
      <c r="C288" s="135"/>
      <c r="D288" s="182"/>
      <c r="E288" s="135"/>
      <c r="F288" s="135"/>
      <c r="G288" s="135"/>
      <c r="H288" s="135"/>
      <c r="I288" s="135"/>
      <c r="J288" s="135"/>
      <c r="K288" s="135"/>
      <c r="L288" s="189"/>
      <c r="M288" s="135"/>
      <c r="N288" s="135"/>
      <c r="O288" s="135"/>
      <c r="P288" s="135"/>
      <c r="Q288" s="135"/>
      <c r="R288" s="135"/>
      <c r="S288" s="135"/>
    </row>
    <row r="289" customFormat="false" ht="15.75" hidden="false" customHeight="true" outlineLevel="0" collapsed="false">
      <c r="A289" s="135"/>
      <c r="B289" s="135"/>
      <c r="C289" s="135"/>
      <c r="D289" s="182"/>
      <c r="E289" s="135"/>
      <c r="F289" s="135"/>
      <c r="G289" s="135"/>
      <c r="H289" s="135"/>
      <c r="I289" s="135"/>
      <c r="J289" s="135"/>
      <c r="K289" s="135"/>
      <c r="L289" s="189"/>
      <c r="M289" s="135"/>
      <c r="N289" s="135"/>
      <c r="O289" s="135"/>
      <c r="P289" s="135"/>
      <c r="Q289" s="135"/>
      <c r="R289" s="135"/>
      <c r="S289" s="135"/>
    </row>
    <row r="290" customFormat="false" ht="15.75" hidden="false" customHeight="true" outlineLevel="0" collapsed="false">
      <c r="A290" s="135"/>
      <c r="B290" s="135"/>
      <c r="C290" s="135"/>
      <c r="D290" s="182"/>
      <c r="E290" s="135"/>
      <c r="F290" s="135"/>
      <c r="G290" s="135"/>
      <c r="H290" s="135"/>
      <c r="I290" s="135"/>
      <c r="J290" s="135"/>
      <c r="K290" s="135"/>
      <c r="L290" s="189"/>
      <c r="M290" s="135"/>
      <c r="N290" s="135"/>
      <c r="O290" s="135"/>
      <c r="P290" s="135"/>
      <c r="Q290" s="135"/>
      <c r="R290" s="135"/>
      <c r="S290" s="135"/>
    </row>
    <row r="291" customFormat="false" ht="15.75" hidden="false" customHeight="true" outlineLevel="0" collapsed="false">
      <c r="A291" s="135"/>
      <c r="B291" s="135"/>
      <c r="C291" s="135"/>
      <c r="D291" s="182"/>
      <c r="E291" s="135"/>
      <c r="F291" s="135"/>
      <c r="G291" s="135"/>
      <c r="H291" s="135"/>
      <c r="I291" s="135"/>
      <c r="J291" s="135"/>
      <c r="K291" s="135"/>
      <c r="L291" s="189"/>
      <c r="M291" s="135"/>
      <c r="N291" s="135"/>
      <c r="O291" s="135"/>
      <c r="P291" s="135"/>
      <c r="Q291" s="135"/>
      <c r="R291" s="135"/>
      <c r="S291" s="135"/>
    </row>
    <row r="292" customFormat="false" ht="15.75" hidden="false" customHeight="true" outlineLevel="0" collapsed="false">
      <c r="A292" s="135"/>
      <c r="B292" s="135"/>
      <c r="C292" s="135"/>
      <c r="D292" s="182"/>
      <c r="E292" s="135"/>
      <c r="F292" s="135"/>
      <c r="G292" s="135"/>
      <c r="H292" s="135"/>
      <c r="I292" s="135"/>
      <c r="J292" s="135"/>
      <c r="K292" s="135"/>
      <c r="L292" s="189"/>
      <c r="M292" s="135"/>
      <c r="N292" s="135"/>
      <c r="O292" s="135"/>
      <c r="P292" s="135"/>
      <c r="Q292" s="135"/>
      <c r="R292" s="135"/>
      <c r="S292" s="135"/>
    </row>
    <row r="293" customFormat="false" ht="15.75" hidden="false" customHeight="true" outlineLevel="0" collapsed="false">
      <c r="A293" s="135"/>
      <c r="B293" s="135"/>
      <c r="C293" s="135"/>
      <c r="D293" s="182"/>
      <c r="E293" s="135"/>
      <c r="F293" s="135"/>
      <c r="G293" s="135"/>
      <c r="H293" s="135"/>
      <c r="I293" s="135"/>
      <c r="J293" s="135"/>
      <c r="K293" s="135"/>
      <c r="L293" s="189"/>
      <c r="M293" s="135"/>
      <c r="N293" s="135"/>
      <c r="O293" s="135"/>
      <c r="P293" s="135"/>
      <c r="Q293" s="135"/>
      <c r="R293" s="135"/>
      <c r="S293" s="135"/>
    </row>
    <row r="294" customFormat="false" ht="15.75" hidden="false" customHeight="true" outlineLevel="0" collapsed="false">
      <c r="A294" s="135"/>
      <c r="B294" s="135"/>
      <c r="C294" s="135"/>
      <c r="D294" s="182"/>
      <c r="E294" s="135"/>
      <c r="F294" s="135"/>
      <c r="G294" s="135"/>
      <c r="H294" s="135"/>
      <c r="I294" s="135"/>
      <c r="J294" s="135"/>
      <c r="K294" s="135"/>
      <c r="L294" s="189"/>
      <c r="M294" s="135"/>
      <c r="N294" s="135"/>
      <c r="O294" s="135"/>
      <c r="P294" s="135"/>
      <c r="Q294" s="135"/>
      <c r="R294" s="135"/>
      <c r="S294" s="135"/>
    </row>
    <row r="295" customFormat="false" ht="15.75" hidden="false" customHeight="true" outlineLevel="0" collapsed="false">
      <c r="A295" s="135"/>
      <c r="B295" s="135"/>
      <c r="C295" s="135"/>
      <c r="D295" s="182"/>
      <c r="E295" s="135"/>
      <c r="F295" s="135"/>
      <c r="G295" s="135"/>
      <c r="H295" s="135"/>
      <c r="I295" s="135"/>
      <c r="J295" s="135"/>
      <c r="K295" s="135"/>
      <c r="L295" s="189"/>
      <c r="M295" s="135"/>
      <c r="N295" s="135"/>
      <c r="O295" s="135"/>
      <c r="P295" s="135"/>
      <c r="Q295" s="135"/>
      <c r="R295" s="135"/>
      <c r="S295" s="135"/>
    </row>
    <row r="296" customFormat="false" ht="15.75" hidden="false" customHeight="true" outlineLevel="0" collapsed="false">
      <c r="A296" s="135"/>
      <c r="B296" s="135"/>
      <c r="C296" s="135"/>
      <c r="D296" s="182"/>
      <c r="E296" s="135"/>
      <c r="F296" s="135"/>
      <c r="G296" s="135"/>
      <c r="H296" s="135"/>
      <c r="I296" s="135"/>
      <c r="J296" s="135"/>
      <c r="K296" s="135"/>
      <c r="L296" s="189"/>
      <c r="M296" s="135"/>
      <c r="N296" s="135"/>
      <c r="O296" s="135"/>
      <c r="P296" s="135"/>
      <c r="Q296" s="135"/>
      <c r="R296" s="135"/>
      <c r="S296" s="135"/>
    </row>
    <row r="297" customFormat="false" ht="15.75" hidden="false" customHeight="true" outlineLevel="0" collapsed="false">
      <c r="A297" s="135"/>
      <c r="B297" s="135"/>
      <c r="C297" s="135"/>
      <c r="D297" s="182"/>
      <c r="E297" s="135"/>
      <c r="F297" s="135"/>
      <c r="G297" s="135"/>
      <c r="H297" s="135"/>
      <c r="I297" s="135"/>
      <c r="J297" s="135"/>
      <c r="K297" s="135"/>
      <c r="L297" s="189"/>
      <c r="M297" s="135"/>
      <c r="N297" s="135"/>
      <c r="O297" s="135"/>
      <c r="P297" s="135"/>
      <c r="Q297" s="135"/>
      <c r="R297" s="135"/>
      <c r="S297" s="135"/>
    </row>
    <row r="298" customFormat="false" ht="15.75" hidden="false" customHeight="true" outlineLevel="0" collapsed="false">
      <c r="A298" s="135"/>
      <c r="B298" s="135"/>
      <c r="C298" s="135"/>
      <c r="D298" s="182"/>
      <c r="E298" s="135"/>
      <c r="F298" s="135"/>
      <c r="G298" s="135"/>
      <c r="H298" s="135"/>
      <c r="I298" s="135"/>
      <c r="J298" s="135"/>
      <c r="K298" s="135"/>
      <c r="L298" s="189"/>
      <c r="M298" s="135"/>
      <c r="N298" s="135"/>
      <c r="O298" s="135"/>
      <c r="P298" s="135"/>
      <c r="Q298" s="135"/>
      <c r="R298" s="135"/>
      <c r="S298" s="135"/>
    </row>
    <row r="299" customFormat="false" ht="15.75" hidden="false" customHeight="true" outlineLevel="0" collapsed="false">
      <c r="A299" s="135"/>
      <c r="B299" s="135"/>
      <c r="C299" s="135"/>
      <c r="D299" s="182"/>
      <c r="E299" s="135"/>
      <c r="F299" s="135"/>
      <c r="G299" s="135"/>
      <c r="H299" s="135"/>
      <c r="I299" s="135"/>
      <c r="J299" s="135"/>
      <c r="K299" s="135"/>
      <c r="L299" s="189"/>
      <c r="M299" s="135"/>
      <c r="N299" s="135"/>
      <c r="O299" s="135"/>
      <c r="P299" s="135"/>
      <c r="Q299" s="135"/>
      <c r="R299" s="135"/>
      <c r="S299" s="135"/>
    </row>
    <row r="300" customFormat="false" ht="15.75" hidden="false" customHeight="true" outlineLevel="0" collapsed="false">
      <c r="A300" s="135"/>
      <c r="B300" s="135"/>
      <c r="C300" s="135"/>
      <c r="D300" s="182"/>
      <c r="E300" s="135"/>
      <c r="F300" s="135"/>
      <c r="G300" s="135"/>
      <c r="H300" s="135"/>
      <c r="I300" s="135"/>
      <c r="J300" s="135"/>
      <c r="K300" s="135"/>
      <c r="L300" s="189"/>
      <c r="M300" s="135"/>
      <c r="N300" s="135"/>
      <c r="O300" s="135"/>
      <c r="P300" s="135"/>
      <c r="Q300" s="135"/>
      <c r="R300" s="135"/>
      <c r="S300" s="135"/>
    </row>
    <row r="301" customFormat="false" ht="15.75" hidden="false" customHeight="true" outlineLevel="0" collapsed="false">
      <c r="A301" s="135"/>
      <c r="B301" s="135"/>
      <c r="C301" s="135"/>
      <c r="D301" s="182"/>
      <c r="E301" s="135"/>
      <c r="F301" s="135"/>
      <c r="G301" s="135"/>
      <c r="H301" s="135"/>
      <c r="I301" s="135"/>
      <c r="J301" s="135"/>
      <c r="K301" s="135"/>
      <c r="L301" s="189"/>
      <c r="M301" s="135"/>
      <c r="N301" s="135"/>
      <c r="O301" s="135"/>
      <c r="P301" s="135"/>
      <c r="Q301" s="135"/>
      <c r="R301" s="135"/>
      <c r="S301" s="135"/>
    </row>
    <row r="302" customFormat="false" ht="15.75" hidden="false" customHeight="true" outlineLevel="0" collapsed="false">
      <c r="A302" s="135"/>
      <c r="B302" s="135"/>
      <c r="C302" s="135"/>
      <c r="D302" s="182"/>
      <c r="E302" s="135"/>
      <c r="F302" s="135"/>
      <c r="G302" s="135"/>
      <c r="H302" s="135"/>
      <c r="I302" s="135"/>
      <c r="J302" s="135"/>
      <c r="K302" s="135"/>
      <c r="L302" s="189"/>
      <c r="M302" s="135"/>
      <c r="N302" s="135"/>
      <c r="O302" s="135"/>
      <c r="P302" s="135"/>
      <c r="Q302" s="135"/>
      <c r="R302" s="135"/>
      <c r="S302" s="135"/>
    </row>
    <row r="303" customFormat="false" ht="15.75" hidden="false" customHeight="true" outlineLevel="0" collapsed="false">
      <c r="A303" s="135"/>
      <c r="B303" s="135"/>
      <c r="C303" s="135"/>
      <c r="D303" s="182"/>
      <c r="E303" s="135"/>
      <c r="F303" s="135"/>
      <c r="G303" s="135"/>
      <c r="H303" s="135"/>
      <c r="I303" s="135"/>
      <c r="J303" s="135"/>
      <c r="K303" s="135"/>
      <c r="L303" s="189"/>
      <c r="M303" s="135"/>
      <c r="N303" s="135"/>
      <c r="O303" s="135"/>
      <c r="P303" s="135"/>
      <c r="Q303" s="135"/>
      <c r="R303" s="135"/>
      <c r="S303" s="135"/>
    </row>
    <row r="304" customFormat="false" ht="15.75" hidden="false" customHeight="true" outlineLevel="0" collapsed="false">
      <c r="A304" s="135"/>
      <c r="B304" s="135"/>
      <c r="C304" s="135"/>
      <c r="D304" s="182"/>
      <c r="E304" s="135"/>
      <c r="F304" s="135"/>
      <c r="G304" s="135"/>
      <c r="H304" s="135"/>
      <c r="I304" s="135"/>
      <c r="J304" s="135"/>
      <c r="K304" s="135"/>
      <c r="L304" s="189"/>
      <c r="M304" s="135"/>
      <c r="N304" s="135"/>
      <c r="O304" s="135"/>
      <c r="P304" s="135"/>
      <c r="Q304" s="135"/>
      <c r="R304" s="135"/>
      <c r="S304" s="135"/>
    </row>
    <row r="305" customFormat="false" ht="15.75" hidden="false" customHeight="true" outlineLevel="0" collapsed="false">
      <c r="A305" s="135"/>
      <c r="B305" s="135"/>
      <c r="C305" s="135"/>
      <c r="D305" s="182"/>
      <c r="E305" s="135"/>
      <c r="F305" s="135"/>
      <c r="G305" s="135"/>
      <c r="H305" s="135"/>
      <c r="I305" s="135"/>
      <c r="J305" s="135"/>
      <c r="K305" s="135"/>
      <c r="L305" s="189"/>
      <c r="M305" s="135"/>
      <c r="N305" s="135"/>
      <c r="O305" s="135"/>
      <c r="P305" s="135"/>
      <c r="Q305" s="135"/>
      <c r="R305" s="135"/>
      <c r="S305" s="135"/>
    </row>
    <row r="306" customFormat="false" ht="15.75" hidden="false" customHeight="true" outlineLevel="0" collapsed="false">
      <c r="A306" s="135"/>
      <c r="B306" s="135"/>
      <c r="C306" s="135"/>
      <c r="D306" s="182"/>
      <c r="E306" s="135"/>
      <c r="F306" s="135"/>
      <c r="G306" s="135"/>
      <c r="H306" s="135"/>
      <c r="I306" s="135"/>
      <c r="J306" s="135"/>
      <c r="K306" s="135"/>
      <c r="L306" s="189"/>
      <c r="M306" s="135"/>
      <c r="N306" s="135"/>
      <c r="O306" s="135"/>
      <c r="P306" s="135"/>
      <c r="Q306" s="135"/>
      <c r="R306" s="135"/>
      <c r="S306" s="135"/>
    </row>
    <row r="307" customFormat="false" ht="15.75" hidden="false" customHeight="true" outlineLevel="0" collapsed="false">
      <c r="A307" s="135"/>
      <c r="B307" s="135"/>
      <c r="C307" s="135"/>
      <c r="D307" s="182"/>
      <c r="E307" s="135"/>
      <c r="F307" s="135"/>
      <c r="G307" s="135"/>
      <c r="H307" s="135"/>
      <c r="I307" s="135"/>
      <c r="J307" s="135"/>
      <c r="K307" s="135"/>
      <c r="L307" s="189"/>
      <c r="M307" s="135"/>
      <c r="N307" s="135"/>
      <c r="O307" s="135"/>
      <c r="P307" s="135"/>
      <c r="Q307" s="135"/>
      <c r="R307" s="135"/>
      <c r="S307" s="135"/>
    </row>
    <row r="308" customFormat="false" ht="15.75" hidden="false" customHeight="true" outlineLevel="0" collapsed="false">
      <c r="A308" s="135"/>
      <c r="B308" s="135"/>
      <c r="C308" s="135"/>
      <c r="D308" s="182"/>
      <c r="E308" s="135"/>
      <c r="F308" s="135"/>
      <c r="G308" s="135"/>
      <c r="H308" s="135"/>
      <c r="I308" s="135"/>
      <c r="J308" s="135"/>
      <c r="K308" s="135"/>
      <c r="L308" s="189"/>
      <c r="M308" s="135"/>
      <c r="N308" s="135"/>
      <c r="O308" s="135"/>
      <c r="P308" s="135"/>
      <c r="Q308" s="135"/>
      <c r="R308" s="135"/>
      <c r="S308" s="135"/>
    </row>
    <row r="309" customFormat="false" ht="15.75" hidden="false" customHeight="true" outlineLevel="0" collapsed="false">
      <c r="A309" s="135"/>
      <c r="B309" s="135"/>
      <c r="C309" s="135"/>
      <c r="D309" s="182"/>
      <c r="E309" s="135"/>
      <c r="F309" s="135"/>
      <c r="G309" s="135"/>
      <c r="H309" s="135"/>
      <c r="I309" s="135"/>
      <c r="J309" s="135"/>
      <c r="K309" s="135"/>
      <c r="L309" s="189"/>
      <c r="M309" s="135"/>
      <c r="N309" s="135"/>
      <c r="O309" s="135"/>
      <c r="P309" s="135"/>
      <c r="Q309" s="135"/>
      <c r="R309" s="135"/>
      <c r="S309" s="135"/>
    </row>
    <row r="310" customFormat="false" ht="15.75" hidden="false" customHeight="true" outlineLevel="0" collapsed="false">
      <c r="A310" s="135"/>
      <c r="B310" s="135"/>
      <c r="C310" s="135"/>
      <c r="D310" s="182"/>
      <c r="E310" s="135"/>
      <c r="F310" s="135"/>
      <c r="G310" s="135"/>
      <c r="H310" s="135"/>
      <c r="I310" s="135"/>
      <c r="J310" s="135"/>
      <c r="K310" s="135"/>
      <c r="L310" s="189"/>
      <c r="M310" s="135"/>
      <c r="N310" s="135"/>
      <c r="O310" s="135"/>
      <c r="P310" s="135"/>
      <c r="Q310" s="135"/>
      <c r="R310" s="135"/>
      <c r="S310" s="135"/>
    </row>
    <row r="311" customFormat="false" ht="15.75" hidden="false" customHeight="true" outlineLevel="0" collapsed="false">
      <c r="A311" s="135"/>
      <c r="B311" s="135"/>
      <c r="C311" s="135"/>
      <c r="D311" s="182"/>
      <c r="E311" s="135"/>
      <c r="F311" s="135"/>
      <c r="G311" s="135"/>
      <c r="H311" s="135"/>
      <c r="I311" s="135"/>
      <c r="J311" s="135"/>
      <c r="K311" s="135"/>
      <c r="L311" s="189"/>
      <c r="M311" s="135"/>
      <c r="N311" s="135"/>
      <c r="O311" s="135"/>
      <c r="P311" s="135"/>
      <c r="Q311" s="135"/>
      <c r="R311" s="135"/>
      <c r="S311" s="135"/>
    </row>
    <row r="312" customFormat="false" ht="15.75" hidden="false" customHeight="true" outlineLevel="0" collapsed="false">
      <c r="A312" s="135"/>
      <c r="B312" s="135"/>
      <c r="C312" s="135"/>
      <c r="D312" s="182"/>
      <c r="E312" s="135"/>
      <c r="F312" s="135"/>
      <c r="G312" s="135"/>
      <c r="H312" s="135"/>
      <c r="I312" s="135"/>
      <c r="J312" s="135"/>
      <c r="K312" s="135"/>
      <c r="L312" s="189"/>
      <c r="M312" s="135"/>
      <c r="N312" s="135"/>
      <c r="O312" s="135"/>
      <c r="P312" s="135"/>
      <c r="Q312" s="135"/>
      <c r="R312" s="135"/>
      <c r="S312" s="135"/>
    </row>
    <row r="313" customFormat="false" ht="15.75" hidden="false" customHeight="true" outlineLevel="0" collapsed="false">
      <c r="A313" s="135"/>
      <c r="B313" s="135"/>
      <c r="C313" s="135"/>
      <c r="D313" s="182"/>
      <c r="E313" s="135"/>
      <c r="F313" s="135"/>
      <c r="G313" s="135"/>
      <c r="H313" s="135"/>
      <c r="I313" s="135"/>
      <c r="J313" s="135"/>
      <c r="K313" s="135"/>
      <c r="L313" s="189"/>
      <c r="M313" s="135"/>
      <c r="N313" s="135"/>
      <c r="O313" s="135"/>
      <c r="P313" s="135"/>
      <c r="Q313" s="135"/>
      <c r="R313" s="135"/>
      <c r="S313" s="135"/>
    </row>
    <row r="314" customFormat="false" ht="15.75" hidden="false" customHeight="true" outlineLevel="0" collapsed="false">
      <c r="A314" s="135"/>
      <c r="B314" s="135"/>
      <c r="C314" s="135"/>
      <c r="D314" s="182"/>
      <c r="E314" s="135"/>
      <c r="F314" s="135"/>
      <c r="G314" s="135"/>
      <c r="H314" s="135"/>
      <c r="I314" s="135"/>
      <c r="J314" s="135"/>
      <c r="K314" s="135"/>
      <c r="L314" s="189"/>
      <c r="M314" s="135"/>
      <c r="N314" s="135"/>
      <c r="O314" s="135"/>
      <c r="P314" s="135"/>
      <c r="Q314" s="135"/>
      <c r="R314" s="135"/>
      <c r="S314" s="135"/>
    </row>
    <row r="315" customFormat="false" ht="15.75" hidden="false" customHeight="true" outlineLevel="0" collapsed="false">
      <c r="A315" s="135"/>
      <c r="B315" s="135"/>
      <c r="C315" s="135"/>
      <c r="D315" s="182"/>
      <c r="E315" s="135"/>
      <c r="F315" s="135"/>
      <c r="G315" s="135"/>
      <c r="H315" s="135"/>
      <c r="I315" s="135"/>
      <c r="J315" s="135"/>
      <c r="K315" s="135"/>
      <c r="L315" s="189"/>
      <c r="M315" s="135"/>
      <c r="N315" s="135"/>
      <c r="O315" s="135"/>
      <c r="P315" s="135"/>
      <c r="Q315" s="135"/>
      <c r="R315" s="135"/>
      <c r="S315" s="135"/>
    </row>
    <row r="316" customFormat="false" ht="15.75" hidden="false" customHeight="true" outlineLevel="0" collapsed="false">
      <c r="A316" s="135"/>
      <c r="B316" s="135"/>
      <c r="C316" s="135"/>
      <c r="D316" s="182"/>
      <c r="E316" s="135"/>
      <c r="F316" s="135"/>
      <c r="G316" s="135"/>
      <c r="H316" s="135"/>
      <c r="I316" s="135"/>
      <c r="J316" s="135"/>
      <c r="K316" s="135"/>
      <c r="L316" s="189"/>
      <c r="M316" s="135"/>
      <c r="N316" s="135"/>
      <c r="O316" s="135"/>
      <c r="P316" s="135"/>
      <c r="Q316" s="135"/>
      <c r="R316" s="135"/>
      <c r="S316" s="135"/>
    </row>
    <row r="317" customFormat="false" ht="15.75" hidden="false" customHeight="true" outlineLevel="0" collapsed="false">
      <c r="A317" s="135"/>
      <c r="B317" s="135"/>
      <c r="C317" s="135"/>
      <c r="D317" s="182"/>
      <c r="E317" s="135"/>
      <c r="F317" s="135"/>
      <c r="G317" s="135"/>
      <c r="H317" s="135"/>
      <c r="I317" s="135"/>
      <c r="J317" s="135"/>
      <c r="K317" s="135"/>
      <c r="L317" s="189"/>
      <c r="M317" s="135"/>
      <c r="N317" s="135"/>
      <c r="O317" s="135"/>
      <c r="P317" s="135"/>
      <c r="Q317" s="135"/>
      <c r="R317" s="135"/>
      <c r="S317" s="135"/>
    </row>
    <row r="318" customFormat="false" ht="15.75" hidden="false" customHeight="true" outlineLevel="0" collapsed="false">
      <c r="A318" s="135"/>
      <c r="B318" s="135"/>
      <c r="C318" s="135"/>
      <c r="D318" s="182"/>
      <c r="E318" s="135"/>
      <c r="F318" s="135"/>
      <c r="G318" s="135"/>
      <c r="H318" s="135"/>
      <c r="I318" s="135"/>
      <c r="J318" s="135"/>
      <c r="K318" s="135"/>
      <c r="L318" s="189"/>
      <c r="M318" s="135"/>
      <c r="N318" s="135"/>
      <c r="O318" s="135"/>
      <c r="P318" s="135"/>
      <c r="Q318" s="135"/>
      <c r="R318" s="135"/>
      <c r="S318" s="135"/>
    </row>
    <row r="319" customFormat="false" ht="15.75" hidden="false" customHeight="true" outlineLevel="0" collapsed="false">
      <c r="A319" s="135"/>
      <c r="B319" s="135"/>
      <c r="C319" s="135"/>
      <c r="D319" s="182"/>
      <c r="E319" s="135"/>
      <c r="F319" s="135"/>
      <c r="G319" s="135"/>
      <c r="H319" s="135"/>
      <c r="I319" s="135"/>
      <c r="J319" s="135"/>
      <c r="K319" s="135"/>
      <c r="L319" s="189"/>
      <c r="M319" s="135"/>
      <c r="N319" s="135"/>
      <c r="O319" s="135"/>
      <c r="P319" s="135"/>
      <c r="Q319" s="135"/>
      <c r="R319" s="135"/>
      <c r="S319" s="135"/>
    </row>
    <row r="320" customFormat="false" ht="15.75" hidden="false" customHeight="true" outlineLevel="0" collapsed="false">
      <c r="A320" s="135"/>
      <c r="B320" s="135"/>
      <c r="C320" s="135"/>
      <c r="D320" s="182"/>
      <c r="E320" s="135"/>
      <c r="F320" s="135"/>
      <c r="G320" s="135"/>
      <c r="H320" s="135"/>
      <c r="I320" s="135"/>
      <c r="J320" s="135"/>
      <c r="K320" s="135"/>
      <c r="L320" s="189"/>
      <c r="M320" s="135"/>
      <c r="N320" s="135"/>
      <c r="O320" s="135"/>
      <c r="P320" s="135"/>
      <c r="Q320" s="135"/>
      <c r="R320" s="135"/>
      <c r="S320" s="135"/>
    </row>
    <row r="321" customFormat="false" ht="15.75" hidden="false" customHeight="true" outlineLevel="0" collapsed="false">
      <c r="A321" s="135"/>
      <c r="B321" s="135"/>
      <c r="C321" s="135"/>
      <c r="D321" s="182"/>
      <c r="E321" s="135"/>
      <c r="F321" s="135"/>
      <c r="G321" s="135"/>
      <c r="H321" s="135"/>
      <c r="I321" s="135"/>
      <c r="J321" s="135"/>
      <c r="K321" s="135"/>
      <c r="L321" s="189"/>
      <c r="M321" s="135"/>
      <c r="N321" s="135"/>
      <c r="O321" s="135"/>
      <c r="P321" s="135"/>
      <c r="Q321" s="135"/>
      <c r="R321" s="135"/>
      <c r="S321" s="135"/>
    </row>
    <row r="322" customFormat="false" ht="15.75" hidden="false" customHeight="true" outlineLevel="0" collapsed="false">
      <c r="A322" s="135"/>
      <c r="B322" s="135"/>
      <c r="C322" s="135"/>
      <c r="D322" s="182"/>
      <c r="E322" s="135"/>
      <c r="F322" s="135"/>
      <c r="G322" s="135"/>
      <c r="H322" s="135"/>
      <c r="I322" s="135"/>
      <c r="J322" s="135"/>
      <c r="K322" s="135"/>
      <c r="L322" s="189"/>
      <c r="M322" s="135"/>
      <c r="N322" s="135"/>
      <c r="O322" s="135"/>
      <c r="P322" s="135"/>
      <c r="Q322" s="135"/>
      <c r="R322" s="135"/>
      <c r="S322" s="135"/>
    </row>
    <row r="323" customFormat="false" ht="15.75" hidden="false" customHeight="true" outlineLevel="0" collapsed="false">
      <c r="A323" s="135"/>
      <c r="B323" s="135"/>
      <c r="C323" s="135"/>
      <c r="D323" s="182"/>
      <c r="E323" s="135"/>
      <c r="F323" s="135"/>
      <c r="G323" s="135"/>
      <c r="H323" s="135"/>
      <c r="I323" s="135"/>
      <c r="J323" s="135"/>
      <c r="K323" s="135"/>
      <c r="L323" s="189"/>
      <c r="M323" s="135"/>
      <c r="N323" s="135"/>
      <c r="O323" s="135"/>
      <c r="P323" s="135"/>
      <c r="Q323" s="135"/>
      <c r="R323" s="135"/>
      <c r="S323" s="135"/>
    </row>
    <row r="324" customFormat="false" ht="15.75" hidden="false" customHeight="true" outlineLevel="0" collapsed="false">
      <c r="A324" s="135"/>
      <c r="B324" s="135"/>
      <c r="C324" s="135"/>
      <c r="D324" s="182"/>
      <c r="E324" s="135"/>
      <c r="F324" s="135"/>
      <c r="G324" s="135"/>
      <c r="H324" s="135"/>
      <c r="I324" s="135"/>
      <c r="J324" s="135"/>
      <c r="K324" s="135"/>
      <c r="L324" s="189"/>
      <c r="M324" s="135"/>
      <c r="N324" s="135"/>
      <c r="O324" s="135"/>
      <c r="P324" s="135"/>
      <c r="Q324" s="135"/>
      <c r="R324" s="135"/>
      <c r="S324" s="135"/>
    </row>
    <row r="325" customFormat="false" ht="15.75" hidden="false" customHeight="true" outlineLevel="0" collapsed="false">
      <c r="A325" s="135"/>
      <c r="B325" s="135"/>
      <c r="C325" s="135"/>
      <c r="D325" s="182"/>
      <c r="E325" s="135"/>
      <c r="F325" s="135"/>
      <c r="G325" s="135"/>
      <c r="H325" s="135"/>
      <c r="I325" s="135"/>
      <c r="J325" s="135"/>
      <c r="K325" s="135"/>
      <c r="L325" s="189"/>
      <c r="M325" s="135"/>
      <c r="N325" s="135"/>
      <c r="O325" s="135"/>
      <c r="P325" s="135"/>
      <c r="Q325" s="135"/>
      <c r="R325" s="135"/>
      <c r="S325" s="135"/>
    </row>
    <row r="326" customFormat="false" ht="15.75" hidden="false" customHeight="true" outlineLevel="0" collapsed="false">
      <c r="A326" s="135"/>
      <c r="B326" s="135"/>
      <c r="C326" s="135"/>
      <c r="D326" s="182"/>
      <c r="E326" s="135"/>
      <c r="F326" s="135"/>
      <c r="G326" s="135"/>
      <c r="H326" s="135"/>
      <c r="I326" s="135"/>
      <c r="J326" s="135"/>
      <c r="K326" s="135"/>
      <c r="L326" s="189"/>
      <c r="M326" s="135"/>
      <c r="N326" s="135"/>
      <c r="O326" s="135"/>
      <c r="P326" s="135"/>
      <c r="Q326" s="135"/>
      <c r="R326" s="135"/>
      <c r="S326" s="135"/>
    </row>
    <row r="327" customFormat="false" ht="15.75" hidden="false" customHeight="true" outlineLevel="0" collapsed="false">
      <c r="A327" s="135"/>
      <c r="B327" s="135"/>
      <c r="C327" s="135"/>
      <c r="D327" s="182"/>
      <c r="E327" s="135"/>
      <c r="F327" s="135"/>
      <c r="G327" s="135"/>
      <c r="H327" s="135"/>
      <c r="I327" s="135"/>
      <c r="J327" s="135"/>
      <c r="K327" s="135"/>
      <c r="L327" s="189"/>
      <c r="M327" s="135"/>
      <c r="N327" s="135"/>
      <c r="O327" s="135"/>
      <c r="P327" s="135"/>
      <c r="Q327" s="135"/>
      <c r="R327" s="135"/>
      <c r="S327" s="135"/>
    </row>
    <row r="328" customFormat="false" ht="15.75" hidden="false" customHeight="true" outlineLevel="0" collapsed="false">
      <c r="A328" s="135"/>
      <c r="B328" s="135"/>
      <c r="C328" s="135"/>
      <c r="D328" s="182"/>
      <c r="E328" s="135"/>
      <c r="F328" s="135"/>
      <c r="G328" s="135"/>
      <c r="H328" s="135"/>
      <c r="I328" s="135"/>
      <c r="J328" s="135"/>
      <c r="K328" s="135"/>
      <c r="L328" s="189"/>
      <c r="M328" s="135"/>
      <c r="N328" s="135"/>
      <c r="O328" s="135"/>
      <c r="P328" s="135"/>
      <c r="Q328" s="135"/>
      <c r="R328" s="135"/>
      <c r="S328" s="135"/>
    </row>
    <row r="329" customFormat="false" ht="15.75" hidden="false" customHeight="true" outlineLevel="0" collapsed="false">
      <c r="A329" s="135"/>
      <c r="B329" s="135"/>
      <c r="C329" s="135"/>
      <c r="D329" s="182"/>
      <c r="E329" s="135"/>
      <c r="F329" s="135"/>
      <c r="G329" s="135"/>
      <c r="H329" s="135"/>
      <c r="I329" s="135"/>
      <c r="J329" s="135"/>
      <c r="K329" s="135"/>
      <c r="L329" s="189"/>
      <c r="M329" s="135"/>
      <c r="N329" s="135"/>
      <c r="O329" s="135"/>
      <c r="P329" s="135"/>
      <c r="Q329" s="135"/>
      <c r="R329" s="135"/>
      <c r="S329" s="135"/>
    </row>
    <row r="330" customFormat="false" ht="15.75" hidden="false" customHeight="true" outlineLevel="0" collapsed="false">
      <c r="A330" s="135"/>
      <c r="B330" s="135"/>
      <c r="C330" s="135"/>
      <c r="D330" s="182"/>
      <c r="E330" s="135"/>
      <c r="F330" s="135"/>
      <c r="G330" s="135"/>
      <c r="H330" s="135"/>
      <c r="I330" s="135"/>
      <c r="J330" s="135"/>
      <c r="K330" s="135"/>
      <c r="L330" s="189"/>
      <c r="M330" s="135"/>
      <c r="N330" s="135"/>
      <c r="O330" s="135"/>
      <c r="P330" s="135"/>
      <c r="Q330" s="135"/>
      <c r="R330" s="135"/>
      <c r="S330" s="135"/>
    </row>
    <row r="331" customFormat="false" ht="15.75" hidden="false" customHeight="true" outlineLevel="0" collapsed="false">
      <c r="A331" s="135"/>
      <c r="B331" s="135"/>
      <c r="C331" s="135"/>
      <c r="D331" s="182"/>
      <c r="E331" s="135"/>
      <c r="F331" s="135"/>
      <c r="G331" s="135"/>
      <c r="H331" s="135"/>
      <c r="I331" s="135"/>
      <c r="J331" s="135"/>
      <c r="K331" s="135"/>
      <c r="L331" s="189"/>
      <c r="M331" s="135"/>
      <c r="N331" s="135"/>
      <c r="O331" s="135"/>
      <c r="P331" s="135"/>
      <c r="Q331" s="135"/>
      <c r="R331" s="135"/>
      <c r="S331" s="135"/>
    </row>
    <row r="332" customFormat="false" ht="15.75" hidden="false" customHeight="true" outlineLevel="0" collapsed="false">
      <c r="A332" s="135"/>
      <c r="B332" s="135"/>
      <c r="C332" s="135"/>
      <c r="D332" s="182"/>
      <c r="E332" s="135"/>
      <c r="F332" s="135"/>
      <c r="G332" s="135"/>
      <c r="H332" s="135"/>
      <c r="I332" s="135"/>
      <c r="J332" s="135"/>
      <c r="K332" s="135"/>
      <c r="L332" s="189"/>
      <c r="M332" s="135"/>
      <c r="N332" s="135"/>
      <c r="O332" s="135"/>
      <c r="P332" s="135"/>
      <c r="Q332" s="135"/>
      <c r="R332" s="135"/>
      <c r="S332" s="135"/>
    </row>
    <row r="333" customFormat="false" ht="15.75" hidden="false" customHeight="true" outlineLevel="0" collapsed="false">
      <c r="A333" s="135"/>
      <c r="B333" s="135"/>
      <c r="C333" s="135"/>
      <c r="D333" s="182"/>
      <c r="E333" s="135"/>
      <c r="F333" s="135"/>
      <c r="G333" s="135"/>
      <c r="H333" s="135"/>
      <c r="I333" s="135"/>
      <c r="J333" s="135"/>
      <c r="K333" s="135"/>
      <c r="L333" s="189"/>
      <c r="M333" s="135"/>
      <c r="N333" s="135"/>
      <c r="O333" s="135"/>
      <c r="P333" s="135"/>
      <c r="Q333" s="135"/>
      <c r="R333" s="135"/>
      <c r="S333" s="135"/>
    </row>
    <row r="334" customFormat="false" ht="15.75" hidden="false" customHeight="true" outlineLevel="0" collapsed="false">
      <c r="A334" s="135"/>
      <c r="B334" s="135"/>
      <c r="C334" s="135"/>
      <c r="D334" s="182"/>
      <c r="E334" s="135"/>
      <c r="F334" s="135"/>
      <c r="G334" s="135"/>
      <c r="H334" s="135"/>
      <c r="I334" s="135"/>
      <c r="J334" s="135"/>
      <c r="K334" s="135"/>
      <c r="L334" s="189"/>
      <c r="M334" s="135"/>
      <c r="N334" s="135"/>
      <c r="O334" s="135"/>
      <c r="P334" s="135"/>
      <c r="Q334" s="135"/>
      <c r="R334" s="135"/>
      <c r="S334" s="135"/>
    </row>
    <row r="335" customFormat="false" ht="15.75" hidden="false" customHeight="true" outlineLevel="0" collapsed="false">
      <c r="A335" s="135"/>
      <c r="B335" s="135"/>
      <c r="C335" s="135"/>
      <c r="D335" s="182"/>
      <c r="E335" s="135"/>
      <c r="F335" s="135"/>
      <c r="G335" s="135"/>
      <c r="H335" s="135"/>
      <c r="I335" s="135"/>
      <c r="J335" s="135"/>
      <c r="K335" s="135"/>
      <c r="L335" s="189"/>
      <c r="M335" s="135"/>
      <c r="N335" s="135"/>
      <c r="O335" s="135"/>
      <c r="P335" s="135"/>
      <c r="Q335" s="135"/>
      <c r="R335" s="135"/>
      <c r="S335" s="135"/>
    </row>
    <row r="336" customFormat="false" ht="15.75" hidden="false" customHeight="true" outlineLevel="0" collapsed="false">
      <c r="A336" s="135"/>
      <c r="B336" s="135"/>
      <c r="C336" s="135"/>
      <c r="D336" s="182"/>
      <c r="E336" s="135"/>
      <c r="F336" s="135"/>
      <c r="G336" s="135"/>
      <c r="H336" s="135"/>
      <c r="I336" s="135"/>
      <c r="J336" s="135"/>
      <c r="K336" s="135"/>
      <c r="L336" s="189"/>
      <c r="M336" s="135"/>
      <c r="N336" s="135"/>
      <c r="O336" s="135"/>
      <c r="P336" s="135"/>
      <c r="Q336" s="135"/>
      <c r="R336" s="135"/>
      <c r="S336" s="135"/>
    </row>
    <row r="337" customFormat="false" ht="15.75" hidden="false" customHeight="true" outlineLevel="0" collapsed="false">
      <c r="A337" s="135"/>
      <c r="B337" s="135"/>
      <c r="C337" s="135"/>
      <c r="D337" s="182"/>
      <c r="E337" s="135"/>
      <c r="F337" s="135"/>
      <c r="G337" s="135"/>
      <c r="H337" s="135"/>
      <c r="I337" s="135"/>
      <c r="J337" s="135"/>
      <c r="K337" s="135"/>
      <c r="L337" s="189"/>
      <c r="M337" s="135"/>
      <c r="N337" s="135"/>
      <c r="O337" s="135"/>
      <c r="P337" s="135"/>
      <c r="Q337" s="135"/>
      <c r="R337" s="135"/>
      <c r="S337" s="135"/>
    </row>
    <row r="338" customFormat="false" ht="15.75" hidden="false" customHeight="true" outlineLevel="0" collapsed="false">
      <c r="A338" s="135"/>
      <c r="B338" s="135"/>
      <c r="C338" s="135"/>
      <c r="D338" s="182"/>
      <c r="E338" s="135"/>
      <c r="F338" s="135"/>
      <c r="G338" s="135"/>
      <c r="H338" s="135"/>
      <c r="I338" s="135"/>
      <c r="J338" s="135"/>
      <c r="K338" s="135"/>
      <c r="L338" s="189"/>
      <c r="M338" s="135"/>
      <c r="N338" s="135"/>
      <c r="O338" s="135"/>
      <c r="P338" s="135"/>
      <c r="Q338" s="135"/>
      <c r="R338" s="135"/>
      <c r="S338" s="135"/>
    </row>
    <row r="339" customFormat="false" ht="15.75" hidden="false" customHeight="true" outlineLevel="0" collapsed="false">
      <c r="A339" s="135"/>
      <c r="B339" s="135"/>
      <c r="C339" s="135"/>
      <c r="D339" s="182"/>
      <c r="E339" s="135"/>
      <c r="F339" s="135"/>
      <c r="G339" s="135"/>
      <c r="H339" s="135"/>
      <c r="I339" s="135"/>
      <c r="J339" s="135"/>
      <c r="K339" s="135"/>
      <c r="L339" s="189"/>
      <c r="M339" s="135"/>
      <c r="N339" s="135"/>
      <c r="O339" s="135"/>
      <c r="P339" s="135"/>
      <c r="Q339" s="135"/>
      <c r="R339" s="135"/>
      <c r="S339" s="135"/>
    </row>
    <row r="340" customFormat="false" ht="15.75" hidden="false" customHeight="true" outlineLevel="0" collapsed="false">
      <c r="A340" s="135"/>
      <c r="B340" s="135"/>
      <c r="C340" s="135"/>
      <c r="D340" s="182"/>
      <c r="E340" s="135"/>
      <c r="F340" s="135"/>
      <c r="G340" s="135"/>
      <c r="H340" s="135"/>
      <c r="I340" s="135"/>
      <c r="J340" s="135"/>
      <c r="K340" s="135"/>
      <c r="L340" s="189"/>
      <c r="M340" s="135"/>
      <c r="N340" s="135"/>
      <c r="O340" s="135"/>
      <c r="P340" s="135"/>
      <c r="Q340" s="135"/>
      <c r="R340" s="135"/>
      <c r="S340" s="135"/>
    </row>
    <row r="341" customFormat="false" ht="15.75" hidden="false" customHeight="true" outlineLevel="0" collapsed="false">
      <c r="A341" s="135"/>
      <c r="B341" s="135"/>
      <c r="C341" s="135"/>
      <c r="D341" s="182"/>
      <c r="E341" s="135"/>
      <c r="F341" s="135"/>
      <c r="G341" s="135"/>
      <c r="H341" s="135"/>
      <c r="I341" s="135"/>
      <c r="J341" s="135"/>
      <c r="K341" s="135"/>
      <c r="L341" s="189"/>
      <c r="M341" s="135"/>
      <c r="N341" s="135"/>
      <c r="O341" s="135"/>
      <c r="P341" s="135"/>
      <c r="Q341" s="135"/>
      <c r="R341" s="135"/>
      <c r="S341" s="135"/>
    </row>
    <row r="342" customFormat="false" ht="15.75" hidden="false" customHeight="true" outlineLevel="0" collapsed="false">
      <c r="A342" s="135"/>
      <c r="B342" s="135"/>
      <c r="C342" s="135"/>
      <c r="D342" s="182"/>
      <c r="E342" s="135"/>
      <c r="F342" s="135"/>
      <c r="G342" s="135"/>
      <c r="H342" s="135"/>
      <c r="I342" s="135"/>
      <c r="J342" s="135"/>
      <c r="K342" s="135"/>
      <c r="L342" s="189"/>
      <c r="M342" s="135"/>
      <c r="N342" s="135"/>
      <c r="O342" s="135"/>
      <c r="P342" s="135"/>
      <c r="Q342" s="135"/>
      <c r="R342" s="135"/>
      <c r="S342" s="135"/>
    </row>
    <row r="343" customFormat="false" ht="15.75" hidden="false" customHeight="true" outlineLevel="0" collapsed="false">
      <c r="A343" s="135"/>
      <c r="B343" s="135"/>
      <c r="C343" s="135"/>
      <c r="D343" s="182"/>
      <c r="E343" s="135"/>
      <c r="F343" s="135"/>
      <c r="G343" s="135"/>
      <c r="H343" s="135"/>
      <c r="I343" s="135"/>
      <c r="J343" s="135"/>
      <c r="K343" s="135"/>
      <c r="L343" s="189"/>
      <c r="M343" s="135"/>
      <c r="N343" s="135"/>
      <c r="O343" s="135"/>
      <c r="P343" s="135"/>
      <c r="Q343" s="135"/>
      <c r="R343" s="135"/>
      <c r="S343" s="135"/>
    </row>
    <row r="344" customFormat="false" ht="15.75" hidden="false" customHeight="true" outlineLevel="0" collapsed="false">
      <c r="A344" s="135"/>
      <c r="B344" s="135"/>
      <c r="C344" s="135"/>
      <c r="D344" s="182"/>
      <c r="E344" s="135"/>
      <c r="F344" s="135"/>
      <c r="G344" s="135"/>
      <c r="H344" s="135"/>
      <c r="I344" s="135"/>
      <c r="J344" s="135"/>
      <c r="K344" s="135"/>
      <c r="L344" s="189"/>
      <c r="M344" s="135"/>
      <c r="N344" s="135"/>
      <c r="O344" s="135"/>
      <c r="P344" s="135"/>
      <c r="Q344" s="135"/>
      <c r="R344" s="135"/>
      <c r="S344" s="135"/>
    </row>
    <row r="345" customFormat="false" ht="15.75" hidden="false" customHeight="true" outlineLevel="0" collapsed="false">
      <c r="A345" s="135"/>
      <c r="B345" s="135"/>
      <c r="C345" s="135"/>
      <c r="D345" s="182"/>
      <c r="E345" s="135"/>
      <c r="F345" s="135"/>
      <c r="G345" s="135"/>
      <c r="H345" s="135"/>
      <c r="I345" s="135"/>
      <c r="J345" s="135"/>
      <c r="K345" s="135"/>
      <c r="L345" s="189"/>
      <c r="M345" s="135"/>
      <c r="N345" s="135"/>
      <c r="O345" s="135"/>
      <c r="P345" s="135"/>
      <c r="Q345" s="135"/>
      <c r="R345" s="135"/>
      <c r="S345" s="135"/>
    </row>
    <row r="346" customFormat="false" ht="15.75" hidden="false" customHeight="true" outlineLevel="0" collapsed="false">
      <c r="A346" s="135"/>
      <c r="B346" s="135"/>
      <c r="C346" s="135"/>
      <c r="D346" s="182"/>
      <c r="E346" s="135"/>
      <c r="F346" s="135"/>
      <c r="G346" s="135"/>
      <c r="H346" s="135"/>
      <c r="I346" s="135"/>
      <c r="J346" s="135"/>
      <c r="K346" s="135"/>
      <c r="L346" s="189"/>
      <c r="M346" s="135"/>
      <c r="N346" s="135"/>
      <c r="O346" s="135"/>
      <c r="P346" s="135"/>
      <c r="Q346" s="135"/>
      <c r="R346" s="135"/>
      <c r="S346" s="135"/>
    </row>
    <row r="347" customFormat="false" ht="15.75" hidden="false" customHeight="true" outlineLevel="0" collapsed="false">
      <c r="A347" s="135"/>
      <c r="B347" s="135"/>
      <c r="C347" s="135"/>
      <c r="D347" s="182"/>
      <c r="E347" s="135"/>
      <c r="F347" s="135"/>
      <c r="G347" s="135"/>
      <c r="H347" s="135"/>
      <c r="I347" s="135"/>
      <c r="J347" s="135"/>
      <c r="K347" s="135"/>
      <c r="L347" s="189"/>
      <c r="M347" s="135"/>
      <c r="N347" s="135"/>
      <c r="O347" s="135"/>
      <c r="P347" s="135"/>
      <c r="Q347" s="135"/>
      <c r="R347" s="135"/>
      <c r="S347" s="135"/>
    </row>
    <row r="348" customFormat="false" ht="15.75" hidden="false" customHeight="true" outlineLevel="0" collapsed="false">
      <c r="A348" s="135"/>
      <c r="B348" s="135"/>
      <c r="C348" s="135"/>
      <c r="D348" s="182"/>
      <c r="E348" s="135"/>
      <c r="F348" s="135"/>
      <c r="G348" s="135"/>
      <c r="H348" s="135"/>
      <c r="I348" s="135"/>
      <c r="J348" s="135"/>
      <c r="K348" s="135"/>
      <c r="L348" s="189"/>
      <c r="M348" s="135"/>
      <c r="N348" s="135"/>
      <c r="O348" s="135"/>
      <c r="P348" s="135"/>
      <c r="Q348" s="135"/>
      <c r="R348" s="135"/>
      <c r="S348" s="135"/>
    </row>
    <row r="349" customFormat="false" ht="15.75" hidden="false" customHeight="true" outlineLevel="0" collapsed="false">
      <c r="A349" s="135"/>
      <c r="B349" s="135"/>
      <c r="C349" s="135"/>
      <c r="D349" s="182"/>
      <c r="E349" s="135"/>
      <c r="F349" s="135"/>
      <c r="G349" s="135"/>
      <c r="H349" s="135"/>
      <c r="I349" s="135"/>
      <c r="J349" s="135"/>
      <c r="K349" s="135"/>
      <c r="L349" s="189"/>
      <c r="M349" s="135"/>
      <c r="N349" s="135"/>
      <c r="O349" s="135"/>
      <c r="P349" s="135"/>
      <c r="Q349" s="135"/>
      <c r="R349" s="135"/>
      <c r="S349" s="135"/>
    </row>
    <row r="350" customFormat="false" ht="15.75" hidden="false" customHeight="true" outlineLevel="0" collapsed="false">
      <c r="A350" s="135"/>
      <c r="B350" s="135"/>
      <c r="C350" s="135"/>
      <c r="D350" s="182"/>
      <c r="E350" s="135"/>
      <c r="F350" s="135"/>
      <c r="G350" s="135"/>
      <c r="H350" s="135"/>
      <c r="I350" s="135"/>
      <c r="J350" s="135"/>
      <c r="K350" s="135"/>
      <c r="L350" s="189"/>
      <c r="M350" s="135"/>
      <c r="N350" s="135"/>
      <c r="O350" s="135"/>
      <c r="P350" s="135"/>
      <c r="Q350" s="135"/>
      <c r="R350" s="135"/>
      <c r="S350" s="135"/>
    </row>
    <row r="351" customFormat="false" ht="15.75" hidden="false" customHeight="true" outlineLevel="0" collapsed="false">
      <c r="A351" s="135"/>
      <c r="B351" s="135"/>
      <c r="C351" s="135"/>
      <c r="D351" s="182"/>
      <c r="E351" s="135"/>
      <c r="F351" s="135"/>
      <c r="G351" s="135"/>
      <c r="H351" s="135"/>
      <c r="I351" s="135"/>
      <c r="J351" s="135"/>
      <c r="K351" s="135"/>
      <c r="L351" s="189"/>
      <c r="M351" s="135"/>
      <c r="N351" s="135"/>
      <c r="O351" s="135"/>
      <c r="P351" s="135"/>
      <c r="Q351" s="135"/>
      <c r="R351" s="135"/>
      <c r="S351" s="135"/>
    </row>
    <row r="352" customFormat="false" ht="15.75" hidden="false" customHeight="true" outlineLevel="0" collapsed="false">
      <c r="A352" s="135"/>
      <c r="B352" s="135"/>
      <c r="C352" s="135"/>
      <c r="D352" s="182"/>
      <c r="E352" s="135"/>
      <c r="F352" s="135"/>
      <c r="G352" s="135"/>
      <c r="H352" s="135"/>
      <c r="I352" s="135"/>
      <c r="J352" s="135"/>
      <c r="K352" s="135"/>
      <c r="L352" s="189"/>
      <c r="M352" s="135"/>
      <c r="N352" s="135"/>
      <c r="O352" s="135"/>
      <c r="P352" s="135"/>
      <c r="Q352" s="135"/>
      <c r="R352" s="135"/>
      <c r="S352" s="135"/>
    </row>
    <row r="353" customFormat="false" ht="15.75" hidden="false" customHeight="true" outlineLevel="0" collapsed="false">
      <c r="A353" s="135"/>
      <c r="B353" s="135"/>
      <c r="C353" s="135"/>
      <c r="D353" s="182"/>
      <c r="E353" s="135"/>
      <c r="F353" s="135"/>
      <c r="G353" s="135"/>
      <c r="H353" s="135"/>
      <c r="I353" s="135"/>
      <c r="J353" s="135"/>
      <c r="K353" s="135"/>
      <c r="L353" s="189"/>
      <c r="M353" s="135"/>
      <c r="N353" s="135"/>
      <c r="O353" s="135"/>
      <c r="P353" s="135"/>
      <c r="Q353" s="135"/>
      <c r="R353" s="135"/>
      <c r="S353" s="135"/>
    </row>
    <row r="354" customFormat="false" ht="15.75" hidden="false" customHeight="true" outlineLevel="0" collapsed="false">
      <c r="A354" s="135"/>
      <c r="B354" s="135"/>
      <c r="C354" s="135"/>
      <c r="D354" s="182"/>
      <c r="E354" s="135"/>
      <c r="F354" s="135"/>
      <c r="G354" s="135"/>
      <c r="H354" s="135"/>
      <c r="I354" s="135"/>
      <c r="J354" s="135"/>
      <c r="K354" s="135"/>
      <c r="L354" s="189"/>
      <c r="M354" s="135"/>
      <c r="N354" s="135"/>
      <c r="O354" s="135"/>
      <c r="P354" s="135"/>
      <c r="Q354" s="135"/>
      <c r="R354" s="135"/>
      <c r="S354" s="135"/>
    </row>
    <row r="355" customFormat="false" ht="15.75" hidden="false" customHeight="true" outlineLevel="0" collapsed="false">
      <c r="A355" s="135"/>
      <c r="B355" s="135"/>
      <c r="C355" s="135"/>
      <c r="D355" s="182"/>
      <c r="E355" s="135"/>
      <c r="F355" s="135"/>
      <c r="G355" s="135"/>
      <c r="H355" s="135"/>
      <c r="I355" s="135"/>
      <c r="J355" s="135"/>
      <c r="K355" s="135"/>
      <c r="L355" s="189"/>
      <c r="M355" s="135"/>
      <c r="N355" s="135"/>
      <c r="O355" s="135"/>
      <c r="P355" s="135"/>
      <c r="Q355" s="135"/>
      <c r="R355" s="135"/>
      <c r="S355" s="135"/>
    </row>
    <row r="356" customFormat="false" ht="15.75" hidden="false" customHeight="true" outlineLevel="0" collapsed="false">
      <c r="A356" s="135"/>
      <c r="B356" s="135"/>
      <c r="C356" s="135"/>
      <c r="D356" s="182"/>
      <c r="E356" s="135"/>
      <c r="F356" s="135"/>
      <c r="G356" s="135"/>
      <c r="H356" s="135"/>
      <c r="I356" s="135"/>
      <c r="J356" s="135"/>
      <c r="K356" s="135"/>
      <c r="L356" s="189"/>
      <c r="M356" s="135"/>
      <c r="N356" s="135"/>
      <c r="O356" s="135"/>
      <c r="P356" s="135"/>
      <c r="Q356" s="135"/>
      <c r="R356" s="135"/>
      <c r="S356" s="135"/>
    </row>
    <row r="357" customFormat="false" ht="15.75" hidden="false" customHeight="true" outlineLevel="0" collapsed="false">
      <c r="A357" s="135"/>
      <c r="B357" s="135"/>
      <c r="C357" s="135"/>
      <c r="D357" s="182"/>
      <c r="E357" s="135"/>
      <c r="F357" s="135"/>
      <c r="G357" s="135"/>
      <c r="H357" s="135"/>
      <c r="I357" s="135"/>
      <c r="J357" s="135"/>
      <c r="K357" s="135"/>
      <c r="L357" s="189"/>
      <c r="M357" s="135"/>
      <c r="N357" s="135"/>
      <c r="O357" s="135"/>
      <c r="P357" s="135"/>
      <c r="Q357" s="135"/>
      <c r="R357" s="135"/>
      <c r="S357" s="135"/>
    </row>
    <row r="358" customFormat="false" ht="15.75" hidden="false" customHeight="true" outlineLevel="0" collapsed="false">
      <c r="A358" s="135"/>
      <c r="B358" s="135"/>
      <c r="C358" s="135"/>
      <c r="D358" s="182"/>
      <c r="E358" s="135"/>
      <c r="F358" s="135"/>
      <c r="G358" s="135"/>
      <c r="H358" s="135"/>
      <c r="I358" s="135"/>
      <c r="J358" s="135"/>
      <c r="K358" s="135"/>
      <c r="L358" s="189"/>
      <c r="M358" s="135"/>
      <c r="N358" s="135"/>
      <c r="O358" s="135"/>
      <c r="P358" s="135"/>
      <c r="Q358" s="135"/>
      <c r="R358" s="135"/>
      <c r="S358" s="135"/>
    </row>
    <row r="359" customFormat="false" ht="15.75" hidden="false" customHeight="true" outlineLevel="0" collapsed="false">
      <c r="A359" s="135"/>
      <c r="B359" s="135"/>
      <c r="C359" s="135"/>
      <c r="D359" s="182"/>
      <c r="E359" s="135"/>
      <c r="F359" s="135"/>
      <c r="G359" s="135"/>
      <c r="H359" s="135"/>
      <c r="I359" s="135"/>
      <c r="J359" s="135"/>
      <c r="K359" s="135"/>
      <c r="L359" s="189"/>
      <c r="M359" s="135"/>
      <c r="N359" s="135"/>
      <c r="O359" s="135"/>
      <c r="P359" s="135"/>
      <c r="Q359" s="135"/>
      <c r="R359" s="135"/>
      <c r="S359" s="135"/>
    </row>
    <row r="360" customFormat="false" ht="15.75" hidden="false" customHeight="true" outlineLevel="0" collapsed="false">
      <c r="A360" s="135"/>
      <c r="B360" s="135"/>
      <c r="C360" s="135"/>
      <c r="D360" s="182"/>
      <c r="E360" s="135"/>
      <c r="F360" s="135"/>
      <c r="G360" s="135"/>
      <c r="H360" s="135"/>
      <c r="I360" s="135"/>
      <c r="J360" s="135"/>
      <c r="K360" s="135"/>
      <c r="L360" s="189"/>
      <c r="M360" s="135"/>
      <c r="N360" s="135"/>
      <c r="O360" s="135"/>
      <c r="P360" s="135"/>
      <c r="Q360" s="135"/>
      <c r="R360" s="135"/>
      <c r="S360" s="135"/>
    </row>
    <row r="361" customFormat="false" ht="15.75" hidden="false" customHeight="true" outlineLevel="0" collapsed="false">
      <c r="A361" s="135"/>
      <c r="B361" s="135"/>
      <c r="C361" s="135"/>
      <c r="D361" s="182"/>
      <c r="E361" s="135"/>
      <c r="F361" s="135"/>
      <c r="G361" s="135"/>
      <c r="H361" s="135"/>
      <c r="I361" s="135"/>
      <c r="J361" s="135"/>
      <c r="K361" s="135"/>
      <c r="L361" s="189"/>
      <c r="M361" s="135"/>
      <c r="N361" s="135"/>
      <c r="O361" s="135"/>
      <c r="P361" s="135"/>
      <c r="Q361" s="135"/>
      <c r="R361" s="135"/>
      <c r="S361" s="135"/>
    </row>
    <row r="362" customFormat="false" ht="15.75" hidden="false" customHeight="true" outlineLevel="0" collapsed="false">
      <c r="A362" s="135"/>
      <c r="B362" s="135"/>
      <c r="C362" s="135"/>
      <c r="D362" s="182"/>
      <c r="E362" s="135"/>
      <c r="F362" s="135"/>
      <c r="G362" s="135"/>
      <c r="H362" s="135"/>
      <c r="I362" s="135"/>
      <c r="J362" s="135"/>
      <c r="K362" s="135"/>
      <c r="L362" s="189"/>
      <c r="M362" s="135"/>
      <c r="N362" s="135"/>
      <c r="O362" s="135"/>
      <c r="P362" s="135"/>
      <c r="Q362" s="135"/>
      <c r="R362" s="135"/>
      <c r="S362" s="135"/>
    </row>
    <row r="363" customFormat="false" ht="15.75" hidden="false" customHeight="true" outlineLevel="0" collapsed="false">
      <c r="A363" s="135"/>
      <c r="B363" s="135"/>
      <c r="C363" s="135"/>
      <c r="D363" s="182"/>
      <c r="E363" s="135"/>
      <c r="F363" s="135"/>
      <c r="G363" s="135"/>
      <c r="H363" s="135"/>
      <c r="I363" s="135"/>
      <c r="J363" s="135"/>
      <c r="K363" s="135"/>
      <c r="L363" s="189"/>
      <c r="M363" s="135"/>
      <c r="N363" s="135"/>
      <c r="O363" s="135"/>
      <c r="P363" s="135"/>
      <c r="Q363" s="135"/>
      <c r="R363" s="135"/>
      <c r="S363" s="135"/>
    </row>
    <row r="364" customFormat="false" ht="15.75" hidden="false" customHeight="true" outlineLevel="0" collapsed="false">
      <c r="A364" s="135"/>
      <c r="B364" s="135"/>
      <c r="C364" s="135"/>
      <c r="D364" s="182"/>
      <c r="E364" s="135"/>
      <c r="F364" s="135"/>
      <c r="G364" s="135"/>
      <c r="H364" s="135"/>
      <c r="I364" s="135"/>
      <c r="J364" s="135"/>
      <c r="K364" s="135"/>
      <c r="L364" s="189"/>
      <c r="M364" s="135"/>
      <c r="N364" s="135"/>
      <c r="O364" s="135"/>
      <c r="P364" s="135"/>
      <c r="Q364" s="135"/>
      <c r="R364" s="135"/>
      <c r="S364" s="135"/>
    </row>
    <row r="365" customFormat="false" ht="15.75" hidden="false" customHeight="true" outlineLevel="0" collapsed="false">
      <c r="A365" s="135"/>
      <c r="B365" s="135"/>
      <c r="C365" s="135"/>
      <c r="D365" s="182"/>
      <c r="E365" s="135"/>
      <c r="F365" s="135"/>
      <c r="G365" s="135"/>
      <c r="H365" s="135"/>
      <c r="I365" s="135"/>
      <c r="J365" s="135"/>
      <c r="K365" s="135"/>
      <c r="L365" s="189"/>
      <c r="M365" s="135"/>
      <c r="N365" s="135"/>
      <c r="O365" s="135"/>
      <c r="P365" s="135"/>
      <c r="Q365" s="135"/>
      <c r="R365" s="135"/>
      <c r="S365" s="135"/>
    </row>
    <row r="366" customFormat="false" ht="15.75" hidden="false" customHeight="true" outlineLevel="0" collapsed="false">
      <c r="A366" s="135"/>
      <c r="B366" s="135"/>
      <c r="C366" s="135"/>
      <c r="D366" s="182"/>
      <c r="E366" s="135"/>
      <c r="F366" s="135"/>
      <c r="G366" s="135"/>
      <c r="H366" s="135"/>
      <c r="I366" s="135"/>
      <c r="J366" s="135"/>
      <c r="K366" s="135"/>
      <c r="L366" s="189"/>
      <c r="M366" s="135"/>
      <c r="N366" s="135"/>
      <c r="O366" s="135"/>
      <c r="P366" s="135"/>
      <c r="Q366" s="135"/>
      <c r="R366" s="135"/>
      <c r="S366" s="135"/>
    </row>
    <row r="367" customFormat="false" ht="15.75" hidden="false" customHeight="true" outlineLevel="0" collapsed="false">
      <c r="A367" s="135"/>
      <c r="B367" s="135"/>
      <c r="C367" s="135"/>
      <c r="D367" s="182"/>
      <c r="E367" s="135"/>
      <c r="F367" s="135"/>
      <c r="G367" s="135"/>
      <c r="H367" s="135"/>
      <c r="I367" s="135"/>
      <c r="J367" s="135"/>
      <c r="K367" s="135"/>
      <c r="L367" s="189"/>
      <c r="M367" s="135"/>
      <c r="N367" s="135"/>
      <c r="O367" s="135"/>
      <c r="P367" s="135"/>
      <c r="Q367" s="135"/>
      <c r="R367" s="135"/>
      <c r="S367" s="135"/>
    </row>
    <row r="368" customFormat="false" ht="15.75" hidden="false" customHeight="true" outlineLevel="0" collapsed="false">
      <c r="A368" s="135"/>
      <c r="B368" s="135"/>
      <c r="C368" s="135"/>
      <c r="D368" s="182"/>
      <c r="E368" s="135"/>
      <c r="F368" s="135"/>
      <c r="G368" s="135"/>
      <c r="H368" s="135"/>
      <c r="I368" s="135"/>
      <c r="J368" s="135"/>
      <c r="K368" s="135"/>
      <c r="L368" s="189"/>
      <c r="M368" s="135"/>
      <c r="N368" s="135"/>
      <c r="O368" s="135"/>
      <c r="P368" s="135"/>
      <c r="Q368" s="135"/>
      <c r="R368" s="135"/>
      <c r="S368" s="135"/>
    </row>
    <row r="369" customFormat="false" ht="15.75" hidden="false" customHeight="true" outlineLevel="0" collapsed="false">
      <c r="A369" s="135"/>
      <c r="B369" s="135"/>
      <c r="C369" s="135"/>
      <c r="D369" s="182"/>
      <c r="E369" s="135"/>
      <c r="F369" s="135"/>
      <c r="G369" s="135"/>
      <c r="H369" s="135"/>
      <c r="I369" s="135"/>
      <c r="J369" s="135"/>
      <c r="K369" s="135"/>
      <c r="L369" s="189"/>
      <c r="M369" s="135"/>
      <c r="N369" s="135"/>
      <c r="O369" s="135"/>
      <c r="P369" s="135"/>
      <c r="Q369" s="135"/>
      <c r="R369" s="135"/>
      <c r="S369" s="135"/>
    </row>
    <row r="370" customFormat="false" ht="15.75" hidden="false" customHeight="true" outlineLevel="0" collapsed="false">
      <c r="A370" s="135"/>
      <c r="B370" s="135"/>
      <c r="C370" s="135"/>
      <c r="D370" s="182"/>
      <c r="E370" s="135"/>
      <c r="F370" s="135"/>
      <c r="G370" s="135"/>
      <c r="H370" s="135"/>
      <c r="I370" s="135"/>
      <c r="J370" s="135"/>
      <c r="K370" s="135"/>
      <c r="L370" s="189"/>
      <c r="M370" s="135"/>
      <c r="N370" s="135"/>
      <c r="O370" s="135"/>
      <c r="P370" s="135"/>
      <c r="Q370" s="135"/>
      <c r="R370" s="135"/>
      <c r="S370" s="135"/>
    </row>
    <row r="371" customFormat="false" ht="15.75" hidden="false" customHeight="true" outlineLevel="0" collapsed="false">
      <c r="A371" s="135"/>
      <c r="B371" s="135"/>
      <c r="C371" s="135"/>
      <c r="D371" s="182"/>
      <c r="E371" s="135"/>
      <c r="F371" s="135"/>
      <c r="G371" s="135"/>
      <c r="H371" s="135"/>
      <c r="I371" s="135"/>
      <c r="J371" s="135"/>
      <c r="K371" s="135"/>
      <c r="L371" s="189"/>
      <c r="M371" s="135"/>
      <c r="N371" s="135"/>
      <c r="O371" s="135"/>
      <c r="P371" s="135"/>
      <c r="Q371" s="135"/>
      <c r="R371" s="135"/>
      <c r="S371" s="135"/>
    </row>
    <row r="372" customFormat="false" ht="15.75" hidden="false" customHeight="true" outlineLevel="0" collapsed="false">
      <c r="A372" s="135"/>
      <c r="B372" s="135"/>
      <c r="C372" s="135"/>
      <c r="D372" s="182"/>
      <c r="E372" s="135"/>
      <c r="F372" s="135"/>
      <c r="G372" s="135"/>
      <c r="H372" s="135"/>
      <c r="I372" s="135"/>
      <c r="J372" s="135"/>
      <c r="K372" s="135"/>
      <c r="L372" s="189"/>
      <c r="M372" s="135"/>
      <c r="N372" s="135"/>
      <c r="O372" s="135"/>
      <c r="P372" s="135"/>
      <c r="Q372" s="135"/>
      <c r="R372" s="135"/>
      <c r="S372" s="135"/>
    </row>
    <row r="373" customFormat="false" ht="15.75" hidden="false" customHeight="true" outlineLevel="0" collapsed="false">
      <c r="A373" s="135"/>
      <c r="B373" s="135"/>
      <c r="C373" s="135"/>
      <c r="D373" s="182"/>
      <c r="E373" s="135"/>
      <c r="F373" s="135"/>
      <c r="G373" s="135"/>
      <c r="H373" s="135"/>
      <c r="I373" s="135"/>
      <c r="J373" s="135"/>
      <c r="K373" s="135"/>
      <c r="L373" s="189"/>
      <c r="M373" s="135"/>
      <c r="N373" s="135"/>
      <c r="O373" s="135"/>
      <c r="P373" s="135"/>
      <c r="Q373" s="135"/>
      <c r="R373" s="135"/>
      <c r="S373" s="135"/>
    </row>
    <row r="374" customFormat="false" ht="15.75" hidden="false" customHeight="true" outlineLevel="0" collapsed="false">
      <c r="A374" s="135"/>
      <c r="B374" s="135"/>
      <c r="C374" s="135"/>
      <c r="D374" s="182"/>
      <c r="E374" s="135"/>
      <c r="F374" s="135"/>
      <c r="G374" s="135"/>
      <c r="H374" s="135"/>
      <c r="I374" s="135"/>
      <c r="J374" s="135"/>
      <c r="K374" s="135"/>
      <c r="L374" s="189"/>
      <c r="M374" s="135"/>
      <c r="N374" s="135"/>
      <c r="O374" s="135"/>
      <c r="P374" s="135"/>
      <c r="Q374" s="135"/>
      <c r="R374" s="135"/>
      <c r="S374" s="135"/>
    </row>
    <row r="375" customFormat="false" ht="15.75" hidden="false" customHeight="true" outlineLevel="0" collapsed="false">
      <c r="A375" s="135"/>
      <c r="B375" s="135"/>
      <c r="C375" s="135"/>
      <c r="D375" s="182"/>
      <c r="E375" s="135"/>
      <c r="F375" s="135"/>
      <c r="G375" s="135"/>
      <c r="H375" s="135"/>
      <c r="I375" s="135"/>
      <c r="J375" s="135"/>
      <c r="K375" s="135"/>
      <c r="L375" s="189"/>
      <c r="M375" s="135"/>
      <c r="N375" s="135"/>
      <c r="O375" s="135"/>
      <c r="P375" s="135"/>
      <c r="Q375" s="135"/>
      <c r="R375" s="135"/>
      <c r="S375" s="135"/>
    </row>
    <row r="376" customFormat="false" ht="15.75" hidden="false" customHeight="true" outlineLevel="0" collapsed="false">
      <c r="A376" s="135"/>
      <c r="B376" s="135"/>
      <c r="C376" s="135"/>
      <c r="D376" s="182"/>
      <c r="E376" s="135"/>
      <c r="F376" s="135"/>
      <c r="G376" s="135"/>
      <c r="H376" s="135"/>
      <c r="I376" s="135"/>
      <c r="J376" s="135"/>
      <c r="K376" s="135"/>
      <c r="L376" s="189"/>
      <c r="M376" s="135"/>
      <c r="N376" s="135"/>
      <c r="O376" s="135"/>
      <c r="P376" s="135"/>
      <c r="Q376" s="135"/>
      <c r="R376" s="135"/>
      <c r="S376" s="135"/>
    </row>
    <row r="377" customFormat="false" ht="15.75" hidden="false" customHeight="true" outlineLevel="0" collapsed="false">
      <c r="A377" s="135"/>
      <c r="B377" s="135"/>
      <c r="C377" s="135"/>
      <c r="D377" s="182"/>
      <c r="E377" s="135"/>
      <c r="F377" s="135"/>
      <c r="G377" s="135"/>
      <c r="H377" s="135"/>
      <c r="I377" s="135"/>
      <c r="J377" s="135"/>
      <c r="K377" s="135"/>
      <c r="L377" s="189"/>
      <c r="M377" s="135"/>
      <c r="N377" s="135"/>
      <c r="O377" s="135"/>
      <c r="P377" s="135"/>
      <c r="Q377" s="135"/>
      <c r="R377" s="135"/>
      <c r="S377" s="135"/>
    </row>
    <row r="378" customFormat="false" ht="15.75" hidden="false" customHeight="true" outlineLevel="0" collapsed="false">
      <c r="A378" s="135"/>
      <c r="B378" s="135"/>
      <c r="C378" s="135"/>
      <c r="D378" s="182"/>
      <c r="E378" s="135"/>
      <c r="F378" s="135"/>
      <c r="G378" s="135"/>
      <c r="H378" s="135"/>
      <c r="I378" s="135"/>
      <c r="J378" s="135"/>
      <c r="K378" s="135"/>
      <c r="L378" s="189"/>
      <c r="M378" s="135"/>
      <c r="N378" s="135"/>
      <c r="O378" s="135"/>
      <c r="P378" s="135"/>
      <c r="Q378" s="135"/>
      <c r="R378" s="135"/>
      <c r="S378" s="135"/>
    </row>
    <row r="379" customFormat="false" ht="15.75" hidden="false" customHeight="true" outlineLevel="0" collapsed="false">
      <c r="A379" s="135"/>
      <c r="B379" s="135"/>
      <c r="C379" s="135"/>
      <c r="D379" s="182"/>
      <c r="E379" s="135"/>
      <c r="F379" s="135"/>
      <c r="G379" s="135"/>
      <c r="H379" s="135"/>
      <c r="I379" s="135"/>
      <c r="J379" s="135"/>
      <c r="K379" s="135"/>
      <c r="L379" s="189"/>
      <c r="M379" s="135"/>
      <c r="N379" s="135"/>
      <c r="O379" s="135"/>
      <c r="P379" s="135"/>
      <c r="Q379" s="135"/>
      <c r="R379" s="135"/>
      <c r="S379" s="135"/>
    </row>
    <row r="380" customFormat="false" ht="15.75" hidden="false" customHeight="true" outlineLevel="0" collapsed="false">
      <c r="A380" s="135"/>
      <c r="B380" s="135"/>
      <c r="C380" s="135"/>
      <c r="D380" s="182"/>
      <c r="E380" s="135"/>
      <c r="F380" s="135"/>
      <c r="G380" s="135"/>
      <c r="H380" s="135"/>
      <c r="I380" s="135"/>
      <c r="J380" s="135"/>
      <c r="K380" s="135"/>
      <c r="L380" s="189"/>
      <c r="M380" s="135"/>
      <c r="N380" s="135"/>
      <c r="O380" s="135"/>
      <c r="P380" s="135"/>
      <c r="Q380" s="135"/>
      <c r="R380" s="135"/>
      <c r="S380" s="135"/>
    </row>
    <row r="381" customFormat="false" ht="15.75" hidden="false" customHeight="true" outlineLevel="0" collapsed="false">
      <c r="A381" s="135"/>
      <c r="B381" s="135"/>
      <c r="C381" s="135"/>
      <c r="D381" s="182"/>
      <c r="E381" s="135"/>
      <c r="F381" s="135"/>
      <c r="G381" s="135"/>
      <c r="H381" s="135"/>
      <c r="I381" s="135"/>
      <c r="J381" s="135"/>
      <c r="K381" s="135"/>
      <c r="L381" s="189"/>
      <c r="M381" s="135"/>
      <c r="N381" s="135"/>
      <c r="O381" s="135"/>
      <c r="P381" s="135"/>
      <c r="Q381" s="135"/>
      <c r="R381" s="135"/>
      <c r="S381" s="135"/>
    </row>
    <row r="382" customFormat="false" ht="15.75" hidden="false" customHeight="true" outlineLevel="0" collapsed="false">
      <c r="A382" s="135"/>
      <c r="B382" s="135"/>
      <c r="C382" s="135"/>
      <c r="D382" s="182"/>
      <c r="E382" s="135"/>
      <c r="F382" s="135"/>
      <c r="G382" s="135"/>
      <c r="H382" s="135"/>
      <c r="I382" s="135"/>
      <c r="J382" s="135"/>
      <c r="K382" s="135"/>
      <c r="L382" s="189"/>
      <c r="M382" s="135"/>
      <c r="N382" s="135"/>
      <c r="O382" s="135"/>
      <c r="P382" s="135"/>
      <c r="Q382" s="135"/>
      <c r="R382" s="135"/>
      <c r="S382" s="135"/>
    </row>
    <row r="383" customFormat="false" ht="15.75" hidden="false" customHeight="true" outlineLevel="0" collapsed="false">
      <c r="A383" s="135"/>
      <c r="B383" s="135"/>
      <c r="C383" s="135"/>
      <c r="D383" s="182"/>
      <c r="E383" s="135"/>
      <c r="F383" s="135"/>
      <c r="G383" s="135"/>
      <c r="H383" s="135"/>
      <c r="I383" s="135"/>
      <c r="J383" s="135"/>
      <c r="K383" s="135"/>
      <c r="L383" s="189"/>
      <c r="M383" s="135"/>
      <c r="N383" s="135"/>
      <c r="O383" s="135"/>
      <c r="P383" s="135"/>
      <c r="Q383" s="135"/>
      <c r="R383" s="135"/>
      <c r="S383" s="135"/>
    </row>
    <row r="384" customFormat="false" ht="15.75" hidden="false" customHeight="true" outlineLevel="0" collapsed="false">
      <c r="A384" s="135"/>
      <c r="B384" s="135"/>
      <c r="C384" s="135"/>
      <c r="D384" s="182"/>
      <c r="E384" s="135"/>
      <c r="F384" s="135"/>
      <c r="G384" s="135"/>
      <c r="H384" s="135"/>
      <c r="I384" s="135"/>
      <c r="J384" s="135"/>
      <c r="K384" s="135"/>
      <c r="L384" s="189"/>
      <c r="M384" s="135"/>
      <c r="N384" s="135"/>
      <c r="O384" s="135"/>
      <c r="P384" s="135"/>
      <c r="Q384" s="135"/>
      <c r="R384" s="135"/>
      <c r="S384" s="135"/>
    </row>
    <row r="385" customFormat="false" ht="15.75" hidden="false" customHeight="true" outlineLevel="0" collapsed="false">
      <c r="A385" s="135"/>
      <c r="B385" s="135"/>
      <c r="C385" s="135"/>
      <c r="D385" s="182"/>
      <c r="E385" s="135"/>
      <c r="F385" s="135"/>
      <c r="G385" s="135"/>
      <c r="H385" s="135"/>
      <c r="I385" s="135"/>
      <c r="J385" s="135"/>
      <c r="K385" s="135"/>
      <c r="L385" s="189"/>
      <c r="M385" s="135"/>
      <c r="N385" s="135"/>
      <c r="O385" s="135"/>
      <c r="P385" s="135"/>
      <c r="Q385" s="135"/>
      <c r="R385" s="135"/>
      <c r="S385" s="135"/>
    </row>
    <row r="386" customFormat="false" ht="15.75" hidden="false" customHeight="true" outlineLevel="0" collapsed="false">
      <c r="A386" s="135"/>
      <c r="B386" s="135"/>
      <c r="C386" s="135"/>
      <c r="D386" s="182"/>
      <c r="E386" s="135"/>
      <c r="F386" s="135"/>
      <c r="G386" s="135"/>
      <c r="H386" s="135"/>
      <c r="I386" s="135"/>
      <c r="J386" s="135"/>
      <c r="K386" s="135"/>
      <c r="L386" s="189"/>
      <c r="M386" s="135"/>
      <c r="N386" s="135"/>
      <c r="O386" s="135"/>
      <c r="P386" s="135"/>
      <c r="Q386" s="135"/>
      <c r="R386" s="135"/>
      <c r="S386" s="135"/>
    </row>
    <row r="387" customFormat="false" ht="15.75" hidden="false" customHeight="true" outlineLevel="0" collapsed="false">
      <c r="A387" s="135"/>
      <c r="B387" s="135"/>
      <c r="C387" s="135"/>
      <c r="D387" s="182"/>
      <c r="E387" s="135"/>
      <c r="F387" s="135"/>
      <c r="G387" s="135"/>
      <c r="H387" s="135"/>
      <c r="I387" s="135"/>
      <c r="J387" s="135"/>
      <c r="K387" s="135"/>
      <c r="L387" s="189"/>
      <c r="M387" s="135"/>
      <c r="N387" s="135"/>
      <c r="O387" s="135"/>
      <c r="P387" s="135"/>
      <c r="Q387" s="135"/>
      <c r="R387" s="135"/>
      <c r="S387" s="135"/>
    </row>
    <row r="388" customFormat="false" ht="15.75" hidden="false" customHeight="true" outlineLevel="0" collapsed="false">
      <c r="A388" s="135"/>
      <c r="B388" s="135"/>
      <c r="C388" s="135"/>
      <c r="D388" s="182"/>
      <c r="E388" s="135"/>
      <c r="F388" s="135"/>
      <c r="G388" s="135"/>
      <c r="H388" s="135"/>
      <c r="I388" s="135"/>
      <c r="J388" s="135"/>
      <c r="K388" s="135"/>
      <c r="L388" s="189"/>
      <c r="M388" s="135"/>
      <c r="N388" s="135"/>
      <c r="O388" s="135"/>
      <c r="P388" s="135"/>
      <c r="Q388" s="135"/>
      <c r="R388" s="135"/>
      <c r="S388" s="135"/>
    </row>
    <row r="389" customFormat="false" ht="15.75" hidden="false" customHeight="true" outlineLevel="0" collapsed="false">
      <c r="A389" s="135"/>
      <c r="B389" s="135"/>
      <c r="C389" s="135"/>
      <c r="D389" s="182"/>
      <c r="E389" s="135"/>
      <c r="F389" s="135"/>
      <c r="G389" s="135"/>
      <c r="H389" s="135"/>
      <c r="I389" s="135"/>
      <c r="J389" s="135"/>
      <c r="K389" s="135"/>
      <c r="L389" s="189"/>
      <c r="M389" s="135"/>
      <c r="N389" s="135"/>
      <c r="O389" s="135"/>
      <c r="P389" s="135"/>
      <c r="Q389" s="135"/>
      <c r="R389" s="135"/>
      <c r="S389" s="135"/>
    </row>
    <row r="390" customFormat="false" ht="15.75" hidden="false" customHeight="true" outlineLevel="0" collapsed="false">
      <c r="A390" s="135"/>
      <c r="B390" s="135"/>
      <c r="C390" s="135"/>
      <c r="D390" s="182"/>
      <c r="E390" s="135"/>
      <c r="F390" s="135"/>
      <c r="G390" s="135"/>
      <c r="H390" s="135"/>
      <c r="I390" s="135"/>
      <c r="J390" s="135"/>
      <c r="K390" s="135"/>
      <c r="L390" s="189"/>
      <c r="M390" s="135"/>
      <c r="N390" s="135"/>
      <c r="O390" s="135"/>
      <c r="P390" s="135"/>
      <c r="Q390" s="135"/>
      <c r="R390" s="135"/>
      <c r="S390" s="135"/>
    </row>
    <row r="391" customFormat="false" ht="15.75" hidden="false" customHeight="true" outlineLevel="0" collapsed="false">
      <c r="A391" s="135"/>
      <c r="B391" s="135"/>
      <c r="C391" s="135"/>
      <c r="D391" s="182"/>
      <c r="E391" s="135"/>
      <c r="F391" s="135"/>
      <c r="G391" s="135"/>
      <c r="H391" s="135"/>
      <c r="I391" s="135"/>
      <c r="J391" s="135"/>
      <c r="K391" s="135"/>
      <c r="L391" s="189"/>
      <c r="M391" s="135"/>
      <c r="N391" s="135"/>
      <c r="O391" s="135"/>
      <c r="P391" s="135"/>
      <c r="Q391" s="135"/>
      <c r="R391" s="135"/>
      <c r="S391" s="135"/>
    </row>
    <row r="392" customFormat="false" ht="15.75" hidden="false" customHeight="true" outlineLevel="0" collapsed="false">
      <c r="A392" s="135"/>
      <c r="B392" s="135"/>
      <c r="C392" s="135"/>
      <c r="D392" s="182"/>
      <c r="E392" s="135"/>
      <c r="F392" s="135"/>
      <c r="G392" s="135"/>
      <c r="H392" s="135"/>
      <c r="I392" s="135"/>
      <c r="J392" s="135"/>
      <c r="K392" s="135"/>
      <c r="L392" s="189"/>
      <c r="M392" s="135"/>
      <c r="N392" s="135"/>
      <c r="O392" s="135"/>
      <c r="P392" s="135"/>
      <c r="Q392" s="135"/>
      <c r="R392" s="135"/>
      <c r="S392" s="135"/>
    </row>
    <row r="393" customFormat="false" ht="15.75" hidden="false" customHeight="true" outlineLevel="0" collapsed="false">
      <c r="A393" s="135"/>
      <c r="B393" s="135"/>
      <c r="C393" s="135"/>
      <c r="D393" s="182"/>
      <c r="E393" s="135"/>
      <c r="F393" s="135"/>
      <c r="G393" s="135"/>
      <c r="H393" s="135"/>
      <c r="I393" s="135"/>
      <c r="J393" s="135"/>
      <c r="K393" s="135"/>
      <c r="L393" s="189"/>
      <c r="M393" s="135"/>
      <c r="N393" s="135"/>
      <c r="O393" s="135"/>
      <c r="P393" s="135"/>
      <c r="Q393" s="135"/>
      <c r="R393" s="135"/>
      <c r="S393" s="135"/>
    </row>
    <row r="394" customFormat="false" ht="15.75" hidden="false" customHeight="true" outlineLevel="0" collapsed="false">
      <c r="A394" s="135"/>
      <c r="B394" s="135"/>
      <c r="C394" s="135"/>
      <c r="D394" s="182"/>
      <c r="E394" s="135"/>
      <c r="F394" s="135"/>
      <c r="G394" s="135"/>
      <c r="H394" s="135"/>
      <c r="I394" s="135"/>
      <c r="J394" s="135"/>
      <c r="K394" s="135"/>
      <c r="L394" s="189"/>
      <c r="M394" s="135"/>
      <c r="N394" s="135"/>
      <c r="O394" s="135"/>
      <c r="P394" s="135"/>
      <c r="Q394" s="135"/>
      <c r="R394" s="135"/>
      <c r="S394" s="135"/>
    </row>
    <row r="395" customFormat="false" ht="15.75" hidden="false" customHeight="true" outlineLevel="0" collapsed="false">
      <c r="A395" s="135"/>
      <c r="B395" s="135"/>
      <c r="C395" s="135"/>
      <c r="D395" s="182"/>
      <c r="E395" s="135"/>
      <c r="F395" s="135"/>
      <c r="G395" s="135"/>
      <c r="H395" s="135"/>
      <c r="I395" s="135"/>
      <c r="J395" s="135"/>
      <c r="K395" s="135"/>
      <c r="L395" s="189"/>
      <c r="M395" s="135"/>
      <c r="N395" s="135"/>
      <c r="O395" s="135"/>
      <c r="P395" s="135"/>
      <c r="Q395" s="135"/>
      <c r="R395" s="135"/>
      <c r="S395" s="135"/>
    </row>
    <row r="396" customFormat="false" ht="15.75" hidden="false" customHeight="true" outlineLevel="0" collapsed="false">
      <c r="A396" s="135"/>
      <c r="B396" s="135"/>
      <c r="C396" s="135"/>
      <c r="D396" s="182"/>
      <c r="E396" s="135"/>
      <c r="F396" s="135"/>
      <c r="G396" s="135"/>
      <c r="H396" s="135"/>
      <c r="I396" s="135"/>
      <c r="J396" s="135"/>
      <c r="K396" s="135"/>
      <c r="L396" s="189"/>
      <c r="M396" s="135"/>
      <c r="N396" s="135"/>
      <c r="O396" s="135"/>
      <c r="P396" s="135"/>
      <c r="Q396" s="135"/>
      <c r="R396" s="135"/>
      <c r="S396" s="135"/>
    </row>
    <row r="397" customFormat="false" ht="15.75" hidden="false" customHeight="true" outlineLevel="0" collapsed="false">
      <c r="A397" s="135"/>
      <c r="B397" s="135"/>
      <c r="C397" s="135"/>
      <c r="D397" s="182"/>
      <c r="E397" s="135"/>
      <c r="F397" s="135"/>
      <c r="G397" s="135"/>
      <c r="H397" s="135"/>
      <c r="I397" s="135"/>
      <c r="J397" s="135"/>
      <c r="K397" s="135"/>
      <c r="L397" s="189"/>
      <c r="M397" s="135"/>
      <c r="N397" s="135"/>
      <c r="O397" s="135"/>
      <c r="P397" s="135"/>
      <c r="Q397" s="135"/>
      <c r="R397" s="135"/>
      <c r="S397" s="135"/>
    </row>
    <row r="398" customFormat="false" ht="15.75" hidden="false" customHeight="true" outlineLevel="0" collapsed="false">
      <c r="A398" s="135"/>
      <c r="B398" s="135"/>
      <c r="C398" s="135"/>
      <c r="D398" s="182"/>
      <c r="E398" s="135"/>
      <c r="F398" s="135"/>
      <c r="G398" s="135"/>
      <c r="H398" s="135"/>
      <c r="I398" s="135"/>
      <c r="J398" s="135"/>
      <c r="K398" s="135"/>
      <c r="L398" s="189"/>
      <c r="M398" s="135"/>
      <c r="N398" s="135"/>
      <c r="O398" s="135"/>
      <c r="P398" s="135"/>
      <c r="Q398" s="135"/>
      <c r="R398" s="135"/>
      <c r="S398" s="135"/>
    </row>
    <row r="399" customFormat="false" ht="15.75" hidden="false" customHeight="true" outlineLevel="0" collapsed="false">
      <c r="A399" s="135"/>
      <c r="B399" s="135"/>
      <c r="C399" s="135"/>
      <c r="D399" s="182"/>
      <c r="E399" s="135"/>
      <c r="F399" s="135"/>
      <c r="G399" s="135"/>
      <c r="H399" s="135"/>
      <c r="I399" s="135"/>
      <c r="J399" s="135"/>
      <c r="K399" s="135"/>
      <c r="L399" s="189"/>
      <c r="M399" s="135"/>
      <c r="N399" s="135"/>
      <c r="O399" s="135"/>
      <c r="P399" s="135"/>
      <c r="Q399" s="135"/>
      <c r="R399" s="135"/>
      <c r="S399" s="135"/>
    </row>
    <row r="400" customFormat="false" ht="15.75" hidden="false" customHeight="true" outlineLevel="0" collapsed="false">
      <c r="A400" s="135"/>
      <c r="B400" s="135"/>
      <c r="C400" s="135"/>
      <c r="D400" s="182"/>
      <c r="E400" s="135"/>
      <c r="F400" s="135"/>
      <c r="G400" s="135"/>
      <c r="H400" s="135"/>
      <c r="I400" s="135"/>
      <c r="J400" s="135"/>
      <c r="K400" s="135"/>
      <c r="L400" s="189"/>
      <c r="M400" s="135"/>
      <c r="N400" s="135"/>
      <c r="O400" s="135"/>
      <c r="P400" s="135"/>
      <c r="Q400" s="135"/>
      <c r="R400" s="135"/>
      <c r="S400" s="135"/>
    </row>
    <row r="401" customFormat="false" ht="15.75" hidden="false" customHeight="true" outlineLevel="0" collapsed="false">
      <c r="A401" s="135"/>
      <c r="B401" s="135"/>
      <c r="C401" s="135"/>
      <c r="D401" s="182"/>
      <c r="E401" s="135"/>
      <c r="F401" s="135"/>
      <c r="G401" s="135"/>
      <c r="H401" s="135"/>
      <c r="I401" s="135"/>
      <c r="J401" s="135"/>
      <c r="K401" s="135"/>
      <c r="L401" s="189"/>
      <c r="M401" s="135"/>
      <c r="N401" s="135"/>
      <c r="O401" s="135"/>
      <c r="P401" s="135"/>
      <c r="Q401" s="135"/>
      <c r="R401" s="135"/>
      <c r="S401" s="135"/>
    </row>
    <row r="402" customFormat="false" ht="15.75" hidden="false" customHeight="true" outlineLevel="0" collapsed="false">
      <c r="A402" s="135"/>
      <c r="B402" s="135"/>
      <c r="C402" s="135"/>
      <c r="D402" s="182"/>
      <c r="E402" s="135"/>
      <c r="F402" s="135"/>
      <c r="G402" s="135"/>
      <c r="H402" s="135"/>
      <c r="I402" s="135"/>
      <c r="J402" s="135"/>
      <c r="K402" s="135"/>
      <c r="L402" s="189"/>
      <c r="M402" s="135"/>
      <c r="N402" s="135"/>
      <c r="O402" s="135"/>
      <c r="P402" s="135"/>
      <c r="Q402" s="135"/>
      <c r="R402" s="135"/>
      <c r="S402" s="135"/>
    </row>
    <row r="403" customFormat="false" ht="15.75" hidden="false" customHeight="true" outlineLevel="0" collapsed="false">
      <c r="A403" s="135"/>
      <c r="B403" s="135"/>
      <c r="C403" s="135"/>
      <c r="D403" s="182"/>
      <c r="E403" s="135"/>
      <c r="F403" s="135"/>
      <c r="G403" s="135"/>
      <c r="H403" s="135"/>
      <c r="I403" s="135"/>
      <c r="J403" s="135"/>
      <c r="K403" s="135"/>
      <c r="L403" s="189"/>
      <c r="M403" s="135"/>
      <c r="N403" s="135"/>
      <c r="O403" s="135"/>
      <c r="P403" s="135"/>
      <c r="Q403" s="135"/>
      <c r="R403" s="135"/>
      <c r="S403" s="135"/>
    </row>
    <row r="404" customFormat="false" ht="15.75" hidden="false" customHeight="true" outlineLevel="0" collapsed="false">
      <c r="A404" s="135"/>
      <c r="B404" s="135"/>
      <c r="C404" s="135"/>
      <c r="D404" s="182"/>
      <c r="E404" s="135"/>
      <c r="F404" s="135"/>
      <c r="G404" s="135"/>
      <c r="H404" s="135"/>
      <c r="I404" s="135"/>
      <c r="J404" s="135"/>
      <c r="K404" s="135"/>
      <c r="L404" s="189"/>
      <c r="M404" s="135"/>
      <c r="N404" s="135"/>
      <c r="O404" s="135"/>
      <c r="P404" s="135"/>
      <c r="Q404" s="135"/>
      <c r="R404" s="135"/>
      <c r="S404" s="135"/>
    </row>
    <row r="405" customFormat="false" ht="15.75" hidden="false" customHeight="true" outlineLevel="0" collapsed="false">
      <c r="A405" s="135"/>
      <c r="B405" s="135"/>
      <c r="C405" s="135"/>
      <c r="D405" s="182"/>
      <c r="E405" s="135"/>
      <c r="F405" s="135"/>
      <c r="G405" s="135"/>
      <c r="H405" s="135"/>
      <c r="I405" s="135"/>
      <c r="J405" s="135"/>
      <c r="K405" s="135"/>
      <c r="L405" s="189"/>
      <c r="M405" s="135"/>
      <c r="N405" s="135"/>
      <c r="O405" s="135"/>
      <c r="P405" s="135"/>
      <c r="Q405" s="135"/>
      <c r="R405" s="135"/>
      <c r="S405" s="135"/>
    </row>
    <row r="406" customFormat="false" ht="15.75" hidden="false" customHeight="true" outlineLevel="0" collapsed="false">
      <c r="A406" s="135"/>
      <c r="B406" s="135"/>
      <c r="C406" s="135"/>
      <c r="D406" s="182"/>
      <c r="E406" s="135"/>
      <c r="F406" s="135"/>
      <c r="G406" s="135"/>
      <c r="H406" s="135"/>
      <c r="I406" s="135"/>
      <c r="J406" s="135"/>
      <c r="K406" s="135"/>
      <c r="L406" s="189"/>
      <c r="M406" s="135"/>
      <c r="N406" s="135"/>
      <c r="O406" s="135"/>
      <c r="P406" s="135"/>
      <c r="Q406" s="135"/>
      <c r="R406" s="135"/>
      <c r="S406" s="135"/>
    </row>
    <row r="407" customFormat="false" ht="15.75" hidden="false" customHeight="true" outlineLevel="0" collapsed="false">
      <c r="A407" s="135"/>
      <c r="B407" s="135"/>
      <c r="C407" s="135"/>
      <c r="D407" s="182"/>
      <c r="E407" s="135"/>
      <c r="F407" s="135"/>
      <c r="G407" s="135"/>
      <c r="H407" s="135"/>
      <c r="I407" s="135"/>
      <c r="J407" s="135"/>
      <c r="K407" s="135"/>
      <c r="L407" s="189"/>
      <c r="M407" s="135"/>
      <c r="N407" s="135"/>
      <c r="O407" s="135"/>
      <c r="P407" s="135"/>
      <c r="Q407" s="135"/>
      <c r="R407" s="135"/>
      <c r="S407" s="135"/>
    </row>
    <row r="408" customFormat="false" ht="15.75" hidden="false" customHeight="true" outlineLevel="0" collapsed="false">
      <c r="A408" s="135"/>
      <c r="B408" s="135"/>
      <c r="C408" s="135"/>
      <c r="D408" s="182"/>
      <c r="E408" s="135"/>
      <c r="F408" s="135"/>
      <c r="G408" s="135"/>
      <c r="H408" s="135"/>
      <c r="I408" s="135"/>
      <c r="J408" s="135"/>
      <c r="K408" s="135"/>
      <c r="L408" s="189"/>
      <c r="M408" s="135"/>
      <c r="N408" s="135"/>
      <c r="O408" s="135"/>
      <c r="P408" s="135"/>
      <c r="Q408" s="135"/>
      <c r="R408" s="135"/>
      <c r="S408" s="135"/>
    </row>
    <row r="409" customFormat="false" ht="15.75" hidden="false" customHeight="true" outlineLevel="0" collapsed="false">
      <c r="A409" s="135"/>
      <c r="B409" s="135"/>
      <c r="C409" s="135"/>
      <c r="D409" s="182"/>
      <c r="E409" s="135"/>
      <c r="F409" s="135"/>
      <c r="G409" s="135"/>
      <c r="H409" s="135"/>
      <c r="I409" s="135"/>
      <c r="J409" s="135"/>
      <c r="K409" s="135"/>
      <c r="L409" s="189"/>
      <c r="M409" s="135"/>
      <c r="N409" s="135"/>
      <c r="O409" s="135"/>
      <c r="P409" s="135"/>
      <c r="Q409" s="135"/>
      <c r="R409" s="135"/>
      <c r="S409" s="135"/>
    </row>
    <row r="410" customFormat="false" ht="15.75" hidden="false" customHeight="true" outlineLevel="0" collapsed="false">
      <c r="A410" s="135"/>
      <c r="B410" s="135"/>
      <c r="C410" s="135"/>
      <c r="D410" s="182"/>
      <c r="E410" s="135"/>
      <c r="F410" s="135"/>
      <c r="G410" s="135"/>
      <c r="H410" s="135"/>
      <c r="I410" s="135"/>
      <c r="J410" s="135"/>
      <c r="K410" s="135"/>
      <c r="L410" s="189"/>
      <c r="M410" s="135"/>
      <c r="N410" s="135"/>
      <c r="O410" s="135"/>
      <c r="P410" s="135"/>
      <c r="Q410" s="135"/>
      <c r="R410" s="135"/>
      <c r="S410" s="135"/>
    </row>
    <row r="411" customFormat="false" ht="15.75" hidden="false" customHeight="true" outlineLevel="0" collapsed="false">
      <c r="A411" s="135"/>
      <c r="B411" s="135"/>
      <c r="C411" s="135"/>
      <c r="D411" s="182"/>
      <c r="E411" s="135"/>
      <c r="F411" s="135"/>
      <c r="G411" s="135"/>
      <c r="H411" s="135"/>
      <c r="I411" s="135"/>
      <c r="J411" s="135"/>
      <c r="K411" s="135"/>
      <c r="L411" s="189"/>
      <c r="M411" s="135"/>
      <c r="N411" s="135"/>
      <c r="O411" s="135"/>
      <c r="P411" s="135"/>
      <c r="Q411" s="135"/>
      <c r="R411" s="135"/>
      <c r="S411" s="135"/>
    </row>
    <row r="412" customFormat="false" ht="15.75" hidden="false" customHeight="true" outlineLevel="0" collapsed="false">
      <c r="A412" s="135"/>
      <c r="B412" s="135"/>
      <c r="C412" s="135"/>
      <c r="D412" s="182"/>
      <c r="E412" s="135"/>
      <c r="F412" s="135"/>
      <c r="G412" s="135"/>
      <c r="H412" s="135"/>
      <c r="I412" s="135"/>
      <c r="J412" s="135"/>
      <c r="K412" s="135"/>
      <c r="L412" s="189"/>
      <c r="M412" s="135"/>
      <c r="N412" s="135"/>
      <c r="O412" s="135"/>
      <c r="P412" s="135"/>
      <c r="Q412" s="135"/>
      <c r="R412" s="135"/>
      <c r="S412" s="135"/>
    </row>
    <row r="413" customFormat="false" ht="15.75" hidden="false" customHeight="true" outlineLevel="0" collapsed="false">
      <c r="A413" s="135"/>
      <c r="B413" s="135"/>
      <c r="C413" s="135"/>
      <c r="D413" s="182"/>
      <c r="E413" s="135"/>
      <c r="F413" s="135"/>
      <c r="G413" s="135"/>
      <c r="H413" s="135"/>
      <c r="I413" s="135"/>
      <c r="J413" s="135"/>
      <c r="K413" s="135"/>
      <c r="L413" s="189"/>
      <c r="M413" s="135"/>
      <c r="N413" s="135"/>
      <c r="O413" s="135"/>
      <c r="P413" s="135"/>
      <c r="Q413" s="135"/>
      <c r="R413" s="135"/>
      <c r="S413" s="135"/>
    </row>
    <row r="414" customFormat="false" ht="15.75" hidden="false" customHeight="true" outlineLevel="0" collapsed="false">
      <c r="A414" s="135"/>
      <c r="B414" s="135"/>
      <c r="C414" s="135"/>
      <c r="D414" s="182"/>
      <c r="E414" s="135"/>
      <c r="F414" s="135"/>
      <c r="G414" s="135"/>
      <c r="H414" s="135"/>
      <c r="I414" s="135"/>
      <c r="J414" s="135"/>
      <c r="K414" s="135"/>
      <c r="L414" s="189"/>
      <c r="M414" s="135"/>
      <c r="N414" s="135"/>
      <c r="O414" s="135"/>
      <c r="P414" s="135"/>
      <c r="Q414" s="135"/>
      <c r="R414" s="135"/>
      <c r="S414" s="135"/>
    </row>
    <row r="415" customFormat="false" ht="15.75" hidden="false" customHeight="true" outlineLevel="0" collapsed="false">
      <c r="A415" s="135"/>
      <c r="B415" s="135"/>
      <c r="C415" s="135"/>
      <c r="D415" s="182"/>
      <c r="E415" s="135"/>
      <c r="F415" s="135"/>
      <c r="G415" s="135"/>
      <c r="H415" s="135"/>
      <c r="I415" s="135"/>
      <c r="J415" s="135"/>
      <c r="K415" s="135"/>
      <c r="L415" s="189"/>
      <c r="M415" s="135"/>
      <c r="N415" s="135"/>
      <c r="O415" s="135"/>
      <c r="P415" s="135"/>
      <c r="Q415" s="135"/>
      <c r="R415" s="135"/>
      <c r="S415" s="135"/>
    </row>
    <row r="416" customFormat="false" ht="15.75" hidden="false" customHeight="true" outlineLevel="0" collapsed="false">
      <c r="A416" s="135"/>
      <c r="B416" s="135"/>
      <c r="C416" s="135"/>
      <c r="D416" s="182"/>
      <c r="E416" s="135"/>
      <c r="F416" s="135"/>
      <c r="G416" s="135"/>
      <c r="H416" s="135"/>
      <c r="I416" s="135"/>
      <c r="J416" s="135"/>
      <c r="K416" s="135"/>
      <c r="L416" s="189"/>
      <c r="M416" s="135"/>
      <c r="N416" s="135"/>
      <c r="O416" s="135"/>
      <c r="P416" s="135"/>
      <c r="Q416" s="135"/>
      <c r="R416" s="135"/>
      <c r="S416" s="135"/>
    </row>
    <row r="417" customFormat="false" ht="15.75" hidden="false" customHeight="true" outlineLevel="0" collapsed="false">
      <c r="A417" s="135"/>
      <c r="B417" s="135"/>
      <c r="C417" s="135"/>
      <c r="D417" s="182"/>
      <c r="E417" s="135"/>
      <c r="F417" s="135"/>
      <c r="G417" s="135"/>
      <c r="H417" s="135"/>
      <c r="I417" s="135"/>
      <c r="J417" s="135"/>
      <c r="K417" s="135"/>
      <c r="L417" s="189"/>
      <c r="M417" s="135"/>
      <c r="N417" s="135"/>
      <c r="O417" s="135"/>
      <c r="P417" s="135"/>
      <c r="Q417" s="135"/>
      <c r="R417" s="135"/>
      <c r="S417" s="135"/>
    </row>
    <row r="418" customFormat="false" ht="15.75" hidden="false" customHeight="true" outlineLevel="0" collapsed="false">
      <c r="A418" s="135"/>
      <c r="B418" s="135"/>
      <c r="C418" s="135"/>
      <c r="D418" s="182"/>
      <c r="E418" s="135"/>
      <c r="F418" s="135"/>
      <c r="G418" s="135"/>
      <c r="H418" s="135"/>
      <c r="I418" s="135"/>
      <c r="J418" s="135"/>
      <c r="K418" s="135"/>
      <c r="L418" s="189"/>
      <c r="M418" s="135"/>
      <c r="N418" s="135"/>
      <c r="O418" s="135"/>
      <c r="P418" s="135"/>
      <c r="Q418" s="135"/>
      <c r="R418" s="135"/>
      <c r="S418" s="135"/>
    </row>
    <row r="419" customFormat="false" ht="15.75" hidden="false" customHeight="true" outlineLevel="0" collapsed="false">
      <c r="A419" s="135"/>
      <c r="B419" s="135"/>
      <c r="C419" s="135"/>
      <c r="D419" s="182"/>
      <c r="E419" s="135"/>
      <c r="F419" s="135"/>
      <c r="G419" s="135"/>
      <c r="H419" s="135"/>
      <c r="I419" s="135"/>
      <c r="J419" s="135"/>
      <c r="K419" s="135"/>
      <c r="L419" s="189"/>
      <c r="M419" s="135"/>
      <c r="N419" s="135"/>
      <c r="O419" s="135"/>
      <c r="P419" s="135"/>
      <c r="Q419" s="135"/>
      <c r="R419" s="135"/>
      <c r="S419" s="135"/>
    </row>
    <row r="420" customFormat="false" ht="15.75" hidden="false" customHeight="true" outlineLevel="0" collapsed="false">
      <c r="A420" s="135"/>
      <c r="B420" s="135"/>
      <c r="C420" s="135"/>
      <c r="D420" s="182"/>
      <c r="E420" s="135"/>
      <c r="F420" s="135"/>
      <c r="G420" s="135"/>
      <c r="H420" s="135"/>
      <c r="I420" s="135"/>
      <c r="J420" s="135"/>
      <c r="K420" s="135"/>
      <c r="L420" s="189"/>
      <c r="M420" s="135"/>
      <c r="N420" s="135"/>
      <c r="O420" s="135"/>
      <c r="P420" s="135"/>
      <c r="Q420" s="135"/>
      <c r="R420" s="135"/>
      <c r="S420" s="135"/>
    </row>
    <row r="421" customFormat="false" ht="15.75" hidden="false" customHeight="true" outlineLevel="0" collapsed="false">
      <c r="A421" s="135"/>
      <c r="B421" s="135"/>
      <c r="C421" s="135"/>
      <c r="D421" s="182"/>
      <c r="E421" s="135"/>
      <c r="F421" s="135"/>
      <c r="G421" s="135"/>
      <c r="H421" s="135"/>
      <c r="I421" s="135"/>
      <c r="J421" s="135"/>
      <c r="K421" s="135"/>
      <c r="L421" s="189"/>
      <c r="M421" s="135"/>
      <c r="N421" s="135"/>
      <c r="O421" s="135"/>
      <c r="P421" s="135"/>
      <c r="Q421" s="135"/>
      <c r="R421" s="135"/>
      <c r="S421" s="135"/>
    </row>
    <row r="422" customFormat="false" ht="15.75" hidden="false" customHeight="true" outlineLevel="0" collapsed="false">
      <c r="A422" s="135"/>
      <c r="B422" s="135"/>
      <c r="C422" s="135"/>
      <c r="D422" s="182"/>
      <c r="E422" s="135"/>
      <c r="F422" s="135"/>
      <c r="G422" s="135"/>
      <c r="H422" s="135"/>
      <c r="I422" s="135"/>
      <c r="J422" s="135"/>
      <c r="K422" s="135"/>
      <c r="L422" s="189"/>
      <c r="M422" s="135"/>
      <c r="N422" s="135"/>
      <c r="O422" s="135"/>
      <c r="P422" s="135"/>
      <c r="Q422" s="135"/>
      <c r="R422" s="135"/>
      <c r="S422" s="135"/>
    </row>
    <row r="423" customFormat="false" ht="15.75" hidden="false" customHeight="true" outlineLevel="0" collapsed="false">
      <c r="A423" s="135"/>
      <c r="B423" s="135"/>
      <c r="C423" s="135"/>
      <c r="D423" s="182"/>
      <c r="E423" s="135"/>
      <c r="F423" s="135"/>
      <c r="G423" s="135"/>
      <c r="H423" s="135"/>
      <c r="I423" s="135"/>
      <c r="J423" s="135"/>
      <c r="K423" s="135"/>
      <c r="L423" s="189"/>
      <c r="M423" s="135"/>
      <c r="N423" s="135"/>
      <c r="O423" s="135"/>
      <c r="P423" s="135"/>
      <c r="Q423" s="135"/>
      <c r="R423" s="135"/>
      <c r="S423" s="135"/>
    </row>
    <row r="424" customFormat="false" ht="15.75" hidden="false" customHeight="true" outlineLevel="0" collapsed="false">
      <c r="A424" s="135"/>
      <c r="B424" s="135"/>
      <c r="C424" s="135"/>
      <c r="D424" s="182"/>
      <c r="E424" s="135"/>
      <c r="F424" s="135"/>
      <c r="G424" s="135"/>
      <c r="H424" s="135"/>
      <c r="I424" s="135"/>
      <c r="J424" s="135"/>
      <c r="K424" s="135"/>
      <c r="L424" s="189"/>
      <c r="M424" s="135"/>
      <c r="N424" s="135"/>
      <c r="O424" s="135"/>
      <c r="P424" s="135"/>
      <c r="Q424" s="135"/>
      <c r="R424" s="135"/>
      <c r="S424" s="135"/>
    </row>
    <row r="425" customFormat="false" ht="15.75" hidden="false" customHeight="true" outlineLevel="0" collapsed="false">
      <c r="A425" s="135"/>
      <c r="B425" s="135"/>
      <c r="C425" s="135"/>
      <c r="D425" s="182"/>
      <c r="E425" s="135"/>
      <c r="F425" s="135"/>
      <c r="G425" s="135"/>
      <c r="H425" s="135"/>
      <c r="I425" s="135"/>
      <c r="J425" s="135"/>
      <c r="K425" s="135"/>
      <c r="L425" s="189"/>
      <c r="M425" s="135"/>
      <c r="N425" s="135"/>
      <c r="O425" s="135"/>
      <c r="P425" s="135"/>
      <c r="Q425" s="135"/>
      <c r="R425" s="135"/>
      <c r="S425" s="135"/>
    </row>
    <row r="426" customFormat="false" ht="15.75" hidden="false" customHeight="true" outlineLevel="0" collapsed="false">
      <c r="A426" s="135"/>
      <c r="B426" s="135"/>
      <c r="C426" s="135"/>
      <c r="D426" s="182"/>
      <c r="E426" s="135"/>
      <c r="F426" s="135"/>
      <c r="G426" s="135"/>
      <c r="H426" s="135"/>
      <c r="I426" s="135"/>
      <c r="J426" s="135"/>
      <c r="K426" s="135"/>
      <c r="L426" s="189"/>
      <c r="M426" s="135"/>
      <c r="N426" s="135"/>
      <c r="O426" s="135"/>
      <c r="P426" s="135"/>
      <c r="Q426" s="135"/>
      <c r="R426" s="135"/>
      <c r="S426" s="135"/>
    </row>
    <row r="427" customFormat="false" ht="15.75" hidden="false" customHeight="true" outlineLevel="0" collapsed="false">
      <c r="A427" s="135"/>
      <c r="B427" s="135"/>
      <c r="C427" s="135"/>
      <c r="D427" s="182"/>
      <c r="E427" s="135"/>
      <c r="F427" s="135"/>
      <c r="G427" s="135"/>
      <c r="H427" s="135"/>
      <c r="I427" s="135"/>
      <c r="J427" s="135"/>
      <c r="K427" s="135"/>
      <c r="L427" s="189"/>
      <c r="M427" s="135"/>
      <c r="N427" s="135"/>
      <c r="O427" s="135"/>
      <c r="P427" s="135"/>
      <c r="Q427" s="135"/>
      <c r="R427" s="135"/>
      <c r="S427" s="135"/>
    </row>
    <row r="428" customFormat="false" ht="15.75" hidden="false" customHeight="true" outlineLevel="0" collapsed="false">
      <c r="A428" s="135"/>
      <c r="B428" s="135"/>
      <c r="C428" s="135"/>
      <c r="D428" s="182"/>
      <c r="E428" s="135"/>
      <c r="F428" s="135"/>
      <c r="G428" s="135"/>
      <c r="H428" s="135"/>
      <c r="I428" s="135"/>
      <c r="J428" s="135"/>
      <c r="K428" s="135"/>
      <c r="L428" s="189"/>
      <c r="M428" s="135"/>
      <c r="N428" s="135"/>
      <c r="O428" s="135"/>
      <c r="P428" s="135"/>
      <c r="Q428" s="135"/>
      <c r="R428" s="135"/>
      <c r="S428" s="135"/>
    </row>
    <row r="429" customFormat="false" ht="15.75" hidden="false" customHeight="true" outlineLevel="0" collapsed="false">
      <c r="A429" s="135"/>
      <c r="B429" s="135"/>
      <c r="C429" s="135"/>
      <c r="D429" s="182"/>
      <c r="E429" s="135"/>
      <c r="F429" s="135"/>
      <c r="G429" s="135"/>
      <c r="H429" s="135"/>
      <c r="I429" s="135"/>
      <c r="J429" s="135"/>
      <c r="K429" s="135"/>
      <c r="L429" s="189"/>
      <c r="M429" s="135"/>
      <c r="N429" s="135"/>
      <c r="O429" s="135"/>
      <c r="P429" s="135"/>
      <c r="Q429" s="135"/>
      <c r="R429" s="135"/>
      <c r="S429" s="135"/>
    </row>
    <row r="430" customFormat="false" ht="15.75" hidden="false" customHeight="true" outlineLevel="0" collapsed="false">
      <c r="A430" s="135"/>
      <c r="B430" s="135"/>
      <c r="C430" s="135"/>
      <c r="D430" s="182"/>
      <c r="E430" s="135"/>
      <c r="F430" s="135"/>
      <c r="G430" s="135"/>
      <c r="H430" s="135"/>
      <c r="I430" s="135"/>
      <c r="J430" s="135"/>
      <c r="K430" s="135"/>
      <c r="L430" s="189"/>
      <c r="M430" s="135"/>
      <c r="N430" s="135"/>
      <c r="O430" s="135"/>
      <c r="P430" s="135"/>
      <c r="Q430" s="135"/>
      <c r="R430" s="135"/>
      <c r="S430" s="135"/>
    </row>
    <row r="431" customFormat="false" ht="15.75" hidden="false" customHeight="true" outlineLevel="0" collapsed="false">
      <c r="A431" s="135"/>
      <c r="B431" s="135"/>
      <c r="C431" s="135"/>
      <c r="D431" s="182"/>
      <c r="E431" s="135"/>
      <c r="F431" s="135"/>
      <c r="G431" s="135"/>
      <c r="H431" s="135"/>
      <c r="I431" s="135"/>
      <c r="J431" s="135"/>
      <c r="K431" s="135"/>
      <c r="L431" s="189"/>
      <c r="M431" s="135"/>
      <c r="N431" s="135"/>
      <c r="O431" s="135"/>
      <c r="P431" s="135"/>
      <c r="Q431" s="135"/>
      <c r="R431" s="135"/>
      <c r="S431" s="135"/>
    </row>
    <row r="432" customFormat="false" ht="15.75" hidden="false" customHeight="true" outlineLevel="0" collapsed="false">
      <c r="A432" s="135"/>
      <c r="B432" s="135"/>
      <c r="C432" s="135"/>
      <c r="D432" s="182"/>
      <c r="E432" s="135"/>
      <c r="F432" s="135"/>
      <c r="G432" s="135"/>
      <c r="H432" s="135"/>
      <c r="I432" s="135"/>
      <c r="J432" s="135"/>
      <c r="K432" s="135"/>
      <c r="L432" s="189"/>
      <c r="M432" s="135"/>
      <c r="N432" s="135"/>
      <c r="O432" s="135"/>
      <c r="P432" s="135"/>
      <c r="Q432" s="135"/>
      <c r="R432" s="135"/>
      <c r="S432" s="135"/>
    </row>
    <row r="433" customFormat="false" ht="15.75" hidden="false" customHeight="true" outlineLevel="0" collapsed="false">
      <c r="A433" s="135"/>
      <c r="B433" s="135"/>
      <c r="C433" s="135"/>
      <c r="D433" s="182"/>
      <c r="E433" s="135"/>
      <c r="F433" s="135"/>
      <c r="G433" s="135"/>
      <c r="H433" s="135"/>
      <c r="I433" s="135"/>
      <c r="J433" s="135"/>
      <c r="K433" s="135"/>
      <c r="L433" s="189"/>
      <c r="M433" s="135"/>
      <c r="N433" s="135"/>
      <c r="O433" s="135"/>
      <c r="P433" s="135"/>
      <c r="Q433" s="135"/>
      <c r="R433" s="135"/>
      <c r="S433" s="135"/>
    </row>
    <row r="434" customFormat="false" ht="15.75" hidden="false" customHeight="true" outlineLevel="0" collapsed="false">
      <c r="A434" s="135"/>
      <c r="B434" s="135"/>
      <c r="C434" s="135"/>
      <c r="D434" s="182"/>
      <c r="E434" s="135"/>
      <c r="F434" s="135"/>
      <c r="G434" s="135"/>
      <c r="H434" s="135"/>
      <c r="I434" s="135"/>
      <c r="J434" s="135"/>
      <c r="K434" s="135"/>
      <c r="L434" s="189"/>
      <c r="M434" s="135"/>
      <c r="N434" s="135"/>
      <c r="O434" s="135"/>
      <c r="P434" s="135"/>
      <c r="Q434" s="135"/>
      <c r="R434" s="135"/>
      <c r="S434" s="135"/>
    </row>
    <row r="435" customFormat="false" ht="15.75" hidden="false" customHeight="true" outlineLevel="0" collapsed="false">
      <c r="A435" s="135"/>
      <c r="B435" s="135"/>
      <c r="C435" s="135"/>
      <c r="D435" s="182"/>
      <c r="E435" s="135"/>
      <c r="F435" s="135"/>
      <c r="G435" s="135"/>
      <c r="H435" s="135"/>
      <c r="I435" s="135"/>
      <c r="J435" s="135"/>
      <c r="K435" s="135"/>
      <c r="L435" s="189"/>
      <c r="M435" s="135"/>
      <c r="N435" s="135"/>
      <c r="O435" s="135"/>
      <c r="P435" s="135"/>
      <c r="Q435" s="135"/>
      <c r="R435" s="135"/>
      <c r="S435" s="135"/>
    </row>
    <row r="436" customFormat="false" ht="15.75" hidden="false" customHeight="true" outlineLevel="0" collapsed="false">
      <c r="A436" s="135"/>
      <c r="B436" s="135"/>
      <c r="C436" s="135"/>
      <c r="D436" s="182"/>
      <c r="E436" s="135"/>
      <c r="F436" s="135"/>
      <c r="G436" s="135"/>
      <c r="H436" s="135"/>
      <c r="I436" s="135"/>
      <c r="J436" s="135"/>
      <c r="K436" s="135"/>
      <c r="L436" s="189"/>
      <c r="M436" s="135"/>
      <c r="N436" s="135"/>
      <c r="O436" s="135"/>
      <c r="P436" s="135"/>
      <c r="Q436" s="135"/>
      <c r="R436" s="135"/>
      <c r="S436" s="135"/>
    </row>
    <row r="437" customFormat="false" ht="15.75" hidden="false" customHeight="true" outlineLevel="0" collapsed="false">
      <c r="A437" s="135"/>
      <c r="B437" s="135"/>
      <c r="C437" s="135"/>
      <c r="D437" s="182"/>
      <c r="E437" s="135"/>
      <c r="F437" s="135"/>
      <c r="G437" s="135"/>
      <c r="H437" s="135"/>
      <c r="I437" s="135"/>
      <c r="J437" s="135"/>
      <c r="K437" s="135"/>
      <c r="L437" s="189"/>
      <c r="M437" s="135"/>
      <c r="N437" s="135"/>
      <c r="O437" s="135"/>
      <c r="P437" s="135"/>
      <c r="Q437" s="135"/>
      <c r="R437" s="135"/>
      <c r="S437" s="135"/>
    </row>
    <row r="438" customFormat="false" ht="15.75" hidden="false" customHeight="true" outlineLevel="0" collapsed="false">
      <c r="A438" s="135"/>
      <c r="B438" s="135"/>
      <c r="C438" s="135"/>
      <c r="D438" s="182"/>
      <c r="E438" s="135"/>
      <c r="F438" s="135"/>
      <c r="G438" s="135"/>
      <c r="H438" s="135"/>
      <c r="I438" s="135"/>
      <c r="J438" s="135"/>
      <c r="K438" s="135"/>
      <c r="L438" s="189"/>
      <c r="M438" s="135"/>
      <c r="N438" s="135"/>
      <c r="O438" s="135"/>
      <c r="P438" s="135"/>
      <c r="Q438" s="135"/>
      <c r="R438" s="135"/>
      <c r="S438" s="135"/>
    </row>
    <row r="439" customFormat="false" ht="15.75" hidden="false" customHeight="true" outlineLevel="0" collapsed="false">
      <c r="A439" s="135"/>
      <c r="B439" s="135"/>
      <c r="C439" s="135"/>
      <c r="D439" s="182"/>
      <c r="E439" s="135"/>
      <c r="F439" s="135"/>
      <c r="G439" s="135"/>
      <c r="H439" s="135"/>
      <c r="I439" s="135"/>
      <c r="J439" s="135"/>
      <c r="K439" s="135"/>
      <c r="L439" s="189"/>
      <c r="M439" s="135"/>
      <c r="N439" s="135"/>
      <c r="O439" s="135"/>
      <c r="P439" s="135"/>
      <c r="Q439" s="135"/>
      <c r="R439" s="135"/>
      <c r="S439" s="135"/>
    </row>
    <row r="440" customFormat="false" ht="15.75" hidden="false" customHeight="true" outlineLevel="0" collapsed="false">
      <c r="A440" s="135"/>
      <c r="B440" s="135"/>
      <c r="C440" s="135"/>
      <c r="D440" s="182"/>
      <c r="E440" s="135"/>
      <c r="F440" s="135"/>
      <c r="G440" s="135"/>
      <c r="H440" s="135"/>
      <c r="I440" s="135"/>
      <c r="J440" s="135"/>
      <c r="K440" s="135"/>
      <c r="L440" s="189"/>
      <c r="M440" s="135"/>
      <c r="N440" s="135"/>
      <c r="O440" s="135"/>
      <c r="P440" s="135"/>
      <c r="Q440" s="135"/>
      <c r="R440" s="135"/>
      <c r="S440" s="135"/>
    </row>
    <row r="441" customFormat="false" ht="15.75" hidden="false" customHeight="true" outlineLevel="0" collapsed="false">
      <c r="A441" s="135"/>
      <c r="B441" s="135"/>
      <c r="C441" s="135"/>
      <c r="D441" s="182"/>
      <c r="E441" s="135"/>
      <c r="F441" s="135"/>
      <c r="G441" s="135"/>
      <c r="H441" s="135"/>
      <c r="I441" s="135"/>
      <c r="J441" s="135"/>
      <c r="K441" s="135"/>
      <c r="L441" s="189"/>
      <c r="M441" s="135"/>
      <c r="N441" s="135"/>
      <c r="O441" s="135"/>
      <c r="P441" s="135"/>
      <c r="Q441" s="135"/>
      <c r="R441" s="135"/>
      <c r="S441" s="135"/>
    </row>
    <row r="442" customFormat="false" ht="15.75" hidden="false" customHeight="true" outlineLevel="0" collapsed="false">
      <c r="A442" s="135"/>
      <c r="B442" s="135"/>
      <c r="C442" s="135"/>
      <c r="D442" s="182"/>
      <c r="E442" s="135"/>
      <c r="F442" s="135"/>
      <c r="G442" s="135"/>
      <c r="H442" s="135"/>
      <c r="I442" s="135"/>
      <c r="J442" s="135"/>
      <c r="K442" s="135"/>
      <c r="L442" s="189"/>
      <c r="M442" s="135"/>
      <c r="N442" s="135"/>
      <c r="O442" s="135"/>
      <c r="P442" s="135"/>
      <c r="Q442" s="135"/>
      <c r="R442" s="135"/>
      <c r="S442" s="135"/>
    </row>
    <row r="443" customFormat="false" ht="15.75" hidden="false" customHeight="true" outlineLevel="0" collapsed="false">
      <c r="A443" s="135"/>
      <c r="B443" s="135"/>
      <c r="C443" s="135"/>
      <c r="D443" s="182"/>
      <c r="E443" s="135"/>
      <c r="F443" s="135"/>
      <c r="G443" s="135"/>
      <c r="H443" s="135"/>
      <c r="I443" s="135"/>
      <c r="J443" s="135"/>
      <c r="K443" s="135"/>
      <c r="L443" s="189"/>
      <c r="M443" s="135"/>
      <c r="N443" s="135"/>
      <c r="O443" s="135"/>
      <c r="P443" s="135"/>
      <c r="Q443" s="135"/>
      <c r="R443" s="135"/>
      <c r="S443" s="135"/>
    </row>
    <row r="444" customFormat="false" ht="15.75" hidden="false" customHeight="true" outlineLevel="0" collapsed="false">
      <c r="A444" s="135"/>
      <c r="B444" s="135"/>
      <c r="C444" s="135"/>
      <c r="D444" s="182"/>
      <c r="E444" s="135"/>
      <c r="F444" s="135"/>
      <c r="G444" s="135"/>
      <c r="H444" s="135"/>
      <c r="I444" s="135"/>
      <c r="J444" s="135"/>
      <c r="K444" s="135"/>
      <c r="L444" s="189"/>
      <c r="M444" s="135"/>
      <c r="N444" s="135"/>
      <c r="O444" s="135"/>
      <c r="P444" s="135"/>
      <c r="Q444" s="135"/>
      <c r="R444" s="135"/>
      <c r="S444" s="135"/>
    </row>
    <row r="445" customFormat="false" ht="15.75" hidden="false" customHeight="true" outlineLevel="0" collapsed="false">
      <c r="A445" s="135"/>
      <c r="B445" s="135"/>
      <c r="C445" s="135"/>
      <c r="D445" s="182"/>
      <c r="E445" s="135"/>
      <c r="F445" s="135"/>
      <c r="G445" s="135"/>
      <c r="H445" s="135"/>
      <c r="I445" s="135"/>
      <c r="J445" s="135"/>
      <c r="K445" s="135"/>
      <c r="L445" s="189"/>
      <c r="M445" s="135"/>
      <c r="N445" s="135"/>
      <c r="O445" s="135"/>
      <c r="P445" s="135"/>
      <c r="Q445" s="135"/>
      <c r="R445" s="135"/>
      <c r="S445" s="135"/>
    </row>
    <row r="446" customFormat="false" ht="15.75" hidden="false" customHeight="true" outlineLevel="0" collapsed="false">
      <c r="A446" s="135"/>
      <c r="B446" s="135"/>
      <c r="C446" s="135"/>
      <c r="D446" s="182"/>
      <c r="E446" s="135"/>
      <c r="F446" s="135"/>
      <c r="G446" s="135"/>
      <c r="H446" s="135"/>
      <c r="I446" s="135"/>
      <c r="J446" s="135"/>
      <c r="K446" s="135"/>
      <c r="L446" s="189"/>
      <c r="M446" s="135"/>
      <c r="N446" s="135"/>
      <c r="O446" s="135"/>
      <c r="P446" s="135"/>
      <c r="Q446" s="135"/>
      <c r="R446" s="135"/>
      <c r="S446" s="135"/>
    </row>
    <row r="447" customFormat="false" ht="15.75" hidden="false" customHeight="true" outlineLevel="0" collapsed="false">
      <c r="A447" s="135"/>
      <c r="B447" s="135"/>
      <c r="C447" s="135"/>
      <c r="D447" s="182"/>
      <c r="E447" s="135"/>
      <c r="F447" s="135"/>
      <c r="G447" s="135"/>
      <c r="H447" s="135"/>
      <c r="I447" s="135"/>
      <c r="J447" s="135"/>
      <c r="K447" s="135"/>
      <c r="L447" s="189"/>
      <c r="M447" s="135"/>
      <c r="N447" s="135"/>
      <c r="O447" s="135"/>
      <c r="P447" s="135"/>
      <c r="Q447" s="135"/>
      <c r="R447" s="135"/>
      <c r="S447" s="135"/>
    </row>
    <row r="448" customFormat="false" ht="15.75" hidden="false" customHeight="true" outlineLevel="0" collapsed="false">
      <c r="A448" s="135"/>
      <c r="B448" s="135"/>
      <c r="C448" s="135"/>
      <c r="D448" s="182"/>
      <c r="E448" s="135"/>
      <c r="F448" s="135"/>
      <c r="G448" s="135"/>
      <c r="H448" s="135"/>
      <c r="I448" s="135"/>
      <c r="J448" s="135"/>
      <c r="K448" s="135"/>
      <c r="L448" s="189"/>
      <c r="M448" s="135"/>
      <c r="N448" s="135"/>
      <c r="O448" s="135"/>
      <c r="P448" s="135"/>
      <c r="Q448" s="135"/>
      <c r="R448" s="135"/>
      <c r="S448" s="135"/>
    </row>
    <row r="449" customFormat="false" ht="15.75" hidden="false" customHeight="true" outlineLevel="0" collapsed="false">
      <c r="A449" s="135"/>
      <c r="B449" s="135"/>
      <c r="C449" s="135"/>
      <c r="D449" s="182"/>
      <c r="E449" s="135"/>
      <c r="F449" s="135"/>
      <c r="G449" s="135"/>
      <c r="H449" s="135"/>
      <c r="I449" s="135"/>
      <c r="J449" s="135"/>
      <c r="K449" s="135"/>
      <c r="L449" s="189"/>
      <c r="M449" s="135"/>
      <c r="N449" s="135"/>
      <c r="O449" s="135"/>
      <c r="P449" s="135"/>
      <c r="Q449" s="135"/>
      <c r="R449" s="135"/>
      <c r="S449" s="135"/>
    </row>
    <row r="450" customFormat="false" ht="15.75" hidden="false" customHeight="true" outlineLevel="0" collapsed="false">
      <c r="A450" s="135"/>
      <c r="B450" s="135"/>
      <c r="C450" s="135"/>
      <c r="D450" s="182"/>
      <c r="E450" s="135"/>
      <c r="F450" s="135"/>
      <c r="G450" s="135"/>
      <c r="H450" s="135"/>
      <c r="I450" s="135"/>
      <c r="J450" s="135"/>
      <c r="K450" s="135"/>
      <c r="L450" s="189"/>
      <c r="M450" s="135"/>
      <c r="N450" s="135"/>
      <c r="O450" s="135"/>
      <c r="P450" s="135"/>
      <c r="Q450" s="135"/>
      <c r="R450" s="135"/>
      <c r="S450" s="135"/>
    </row>
    <row r="451" customFormat="false" ht="15.75" hidden="false" customHeight="true" outlineLevel="0" collapsed="false">
      <c r="A451" s="135"/>
      <c r="B451" s="135"/>
      <c r="C451" s="135"/>
      <c r="D451" s="182"/>
      <c r="E451" s="135"/>
      <c r="F451" s="135"/>
      <c r="G451" s="135"/>
      <c r="H451" s="135"/>
      <c r="I451" s="135"/>
      <c r="J451" s="135"/>
      <c r="K451" s="135"/>
      <c r="L451" s="189"/>
      <c r="M451" s="135"/>
      <c r="N451" s="135"/>
      <c r="O451" s="135"/>
      <c r="P451" s="135"/>
      <c r="Q451" s="135"/>
      <c r="R451" s="135"/>
      <c r="S451" s="135"/>
    </row>
    <row r="452" customFormat="false" ht="15.75" hidden="false" customHeight="true" outlineLevel="0" collapsed="false">
      <c r="A452" s="135"/>
      <c r="B452" s="135"/>
      <c r="C452" s="135"/>
      <c r="D452" s="182"/>
      <c r="E452" s="135"/>
      <c r="F452" s="135"/>
      <c r="G452" s="135"/>
      <c r="H452" s="135"/>
      <c r="I452" s="135"/>
      <c r="J452" s="135"/>
      <c r="K452" s="135"/>
      <c r="L452" s="189"/>
      <c r="M452" s="135"/>
      <c r="N452" s="135"/>
      <c r="O452" s="135"/>
      <c r="P452" s="135"/>
      <c r="Q452" s="135"/>
      <c r="R452" s="135"/>
      <c r="S452" s="135"/>
    </row>
    <row r="453" customFormat="false" ht="15.75" hidden="false" customHeight="true" outlineLevel="0" collapsed="false">
      <c r="A453" s="135"/>
      <c r="B453" s="135"/>
      <c r="C453" s="135"/>
      <c r="D453" s="182"/>
      <c r="E453" s="135"/>
      <c r="F453" s="135"/>
      <c r="G453" s="135"/>
      <c r="H453" s="135"/>
      <c r="I453" s="135"/>
      <c r="J453" s="135"/>
      <c r="K453" s="135"/>
      <c r="L453" s="189"/>
      <c r="M453" s="135"/>
      <c r="N453" s="135"/>
      <c r="O453" s="135"/>
      <c r="P453" s="135"/>
      <c r="Q453" s="135"/>
      <c r="R453" s="135"/>
      <c r="S453" s="135"/>
    </row>
    <row r="454" customFormat="false" ht="15.75" hidden="false" customHeight="true" outlineLevel="0" collapsed="false">
      <c r="A454" s="135"/>
      <c r="B454" s="135"/>
      <c r="C454" s="135"/>
      <c r="D454" s="182"/>
      <c r="E454" s="135"/>
      <c r="F454" s="135"/>
      <c r="G454" s="135"/>
      <c r="H454" s="135"/>
      <c r="I454" s="135"/>
      <c r="J454" s="135"/>
      <c r="K454" s="135"/>
      <c r="L454" s="189"/>
      <c r="M454" s="135"/>
      <c r="N454" s="135"/>
      <c r="O454" s="135"/>
      <c r="P454" s="135"/>
      <c r="Q454" s="135"/>
      <c r="R454" s="135"/>
      <c r="S454" s="135"/>
    </row>
    <row r="455" customFormat="false" ht="15.75" hidden="false" customHeight="true" outlineLevel="0" collapsed="false">
      <c r="A455" s="135"/>
      <c r="B455" s="135"/>
      <c r="C455" s="135"/>
      <c r="D455" s="182"/>
      <c r="E455" s="135"/>
      <c r="F455" s="135"/>
      <c r="G455" s="135"/>
      <c r="H455" s="135"/>
      <c r="I455" s="135"/>
      <c r="J455" s="135"/>
      <c r="K455" s="135"/>
      <c r="L455" s="189"/>
      <c r="M455" s="135"/>
      <c r="N455" s="135"/>
      <c r="O455" s="135"/>
      <c r="P455" s="135"/>
      <c r="Q455" s="135"/>
      <c r="R455" s="135"/>
      <c r="S455" s="135"/>
    </row>
    <row r="456" customFormat="false" ht="15.75" hidden="false" customHeight="true" outlineLevel="0" collapsed="false">
      <c r="A456" s="135"/>
      <c r="B456" s="135"/>
      <c r="C456" s="135"/>
      <c r="D456" s="182"/>
      <c r="E456" s="135"/>
      <c r="F456" s="135"/>
      <c r="G456" s="135"/>
      <c r="H456" s="135"/>
      <c r="I456" s="135"/>
      <c r="J456" s="135"/>
      <c r="K456" s="135"/>
      <c r="L456" s="189"/>
      <c r="M456" s="135"/>
      <c r="N456" s="135"/>
      <c r="O456" s="135"/>
      <c r="P456" s="135"/>
      <c r="Q456" s="135"/>
      <c r="R456" s="135"/>
      <c r="S456" s="135"/>
    </row>
    <row r="457" customFormat="false" ht="15.75" hidden="false" customHeight="true" outlineLevel="0" collapsed="false">
      <c r="A457" s="135"/>
      <c r="B457" s="135"/>
      <c r="C457" s="135"/>
      <c r="D457" s="182"/>
      <c r="E457" s="135"/>
      <c r="F457" s="135"/>
      <c r="G457" s="135"/>
      <c r="H457" s="135"/>
      <c r="I457" s="135"/>
      <c r="J457" s="135"/>
      <c r="K457" s="135"/>
      <c r="L457" s="189"/>
      <c r="M457" s="135"/>
      <c r="N457" s="135"/>
      <c r="O457" s="135"/>
      <c r="P457" s="135"/>
      <c r="Q457" s="135"/>
      <c r="R457" s="135"/>
      <c r="S457" s="135"/>
    </row>
    <row r="458" customFormat="false" ht="15.75" hidden="false" customHeight="true" outlineLevel="0" collapsed="false">
      <c r="A458" s="135"/>
      <c r="B458" s="135"/>
      <c r="C458" s="135"/>
      <c r="D458" s="182"/>
      <c r="E458" s="135"/>
      <c r="F458" s="135"/>
      <c r="G458" s="135"/>
      <c r="H458" s="135"/>
      <c r="I458" s="135"/>
      <c r="J458" s="135"/>
      <c r="K458" s="135"/>
      <c r="L458" s="189"/>
      <c r="M458" s="135"/>
      <c r="N458" s="135"/>
      <c r="O458" s="135"/>
      <c r="P458" s="135"/>
      <c r="Q458" s="135"/>
      <c r="R458" s="135"/>
      <c r="S458" s="135"/>
    </row>
    <row r="459" customFormat="false" ht="15.75" hidden="false" customHeight="true" outlineLevel="0" collapsed="false">
      <c r="A459" s="135"/>
      <c r="B459" s="135"/>
      <c r="C459" s="135"/>
      <c r="D459" s="182"/>
      <c r="E459" s="135"/>
      <c r="F459" s="135"/>
      <c r="G459" s="135"/>
      <c r="H459" s="135"/>
      <c r="I459" s="135"/>
      <c r="J459" s="135"/>
      <c r="K459" s="135"/>
      <c r="L459" s="189"/>
      <c r="M459" s="135"/>
      <c r="N459" s="135"/>
      <c r="O459" s="135"/>
      <c r="P459" s="135"/>
      <c r="Q459" s="135"/>
      <c r="R459" s="135"/>
      <c r="S459" s="135"/>
    </row>
    <row r="460" customFormat="false" ht="15.75" hidden="false" customHeight="true" outlineLevel="0" collapsed="false">
      <c r="A460" s="135"/>
      <c r="B460" s="135"/>
      <c r="C460" s="135"/>
      <c r="D460" s="182"/>
      <c r="E460" s="135"/>
      <c r="F460" s="135"/>
      <c r="G460" s="135"/>
      <c r="H460" s="135"/>
      <c r="I460" s="135"/>
      <c r="J460" s="135"/>
      <c r="K460" s="135"/>
      <c r="L460" s="189"/>
      <c r="M460" s="135"/>
      <c r="N460" s="135"/>
      <c r="O460" s="135"/>
      <c r="P460" s="135"/>
      <c r="Q460" s="135"/>
      <c r="R460" s="135"/>
      <c r="S460" s="135"/>
    </row>
    <row r="461" customFormat="false" ht="15.75" hidden="false" customHeight="true" outlineLevel="0" collapsed="false">
      <c r="A461" s="135"/>
      <c r="B461" s="135"/>
      <c r="C461" s="135"/>
      <c r="D461" s="182"/>
      <c r="E461" s="135"/>
      <c r="F461" s="135"/>
      <c r="G461" s="135"/>
      <c r="H461" s="135"/>
      <c r="I461" s="135"/>
      <c r="J461" s="135"/>
      <c r="K461" s="135"/>
      <c r="L461" s="189"/>
      <c r="M461" s="135"/>
      <c r="N461" s="135"/>
      <c r="O461" s="135"/>
      <c r="P461" s="135"/>
      <c r="Q461" s="135"/>
      <c r="R461" s="135"/>
      <c r="S461" s="135"/>
    </row>
    <row r="462" customFormat="false" ht="15.75" hidden="false" customHeight="true" outlineLevel="0" collapsed="false">
      <c r="A462" s="135"/>
      <c r="B462" s="135"/>
      <c r="C462" s="135"/>
      <c r="D462" s="182"/>
      <c r="E462" s="135"/>
      <c r="F462" s="135"/>
      <c r="G462" s="135"/>
      <c r="H462" s="135"/>
      <c r="I462" s="135"/>
      <c r="J462" s="135"/>
      <c r="K462" s="135"/>
      <c r="L462" s="189"/>
      <c r="M462" s="135"/>
      <c r="N462" s="135"/>
      <c r="O462" s="135"/>
      <c r="P462" s="135"/>
      <c r="Q462" s="135"/>
      <c r="R462" s="135"/>
      <c r="S462" s="135"/>
    </row>
    <row r="463" customFormat="false" ht="15.75" hidden="false" customHeight="true" outlineLevel="0" collapsed="false">
      <c r="A463" s="135"/>
      <c r="B463" s="135"/>
      <c r="C463" s="135"/>
      <c r="D463" s="182"/>
      <c r="E463" s="135"/>
      <c r="F463" s="135"/>
      <c r="G463" s="135"/>
      <c r="H463" s="135"/>
      <c r="I463" s="135"/>
      <c r="J463" s="135"/>
      <c r="K463" s="135"/>
      <c r="L463" s="189"/>
      <c r="M463" s="135"/>
      <c r="N463" s="135"/>
      <c r="O463" s="135"/>
      <c r="P463" s="135"/>
      <c r="Q463" s="135"/>
      <c r="R463" s="135"/>
      <c r="S463" s="135"/>
    </row>
    <row r="464" customFormat="false" ht="15.75" hidden="false" customHeight="true" outlineLevel="0" collapsed="false">
      <c r="A464" s="135"/>
      <c r="B464" s="135"/>
      <c r="C464" s="135"/>
      <c r="D464" s="182"/>
      <c r="E464" s="135"/>
      <c r="F464" s="135"/>
      <c r="G464" s="135"/>
      <c r="H464" s="135"/>
      <c r="I464" s="135"/>
      <c r="J464" s="135"/>
      <c r="K464" s="135"/>
      <c r="L464" s="189"/>
      <c r="M464" s="135"/>
      <c r="N464" s="135"/>
      <c r="O464" s="135"/>
      <c r="P464" s="135"/>
      <c r="Q464" s="135"/>
      <c r="R464" s="135"/>
      <c r="S464" s="135"/>
    </row>
    <row r="465" customFormat="false" ht="15.75" hidden="false" customHeight="true" outlineLevel="0" collapsed="false">
      <c r="A465" s="135"/>
      <c r="B465" s="135"/>
      <c r="C465" s="135"/>
      <c r="D465" s="182"/>
      <c r="E465" s="135"/>
      <c r="F465" s="135"/>
      <c r="G465" s="135"/>
      <c r="H465" s="135"/>
      <c r="I465" s="135"/>
      <c r="J465" s="135"/>
      <c r="K465" s="135"/>
      <c r="L465" s="189"/>
      <c r="M465" s="135"/>
      <c r="N465" s="135"/>
      <c r="O465" s="135"/>
      <c r="P465" s="135"/>
      <c r="Q465" s="135"/>
      <c r="R465" s="135"/>
      <c r="S465" s="135"/>
    </row>
    <row r="466" customFormat="false" ht="15.75" hidden="false" customHeight="true" outlineLevel="0" collapsed="false">
      <c r="A466" s="135"/>
      <c r="B466" s="135"/>
      <c r="C466" s="135"/>
      <c r="D466" s="182"/>
      <c r="E466" s="135"/>
      <c r="F466" s="135"/>
      <c r="G466" s="135"/>
      <c r="H466" s="135"/>
      <c r="I466" s="135"/>
      <c r="J466" s="135"/>
      <c r="K466" s="135"/>
      <c r="L466" s="189"/>
      <c r="M466" s="135"/>
      <c r="N466" s="135"/>
      <c r="O466" s="135"/>
      <c r="P466" s="135"/>
      <c r="Q466" s="135"/>
      <c r="R466" s="135"/>
      <c r="S466" s="135"/>
    </row>
    <row r="467" customFormat="false" ht="15.75" hidden="false" customHeight="true" outlineLevel="0" collapsed="false">
      <c r="A467" s="135"/>
      <c r="B467" s="135"/>
      <c r="C467" s="135"/>
      <c r="D467" s="182"/>
      <c r="E467" s="135"/>
      <c r="F467" s="135"/>
      <c r="G467" s="135"/>
      <c r="H467" s="135"/>
      <c r="I467" s="135"/>
      <c r="J467" s="135"/>
      <c r="K467" s="135"/>
      <c r="L467" s="189"/>
      <c r="M467" s="135"/>
      <c r="N467" s="135"/>
      <c r="O467" s="135"/>
      <c r="P467" s="135"/>
      <c r="Q467" s="135"/>
      <c r="R467" s="135"/>
      <c r="S467" s="135"/>
    </row>
    <row r="468" customFormat="false" ht="15.75" hidden="false" customHeight="true" outlineLevel="0" collapsed="false">
      <c r="A468" s="135"/>
      <c r="B468" s="135"/>
      <c r="C468" s="135"/>
      <c r="D468" s="182"/>
      <c r="E468" s="135"/>
      <c r="F468" s="135"/>
      <c r="G468" s="135"/>
      <c r="H468" s="135"/>
      <c r="I468" s="135"/>
      <c r="J468" s="135"/>
      <c r="K468" s="135"/>
      <c r="L468" s="189"/>
      <c r="M468" s="135"/>
      <c r="N468" s="135"/>
      <c r="O468" s="135"/>
      <c r="P468" s="135"/>
      <c r="Q468" s="135"/>
      <c r="R468" s="135"/>
      <c r="S468" s="135"/>
    </row>
    <row r="469" customFormat="false" ht="15.75" hidden="false" customHeight="true" outlineLevel="0" collapsed="false">
      <c r="A469" s="135"/>
      <c r="B469" s="135"/>
      <c r="C469" s="135"/>
      <c r="D469" s="182"/>
      <c r="E469" s="135"/>
      <c r="F469" s="135"/>
      <c r="G469" s="135"/>
      <c r="H469" s="135"/>
      <c r="I469" s="135"/>
      <c r="J469" s="135"/>
      <c r="K469" s="135"/>
      <c r="L469" s="189"/>
      <c r="M469" s="135"/>
      <c r="N469" s="135"/>
      <c r="O469" s="135"/>
      <c r="P469" s="135"/>
      <c r="Q469" s="135"/>
      <c r="R469" s="135"/>
      <c r="S469" s="135"/>
    </row>
    <row r="470" customFormat="false" ht="15.75" hidden="false" customHeight="true" outlineLevel="0" collapsed="false">
      <c r="A470" s="135"/>
      <c r="B470" s="135"/>
      <c r="C470" s="135"/>
      <c r="D470" s="182"/>
      <c r="E470" s="135"/>
      <c r="F470" s="135"/>
      <c r="G470" s="135"/>
      <c r="H470" s="135"/>
      <c r="I470" s="135"/>
      <c r="J470" s="135"/>
      <c r="K470" s="135"/>
      <c r="L470" s="189"/>
      <c r="M470" s="135"/>
      <c r="N470" s="135"/>
      <c r="O470" s="135"/>
      <c r="P470" s="135"/>
      <c r="Q470" s="135"/>
      <c r="R470" s="135"/>
      <c r="S470" s="135"/>
    </row>
    <row r="471" customFormat="false" ht="15.75" hidden="false" customHeight="true" outlineLevel="0" collapsed="false">
      <c r="A471" s="135"/>
      <c r="B471" s="135"/>
      <c r="C471" s="135"/>
      <c r="D471" s="182"/>
      <c r="E471" s="135"/>
      <c r="F471" s="135"/>
      <c r="G471" s="135"/>
      <c r="H471" s="135"/>
      <c r="I471" s="135"/>
      <c r="J471" s="135"/>
      <c r="K471" s="135"/>
      <c r="L471" s="189"/>
      <c r="M471" s="135"/>
      <c r="N471" s="135"/>
      <c r="O471" s="135"/>
      <c r="P471" s="135"/>
      <c r="Q471" s="135"/>
      <c r="R471" s="135"/>
      <c r="S471" s="135"/>
    </row>
    <row r="472" customFormat="false" ht="15.75" hidden="false" customHeight="true" outlineLevel="0" collapsed="false">
      <c r="A472" s="135"/>
      <c r="B472" s="135"/>
      <c r="C472" s="135"/>
      <c r="D472" s="182"/>
      <c r="E472" s="135"/>
      <c r="F472" s="135"/>
      <c r="G472" s="135"/>
      <c r="H472" s="135"/>
      <c r="I472" s="135"/>
      <c r="J472" s="135"/>
      <c r="K472" s="135"/>
      <c r="L472" s="189"/>
      <c r="M472" s="135"/>
      <c r="N472" s="135"/>
      <c r="O472" s="135"/>
      <c r="P472" s="135"/>
      <c r="Q472" s="135"/>
      <c r="R472" s="135"/>
      <c r="S472" s="135"/>
    </row>
    <row r="473" customFormat="false" ht="15.75" hidden="false" customHeight="true" outlineLevel="0" collapsed="false">
      <c r="A473" s="135"/>
      <c r="B473" s="135"/>
      <c r="C473" s="135"/>
      <c r="D473" s="182"/>
      <c r="E473" s="135"/>
      <c r="F473" s="135"/>
      <c r="G473" s="135"/>
      <c r="H473" s="135"/>
      <c r="I473" s="135"/>
      <c r="J473" s="135"/>
      <c r="K473" s="135"/>
      <c r="L473" s="189"/>
      <c r="M473" s="135"/>
      <c r="N473" s="135"/>
      <c r="O473" s="135"/>
      <c r="P473" s="135"/>
      <c r="Q473" s="135"/>
      <c r="R473" s="135"/>
      <c r="S473" s="135"/>
    </row>
    <row r="474" customFormat="false" ht="15.75" hidden="false" customHeight="true" outlineLevel="0" collapsed="false">
      <c r="A474" s="135"/>
      <c r="B474" s="135"/>
      <c r="C474" s="135"/>
      <c r="D474" s="182"/>
      <c r="E474" s="135"/>
      <c r="F474" s="135"/>
      <c r="G474" s="135"/>
      <c r="H474" s="135"/>
      <c r="I474" s="135"/>
      <c r="J474" s="135"/>
      <c r="K474" s="135"/>
      <c r="L474" s="189"/>
      <c r="M474" s="135"/>
      <c r="N474" s="135"/>
      <c r="O474" s="135"/>
      <c r="P474" s="135"/>
      <c r="Q474" s="135"/>
      <c r="R474" s="135"/>
      <c r="S474" s="135"/>
    </row>
    <row r="475" customFormat="false" ht="15.75" hidden="false" customHeight="true" outlineLevel="0" collapsed="false">
      <c r="A475" s="135"/>
      <c r="B475" s="135"/>
      <c r="C475" s="135"/>
      <c r="D475" s="182"/>
      <c r="E475" s="135"/>
      <c r="F475" s="135"/>
      <c r="G475" s="135"/>
      <c r="H475" s="135"/>
      <c r="I475" s="135"/>
      <c r="J475" s="135"/>
      <c r="K475" s="135"/>
      <c r="L475" s="189"/>
      <c r="M475" s="135"/>
      <c r="N475" s="135"/>
      <c r="O475" s="135"/>
      <c r="P475" s="135"/>
      <c r="Q475" s="135"/>
      <c r="R475" s="135"/>
      <c r="S475" s="135"/>
    </row>
    <row r="476" customFormat="false" ht="15.75" hidden="false" customHeight="true" outlineLevel="0" collapsed="false">
      <c r="A476" s="135"/>
      <c r="B476" s="135"/>
      <c r="C476" s="135"/>
      <c r="D476" s="182"/>
      <c r="E476" s="135"/>
      <c r="F476" s="135"/>
      <c r="G476" s="135"/>
      <c r="H476" s="135"/>
      <c r="I476" s="135"/>
      <c r="J476" s="135"/>
      <c r="K476" s="135"/>
      <c r="L476" s="189"/>
      <c r="M476" s="135"/>
      <c r="N476" s="135"/>
      <c r="O476" s="135"/>
      <c r="P476" s="135"/>
      <c r="Q476" s="135"/>
      <c r="R476" s="135"/>
      <c r="S476" s="135"/>
    </row>
    <row r="477" customFormat="false" ht="15.75" hidden="false" customHeight="true" outlineLevel="0" collapsed="false">
      <c r="A477" s="135"/>
      <c r="B477" s="135"/>
      <c r="C477" s="135"/>
      <c r="D477" s="182"/>
      <c r="E477" s="135"/>
      <c r="F477" s="135"/>
      <c r="G477" s="135"/>
      <c r="H477" s="135"/>
      <c r="I477" s="135"/>
      <c r="J477" s="135"/>
      <c r="K477" s="135"/>
      <c r="L477" s="189"/>
      <c r="M477" s="135"/>
      <c r="N477" s="135"/>
      <c r="O477" s="135"/>
      <c r="P477" s="135"/>
      <c r="Q477" s="135"/>
      <c r="R477" s="135"/>
      <c r="S477" s="135"/>
    </row>
    <row r="478" customFormat="false" ht="15.75" hidden="false" customHeight="true" outlineLevel="0" collapsed="false">
      <c r="A478" s="135"/>
      <c r="B478" s="135"/>
      <c r="C478" s="135"/>
      <c r="D478" s="182"/>
      <c r="E478" s="135"/>
      <c r="F478" s="135"/>
      <c r="G478" s="135"/>
      <c r="H478" s="135"/>
      <c r="I478" s="135"/>
      <c r="J478" s="135"/>
      <c r="K478" s="135"/>
      <c r="L478" s="189"/>
      <c r="M478" s="135"/>
      <c r="N478" s="135"/>
      <c r="O478" s="135"/>
      <c r="P478" s="135"/>
      <c r="Q478" s="135"/>
      <c r="R478" s="135"/>
      <c r="S478" s="135"/>
    </row>
    <row r="479" customFormat="false" ht="15.75" hidden="false" customHeight="true" outlineLevel="0" collapsed="false">
      <c r="A479" s="135"/>
      <c r="B479" s="135"/>
      <c r="C479" s="135"/>
      <c r="D479" s="182"/>
      <c r="E479" s="135"/>
      <c r="F479" s="135"/>
      <c r="G479" s="135"/>
      <c r="H479" s="135"/>
      <c r="I479" s="135"/>
      <c r="J479" s="135"/>
      <c r="K479" s="135"/>
      <c r="L479" s="189"/>
      <c r="M479" s="135"/>
      <c r="N479" s="135"/>
      <c r="O479" s="135"/>
      <c r="P479" s="135"/>
      <c r="Q479" s="135"/>
      <c r="R479" s="135"/>
      <c r="S479" s="135"/>
    </row>
    <row r="480" customFormat="false" ht="15.75" hidden="false" customHeight="true" outlineLevel="0" collapsed="false">
      <c r="A480" s="135"/>
      <c r="B480" s="135"/>
      <c r="C480" s="135"/>
      <c r="D480" s="182"/>
      <c r="E480" s="135"/>
      <c r="F480" s="135"/>
      <c r="G480" s="135"/>
      <c r="H480" s="135"/>
      <c r="I480" s="135"/>
      <c r="J480" s="135"/>
      <c r="K480" s="135"/>
      <c r="L480" s="189"/>
      <c r="M480" s="135"/>
      <c r="N480" s="135"/>
      <c r="O480" s="135"/>
      <c r="P480" s="135"/>
      <c r="Q480" s="135"/>
      <c r="R480" s="135"/>
      <c r="S480" s="135"/>
    </row>
    <row r="481" customFormat="false" ht="15.75" hidden="false" customHeight="true" outlineLevel="0" collapsed="false">
      <c r="A481" s="135"/>
      <c r="B481" s="135"/>
      <c r="C481" s="135"/>
      <c r="D481" s="182"/>
      <c r="E481" s="135"/>
      <c r="F481" s="135"/>
      <c r="G481" s="135"/>
      <c r="H481" s="135"/>
      <c r="I481" s="135"/>
      <c r="J481" s="135"/>
      <c r="K481" s="135"/>
      <c r="L481" s="189"/>
      <c r="M481" s="135"/>
      <c r="N481" s="135"/>
      <c r="O481" s="135"/>
      <c r="P481" s="135"/>
      <c r="Q481" s="135"/>
      <c r="R481" s="135"/>
      <c r="S481" s="135"/>
    </row>
    <row r="482" customFormat="false" ht="15.75" hidden="false" customHeight="true" outlineLevel="0" collapsed="false">
      <c r="A482" s="135"/>
      <c r="B482" s="135"/>
      <c r="C482" s="135"/>
      <c r="D482" s="182"/>
      <c r="E482" s="135"/>
      <c r="F482" s="135"/>
      <c r="G482" s="135"/>
      <c r="H482" s="135"/>
      <c r="I482" s="135"/>
      <c r="J482" s="135"/>
      <c r="K482" s="135"/>
      <c r="L482" s="189"/>
      <c r="M482" s="135"/>
      <c r="N482" s="135"/>
      <c r="O482" s="135"/>
      <c r="P482" s="135"/>
      <c r="Q482" s="135"/>
      <c r="R482" s="135"/>
      <c r="S482" s="135"/>
    </row>
    <row r="483" customFormat="false" ht="15.75" hidden="false" customHeight="true" outlineLevel="0" collapsed="false">
      <c r="A483" s="135"/>
      <c r="B483" s="135"/>
      <c r="C483" s="135"/>
      <c r="D483" s="182"/>
      <c r="E483" s="135"/>
      <c r="F483" s="135"/>
      <c r="G483" s="135"/>
      <c r="H483" s="135"/>
      <c r="I483" s="135"/>
      <c r="J483" s="135"/>
      <c r="K483" s="135"/>
      <c r="L483" s="189"/>
      <c r="M483" s="135"/>
      <c r="N483" s="135"/>
      <c r="O483" s="135"/>
      <c r="P483" s="135"/>
      <c r="Q483" s="135"/>
      <c r="R483" s="135"/>
      <c r="S483" s="135"/>
    </row>
    <row r="484" customFormat="false" ht="15.75" hidden="false" customHeight="true" outlineLevel="0" collapsed="false">
      <c r="A484" s="135"/>
      <c r="B484" s="135"/>
      <c r="C484" s="135"/>
      <c r="D484" s="182"/>
      <c r="E484" s="135"/>
      <c r="F484" s="135"/>
      <c r="G484" s="135"/>
      <c r="H484" s="135"/>
      <c r="I484" s="135"/>
      <c r="J484" s="135"/>
      <c r="K484" s="135"/>
      <c r="L484" s="189"/>
      <c r="M484" s="135"/>
      <c r="N484" s="135"/>
      <c r="O484" s="135"/>
      <c r="P484" s="135"/>
      <c r="Q484" s="135"/>
      <c r="R484" s="135"/>
      <c r="S484" s="135"/>
    </row>
    <row r="485" customFormat="false" ht="15.75" hidden="false" customHeight="true" outlineLevel="0" collapsed="false">
      <c r="A485" s="135"/>
      <c r="B485" s="135"/>
      <c r="C485" s="135"/>
      <c r="D485" s="182"/>
      <c r="E485" s="135"/>
      <c r="F485" s="135"/>
      <c r="G485" s="135"/>
      <c r="H485" s="135"/>
      <c r="I485" s="135"/>
      <c r="J485" s="135"/>
      <c r="K485" s="135"/>
      <c r="L485" s="189"/>
      <c r="M485" s="135"/>
      <c r="N485" s="135"/>
      <c r="O485" s="135"/>
      <c r="P485" s="135"/>
      <c r="Q485" s="135"/>
      <c r="R485" s="135"/>
      <c r="S485" s="135"/>
    </row>
    <row r="486" customFormat="false" ht="15.75" hidden="false" customHeight="true" outlineLevel="0" collapsed="false">
      <c r="A486" s="135"/>
      <c r="B486" s="135"/>
      <c r="C486" s="135"/>
      <c r="D486" s="182"/>
      <c r="E486" s="135"/>
      <c r="F486" s="135"/>
      <c r="G486" s="135"/>
      <c r="H486" s="135"/>
      <c r="I486" s="135"/>
      <c r="J486" s="135"/>
      <c r="K486" s="135"/>
      <c r="L486" s="189"/>
      <c r="M486" s="135"/>
      <c r="N486" s="135"/>
      <c r="O486" s="135"/>
      <c r="P486" s="135"/>
      <c r="Q486" s="135"/>
      <c r="R486" s="135"/>
      <c r="S486" s="135"/>
    </row>
    <row r="487" customFormat="false" ht="15.75" hidden="false" customHeight="true" outlineLevel="0" collapsed="false">
      <c r="A487" s="135"/>
      <c r="B487" s="135"/>
      <c r="C487" s="135"/>
      <c r="D487" s="182"/>
      <c r="E487" s="135"/>
      <c r="F487" s="135"/>
      <c r="G487" s="135"/>
      <c r="H487" s="135"/>
      <c r="I487" s="135"/>
      <c r="J487" s="135"/>
      <c r="K487" s="135"/>
      <c r="L487" s="189"/>
      <c r="M487" s="135"/>
      <c r="N487" s="135"/>
      <c r="O487" s="135"/>
      <c r="P487" s="135"/>
      <c r="Q487" s="135"/>
      <c r="R487" s="135"/>
      <c r="S487" s="135"/>
    </row>
    <row r="488" customFormat="false" ht="15.75" hidden="false" customHeight="true" outlineLevel="0" collapsed="false">
      <c r="A488" s="135"/>
      <c r="B488" s="135"/>
      <c r="C488" s="135"/>
      <c r="D488" s="182"/>
      <c r="E488" s="135"/>
      <c r="F488" s="135"/>
      <c r="G488" s="135"/>
      <c r="H488" s="135"/>
      <c r="I488" s="135"/>
      <c r="J488" s="135"/>
      <c r="K488" s="135"/>
      <c r="L488" s="189"/>
      <c r="M488" s="135"/>
      <c r="N488" s="135"/>
      <c r="O488" s="135"/>
      <c r="P488" s="135"/>
      <c r="Q488" s="135"/>
      <c r="R488" s="135"/>
      <c r="S488" s="135"/>
    </row>
    <row r="489" customFormat="false" ht="15.75" hidden="false" customHeight="true" outlineLevel="0" collapsed="false">
      <c r="A489" s="135"/>
      <c r="B489" s="135"/>
      <c r="C489" s="135"/>
      <c r="D489" s="182"/>
      <c r="E489" s="135"/>
      <c r="F489" s="135"/>
      <c r="G489" s="135"/>
      <c r="H489" s="135"/>
      <c r="I489" s="135"/>
      <c r="J489" s="135"/>
      <c r="K489" s="135"/>
      <c r="L489" s="189"/>
      <c r="M489" s="135"/>
      <c r="N489" s="135"/>
      <c r="O489" s="135"/>
      <c r="P489" s="135"/>
      <c r="Q489" s="135"/>
      <c r="R489" s="135"/>
      <c r="S489" s="135"/>
    </row>
    <row r="490" customFormat="false" ht="15.75" hidden="false" customHeight="true" outlineLevel="0" collapsed="false">
      <c r="A490" s="135"/>
      <c r="B490" s="135"/>
      <c r="C490" s="135"/>
      <c r="D490" s="182"/>
      <c r="E490" s="135"/>
      <c r="F490" s="135"/>
      <c r="G490" s="135"/>
      <c r="H490" s="135"/>
      <c r="I490" s="135"/>
      <c r="J490" s="135"/>
      <c r="K490" s="135"/>
      <c r="L490" s="189"/>
      <c r="M490" s="135"/>
      <c r="N490" s="135"/>
      <c r="O490" s="135"/>
      <c r="P490" s="135"/>
      <c r="Q490" s="135"/>
      <c r="R490" s="135"/>
      <c r="S490" s="135"/>
    </row>
    <row r="491" customFormat="false" ht="15.75" hidden="false" customHeight="true" outlineLevel="0" collapsed="false">
      <c r="A491" s="135"/>
      <c r="B491" s="135"/>
      <c r="C491" s="135"/>
      <c r="D491" s="182"/>
      <c r="E491" s="135"/>
      <c r="F491" s="135"/>
      <c r="G491" s="135"/>
      <c r="H491" s="135"/>
      <c r="I491" s="135"/>
      <c r="J491" s="135"/>
      <c r="K491" s="135"/>
      <c r="L491" s="189"/>
      <c r="M491" s="135"/>
      <c r="N491" s="135"/>
      <c r="O491" s="135"/>
      <c r="P491" s="135"/>
      <c r="Q491" s="135"/>
      <c r="R491" s="135"/>
      <c r="S491" s="135"/>
    </row>
    <row r="492" customFormat="false" ht="15.75" hidden="false" customHeight="true" outlineLevel="0" collapsed="false">
      <c r="A492" s="135"/>
      <c r="B492" s="135"/>
      <c r="C492" s="135"/>
      <c r="D492" s="182"/>
      <c r="E492" s="135"/>
      <c r="F492" s="135"/>
      <c r="G492" s="135"/>
      <c r="H492" s="135"/>
      <c r="I492" s="135"/>
      <c r="J492" s="135"/>
      <c r="K492" s="135"/>
      <c r="L492" s="189"/>
      <c r="M492" s="135"/>
      <c r="N492" s="135"/>
      <c r="O492" s="135"/>
      <c r="P492" s="135"/>
      <c r="Q492" s="135"/>
      <c r="R492" s="135"/>
      <c r="S492" s="135"/>
    </row>
    <row r="493" customFormat="false" ht="15.75" hidden="false" customHeight="true" outlineLevel="0" collapsed="false">
      <c r="A493" s="135"/>
      <c r="B493" s="135"/>
      <c r="C493" s="135"/>
      <c r="D493" s="182"/>
      <c r="E493" s="135"/>
      <c r="F493" s="135"/>
      <c r="G493" s="135"/>
      <c r="H493" s="135"/>
      <c r="I493" s="135"/>
      <c r="J493" s="135"/>
      <c r="K493" s="135"/>
      <c r="L493" s="189"/>
      <c r="M493" s="135"/>
      <c r="N493" s="135"/>
      <c r="O493" s="135"/>
      <c r="P493" s="135"/>
      <c r="Q493" s="135"/>
      <c r="R493" s="135"/>
      <c r="S493" s="135"/>
    </row>
    <row r="494" customFormat="false" ht="15.75" hidden="false" customHeight="true" outlineLevel="0" collapsed="false">
      <c r="A494" s="135"/>
      <c r="B494" s="135"/>
      <c r="C494" s="135"/>
      <c r="D494" s="182"/>
      <c r="E494" s="135"/>
      <c r="F494" s="135"/>
      <c r="G494" s="135"/>
      <c r="H494" s="135"/>
      <c r="I494" s="135"/>
      <c r="J494" s="135"/>
      <c r="K494" s="135"/>
      <c r="L494" s="189"/>
      <c r="M494" s="135"/>
      <c r="N494" s="135"/>
      <c r="O494" s="135"/>
      <c r="P494" s="135"/>
      <c r="Q494" s="135"/>
      <c r="R494" s="135"/>
      <c r="S494" s="135"/>
    </row>
    <row r="495" customFormat="false" ht="15.75" hidden="false" customHeight="true" outlineLevel="0" collapsed="false">
      <c r="A495" s="135"/>
      <c r="B495" s="135"/>
      <c r="C495" s="135"/>
      <c r="D495" s="182"/>
      <c r="E495" s="135"/>
      <c r="F495" s="135"/>
      <c r="G495" s="135"/>
      <c r="H495" s="135"/>
      <c r="I495" s="135"/>
      <c r="J495" s="135"/>
      <c r="K495" s="135"/>
      <c r="L495" s="189"/>
      <c r="M495" s="135"/>
      <c r="N495" s="135"/>
      <c r="O495" s="135"/>
      <c r="P495" s="135"/>
      <c r="Q495" s="135"/>
      <c r="R495" s="135"/>
      <c r="S495" s="135"/>
    </row>
    <row r="496" customFormat="false" ht="15.75" hidden="false" customHeight="true" outlineLevel="0" collapsed="false">
      <c r="A496" s="135"/>
      <c r="B496" s="135"/>
      <c r="C496" s="135"/>
      <c r="D496" s="182"/>
      <c r="E496" s="135"/>
      <c r="F496" s="135"/>
      <c r="G496" s="135"/>
      <c r="H496" s="135"/>
      <c r="I496" s="135"/>
      <c r="J496" s="135"/>
      <c r="K496" s="135"/>
      <c r="L496" s="189"/>
      <c r="M496" s="135"/>
      <c r="N496" s="135"/>
      <c r="O496" s="135"/>
      <c r="P496" s="135"/>
      <c r="Q496" s="135"/>
      <c r="R496" s="135"/>
      <c r="S496" s="135"/>
    </row>
    <row r="497" customFormat="false" ht="15.75" hidden="false" customHeight="true" outlineLevel="0" collapsed="false">
      <c r="A497" s="135"/>
      <c r="B497" s="135"/>
      <c r="C497" s="135"/>
      <c r="D497" s="182"/>
      <c r="E497" s="135"/>
      <c r="F497" s="135"/>
      <c r="G497" s="135"/>
      <c r="H497" s="135"/>
      <c r="I497" s="135"/>
      <c r="J497" s="135"/>
      <c r="K497" s="135"/>
      <c r="L497" s="189"/>
      <c r="M497" s="135"/>
      <c r="N497" s="135"/>
      <c r="O497" s="135"/>
      <c r="P497" s="135"/>
      <c r="Q497" s="135"/>
      <c r="R497" s="135"/>
      <c r="S497" s="135"/>
    </row>
    <row r="498" customFormat="false" ht="15.75" hidden="false" customHeight="true" outlineLevel="0" collapsed="false">
      <c r="A498" s="135"/>
      <c r="B498" s="135"/>
      <c r="C498" s="135"/>
      <c r="D498" s="182"/>
      <c r="E498" s="135"/>
      <c r="F498" s="135"/>
      <c r="G498" s="135"/>
      <c r="H498" s="135"/>
      <c r="I498" s="135"/>
      <c r="J498" s="135"/>
      <c r="K498" s="135"/>
      <c r="L498" s="189"/>
      <c r="M498" s="135"/>
      <c r="N498" s="135"/>
      <c r="O498" s="135"/>
      <c r="P498" s="135"/>
      <c r="Q498" s="135"/>
      <c r="R498" s="135"/>
      <c r="S498" s="135"/>
    </row>
    <row r="499" customFormat="false" ht="15.75" hidden="false" customHeight="true" outlineLevel="0" collapsed="false">
      <c r="A499" s="135"/>
      <c r="B499" s="135"/>
      <c r="C499" s="135"/>
      <c r="D499" s="182"/>
      <c r="E499" s="135"/>
      <c r="F499" s="135"/>
      <c r="G499" s="135"/>
      <c r="H499" s="135"/>
      <c r="I499" s="135"/>
      <c r="J499" s="135"/>
      <c r="K499" s="135"/>
      <c r="L499" s="189"/>
      <c r="M499" s="135"/>
      <c r="N499" s="135"/>
      <c r="O499" s="135"/>
      <c r="P499" s="135"/>
      <c r="Q499" s="135"/>
      <c r="R499" s="135"/>
      <c r="S499" s="135"/>
    </row>
    <row r="500" customFormat="false" ht="15.75" hidden="false" customHeight="true" outlineLevel="0" collapsed="false">
      <c r="A500" s="135"/>
      <c r="B500" s="135"/>
      <c r="C500" s="135"/>
      <c r="D500" s="182"/>
      <c r="E500" s="135"/>
      <c r="F500" s="135"/>
      <c r="G500" s="135"/>
      <c r="H500" s="135"/>
      <c r="I500" s="135"/>
      <c r="J500" s="135"/>
      <c r="K500" s="135"/>
      <c r="L500" s="189"/>
      <c r="M500" s="135"/>
      <c r="N500" s="135"/>
      <c r="O500" s="135"/>
      <c r="P500" s="135"/>
      <c r="Q500" s="135"/>
      <c r="R500" s="135"/>
      <c r="S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P9"/>
  <conditionalFormatting sqref="H3:H1000">
    <cfRule type="cellIs" priority="2" operator="greaterThan" aboveAverage="0" equalAverage="0" bottom="0" percent="0" rank="0" text="" dxfId="14">
      <formula>5</formula>
    </cfRule>
  </conditionalFormatting>
  <conditionalFormatting sqref="K3">
    <cfRule type="expression" priority="3" aboveAverage="0" equalAverage="0" bottom="0" percent="0" rank="0" text="" dxfId="14">
      <formula>AND(J3="completed",K3=0)</formula>
    </cfRule>
  </conditionalFormatting>
  <conditionalFormatting sqref="K4">
    <cfRule type="expression" priority="4" aboveAverage="0" equalAverage="0" bottom="0" percent="0" rank="0" text="" dxfId="14">
      <formula>AND(J4="completed",K4=0)</formula>
    </cfRule>
  </conditionalFormatting>
  <conditionalFormatting sqref="K5">
    <cfRule type="expression" priority="5" aboveAverage="0" equalAverage="0" bottom="0" percent="0" rank="0" text="" dxfId="14">
      <formula>AND(J5="completed",K5=0)</formula>
    </cfRule>
  </conditionalFormatting>
  <conditionalFormatting sqref="K6">
    <cfRule type="expression" priority="6" aboveAverage="0" equalAverage="0" bottom="0" percent="0" rank="0" text="" dxfId="14">
      <formula>AND(J6="completed",K6=0)</formula>
    </cfRule>
  </conditionalFormatting>
  <conditionalFormatting sqref="K7">
    <cfRule type="expression" priority="7" aboveAverage="0" equalAverage="0" bottom="0" percent="0" rank="0" text="" dxfId="14">
      <formula>AND(J7="completed",K7=0)</formula>
    </cfRule>
  </conditionalFormatting>
  <conditionalFormatting sqref="K8">
    <cfRule type="expression" priority="8" aboveAverage="0" equalAverage="0" bottom="0" percent="0" rank="0" text="" dxfId="14">
      <formula>AND(J8="completed",K8=0)</formula>
    </cfRule>
  </conditionalFormatting>
  <conditionalFormatting sqref="K9">
    <cfRule type="expression" priority="9" aboveAverage="0" equalAverage="0" bottom="0" percent="0" rank="0" text="" dxfId="14">
      <formula>AND(J9="completed",K9=0)</formula>
    </cfRule>
  </conditionalFormatting>
  <conditionalFormatting sqref="K10">
    <cfRule type="expression" priority="10" aboveAverage="0" equalAverage="0" bottom="0" percent="0" rank="0" text="" dxfId="14">
      <formula>AND(J10="completed",K10=0)</formula>
    </cfRule>
  </conditionalFormatting>
  <conditionalFormatting sqref="K11">
    <cfRule type="expression" priority="11" aboveAverage="0" equalAverage="0" bottom="0" percent="0" rank="0" text="" dxfId="14">
      <formula>AND(J11="completed",K11=0)</formula>
    </cfRule>
  </conditionalFormatting>
  <conditionalFormatting sqref="K12">
    <cfRule type="expression" priority="12" aboveAverage="0" equalAverage="0" bottom="0" percent="0" rank="0" text="" dxfId="14">
      <formula>AND(J12="completed",K12=0)</formula>
    </cfRule>
  </conditionalFormatting>
  <conditionalFormatting sqref="K13">
    <cfRule type="expression" priority="13" aboveAverage="0" equalAverage="0" bottom="0" percent="0" rank="0" text="" dxfId="14">
      <formula>AND(J13="completed",K13=0)</formula>
    </cfRule>
  </conditionalFormatting>
  <conditionalFormatting sqref="K14">
    <cfRule type="expression" priority="14" aboveAverage="0" equalAverage="0" bottom="0" percent="0" rank="0" text="" dxfId="14">
      <formula>AND(J14="completed",K14=0)</formula>
    </cfRule>
  </conditionalFormatting>
  <conditionalFormatting sqref="K15">
    <cfRule type="expression" priority="15" aboveAverage="0" equalAverage="0" bottom="0" percent="0" rank="0" text="" dxfId="14">
      <formula>AND(J15="completed",K15=0)</formula>
    </cfRule>
  </conditionalFormatting>
  <conditionalFormatting sqref="K16">
    <cfRule type="expression" priority="16" aboveAverage="0" equalAverage="0" bottom="0" percent="0" rank="0" text="" dxfId="14">
      <formula>AND(J16="completed",K16=0)</formula>
    </cfRule>
  </conditionalFormatting>
  <conditionalFormatting sqref="K17">
    <cfRule type="expression" priority="17" aboveAverage="0" equalAverage="0" bottom="0" percent="0" rank="0" text="" dxfId="14">
      <formula>AND(J17="completed",K17=0)</formula>
    </cfRule>
  </conditionalFormatting>
  <conditionalFormatting sqref="K18">
    <cfRule type="expression" priority="18" aboveAverage="0" equalAverage="0" bottom="0" percent="0" rank="0" text="" dxfId="14">
      <formula>AND(J18="completed",K18=0)</formula>
    </cfRule>
  </conditionalFormatting>
  <conditionalFormatting sqref="K19">
    <cfRule type="expression" priority="19" aboveAverage="0" equalAverage="0" bottom="0" percent="0" rank="0" text="" dxfId="14">
      <formula>AND(J19="completed",K19=0)</formula>
    </cfRule>
  </conditionalFormatting>
  <conditionalFormatting sqref="K20">
    <cfRule type="expression" priority="20" aboveAverage="0" equalAverage="0" bottom="0" percent="0" rank="0" text="" dxfId="14">
      <formula>AND(J20="completed",K20=0)</formula>
    </cfRule>
  </conditionalFormatting>
  <conditionalFormatting sqref="K21">
    <cfRule type="expression" priority="21" aboveAverage="0" equalAverage="0" bottom="0" percent="0" rank="0" text="" dxfId="14">
      <formula>AND(J21="completed",K21=0)</formula>
    </cfRule>
  </conditionalFormatting>
  <conditionalFormatting sqref="K22">
    <cfRule type="expression" priority="22" aboveAverage="0" equalAverage="0" bottom="0" percent="0" rank="0" text="" dxfId="14">
      <formula>AND(J22="completed",K22=0)</formula>
    </cfRule>
  </conditionalFormatting>
  <conditionalFormatting sqref="K23">
    <cfRule type="expression" priority="23" aboveAverage="0" equalAverage="0" bottom="0" percent="0" rank="0" text="" dxfId="14">
      <formula>AND(J23="completed",K23=0)</formula>
    </cfRule>
  </conditionalFormatting>
  <conditionalFormatting sqref="K24">
    <cfRule type="expression" priority="24" aboveAverage="0" equalAverage="0" bottom="0" percent="0" rank="0" text="" dxfId="14">
      <formula>AND(J24="completed",K24=0)</formula>
    </cfRule>
  </conditionalFormatting>
  <conditionalFormatting sqref="K25:K1000">
    <cfRule type="expression" priority="25" aboveAverage="0" equalAverage="0" bottom="0" percent="0" rank="0" text="" dxfId="14">
      <formula>AND(J25="completed",K25=0)</formula>
    </cfRule>
  </conditionalFormatting>
  <conditionalFormatting sqref="K26:K1000">
    <cfRule type="expression" priority="26" aboveAverage="0" equalAverage="0" bottom="0" percent="0" rank="0" text="" dxfId="14">
      <formula>AND(J26="completed",K26=0)</formula>
    </cfRule>
  </conditionalFormatting>
  <conditionalFormatting sqref="K27:K1000">
    <cfRule type="expression" priority="27" aboveAverage="0" equalAverage="0" bottom="0" percent="0" rank="0" text="" dxfId="14">
      <formula>AND(J27="completed",K27=0)</formula>
    </cfRule>
  </conditionalFormatting>
  <conditionalFormatting sqref="K28:K1000">
    <cfRule type="expression" priority="28" aboveAverage="0" equalAverage="0" bottom="0" percent="0" rank="0" text="" dxfId="14">
      <formula>AND(J28="completed",K28=0)</formula>
    </cfRule>
  </conditionalFormatting>
  <conditionalFormatting sqref="K29:K1000">
    <cfRule type="expression" priority="29" aboveAverage="0" equalAverage="0" bottom="0" percent="0" rank="0" text="" dxfId="14">
      <formula>AND(J29="completed",K29=0)</formula>
    </cfRule>
  </conditionalFormatting>
  <conditionalFormatting sqref="K30:K1000">
    <cfRule type="expression" priority="30" aboveAverage="0" equalAverage="0" bottom="0" percent="0" rank="0" text="" dxfId="14">
      <formula>AND(J30="completed",K30=0)</formula>
    </cfRule>
  </conditionalFormatting>
  <conditionalFormatting sqref="K31:K1000">
    <cfRule type="expression" priority="31" aboveAverage="0" equalAverage="0" bottom="0" percent="0" rank="0" text="" dxfId="14">
      <formula>AND(J31="completed",K31=0)</formula>
    </cfRule>
  </conditionalFormatting>
  <conditionalFormatting sqref="K32:K1000">
    <cfRule type="expression" priority="32" aboveAverage="0" equalAverage="0" bottom="0" percent="0" rank="0" text="" dxfId="14">
      <formula>AND(J32="completed",K32=0)</formula>
    </cfRule>
  </conditionalFormatting>
  <conditionalFormatting sqref="K33:K1000">
    <cfRule type="expression" priority="33" aboveAverage="0" equalAverage="0" bottom="0" percent="0" rank="0" text="" dxfId="14">
      <formula>AND(J33="completed",K33=0)</formula>
    </cfRule>
  </conditionalFormatting>
  <conditionalFormatting sqref="K34:K1000">
    <cfRule type="expression" priority="34" aboveAverage="0" equalAverage="0" bottom="0" percent="0" rank="0" text="" dxfId="14">
      <formula>AND(J34="completed",K34=0)</formula>
    </cfRule>
  </conditionalFormatting>
  <conditionalFormatting sqref="K35:K1000">
    <cfRule type="expression" priority="35" aboveAverage="0" equalAverage="0" bottom="0" percent="0" rank="0" text="" dxfId="14">
      <formula>AND(J35="completed",K35=0)</formula>
    </cfRule>
  </conditionalFormatting>
  <conditionalFormatting sqref="K36:K1000">
    <cfRule type="expression" priority="36" aboveAverage="0" equalAverage="0" bottom="0" percent="0" rank="0" text="" dxfId="14">
      <formula>AND(J36="completed",K36=0)</formula>
    </cfRule>
  </conditionalFormatting>
  <conditionalFormatting sqref="K37:K1000">
    <cfRule type="expression" priority="37" aboveAverage="0" equalAverage="0" bottom="0" percent="0" rank="0" text="" dxfId="14">
      <formula>AND(J37="completed",K37=0)</formula>
    </cfRule>
  </conditionalFormatting>
  <conditionalFormatting sqref="K38:K1000">
    <cfRule type="expression" priority="38" aboveAverage="0" equalAverage="0" bottom="0" percent="0" rank="0" text="" dxfId="14">
      <formula>AND(J38="completed",K38=0)</formula>
    </cfRule>
  </conditionalFormatting>
  <conditionalFormatting sqref="K39:K1000">
    <cfRule type="expression" priority="39" aboveAverage="0" equalAverage="0" bottom="0" percent="0" rank="0" text="" dxfId="14">
      <formula>AND(J39="completed",K39=0)</formula>
    </cfRule>
  </conditionalFormatting>
  <conditionalFormatting sqref="K40:K1000">
    <cfRule type="expression" priority="40" aboveAverage="0" equalAverage="0" bottom="0" percent="0" rank="0" text="" dxfId="14">
      <formula>AND(J40="completed",K40=0)</formula>
    </cfRule>
  </conditionalFormatting>
  <conditionalFormatting sqref="K41:K1000">
    <cfRule type="expression" priority="41" aboveAverage="0" equalAverage="0" bottom="0" percent="0" rank="0" text="" dxfId="14">
      <formula>AND(J41="completed",K41=0)</formula>
    </cfRule>
  </conditionalFormatting>
  <conditionalFormatting sqref="K42:K1000">
    <cfRule type="expression" priority="42" aboveAverage="0" equalAverage="0" bottom="0" percent="0" rank="0" text="" dxfId="14">
      <formula>AND(J42="completed",K42=0)</formula>
    </cfRule>
  </conditionalFormatting>
  <conditionalFormatting sqref="K43:K1000">
    <cfRule type="expression" priority="43" aboveAverage="0" equalAverage="0" bottom="0" percent="0" rank="0" text="" dxfId="14">
      <formula>AND(J43="completed",K43=0)</formula>
    </cfRule>
  </conditionalFormatting>
  <conditionalFormatting sqref="K44:K1000">
    <cfRule type="expression" priority="44" aboveAverage="0" equalAverage="0" bottom="0" percent="0" rank="0" text="" dxfId="14">
      <formula>AND(J44="completed",K44=0)</formula>
    </cfRule>
  </conditionalFormatting>
  <conditionalFormatting sqref="K45:K1000">
    <cfRule type="expression" priority="45" aboveAverage="0" equalAverage="0" bottom="0" percent="0" rank="0" text="" dxfId="14">
      <formula>AND(J45="completed",K45=0)</formula>
    </cfRule>
  </conditionalFormatting>
  <conditionalFormatting sqref="K46:K1000">
    <cfRule type="expression" priority="46" aboveAverage="0" equalAverage="0" bottom="0" percent="0" rank="0" text="" dxfId="14">
      <formula>AND(J46="completed",K46=0)</formula>
    </cfRule>
  </conditionalFormatting>
  <conditionalFormatting sqref="K47:K1000">
    <cfRule type="expression" priority="47" aboveAverage="0" equalAverage="0" bottom="0" percent="0" rank="0" text="" dxfId="14">
      <formula>AND(J47="completed",K47=0)</formula>
    </cfRule>
  </conditionalFormatting>
  <conditionalFormatting sqref="K48:K1000">
    <cfRule type="expression" priority="48" aboveAverage="0" equalAverage="0" bottom="0" percent="0" rank="0" text="" dxfId="14">
      <formula>AND(J48="completed",K48=0)</formula>
    </cfRule>
  </conditionalFormatting>
  <conditionalFormatting sqref="K49:K1000">
    <cfRule type="expression" priority="49" aboveAverage="0" equalAverage="0" bottom="0" percent="0" rank="0" text="" dxfId="14">
      <formula>AND(J49="completed",K49=0)</formula>
    </cfRule>
  </conditionalFormatting>
  <conditionalFormatting sqref="K50:K1000">
    <cfRule type="expression" priority="50" aboveAverage="0" equalAverage="0" bottom="0" percent="0" rank="0" text="" dxfId="14">
      <formula>AND(J50="completed",K50=0)</formula>
    </cfRule>
  </conditionalFormatting>
  <conditionalFormatting sqref="K51:K1000">
    <cfRule type="expression" priority="51" aboveAverage="0" equalAverage="0" bottom="0" percent="0" rank="0" text="" dxfId="14">
      <formula>AND(J51="completed",K51=0)</formula>
    </cfRule>
  </conditionalFormatting>
  <conditionalFormatting sqref="K52:K1000">
    <cfRule type="expression" priority="52" aboveAverage="0" equalAverage="0" bottom="0" percent="0" rank="0" text="" dxfId="14">
      <formula>AND(J52="completed",K52=0)</formula>
    </cfRule>
  </conditionalFormatting>
  <conditionalFormatting sqref="K53:K1000">
    <cfRule type="expression" priority="53" aboveAverage="0" equalAverage="0" bottom="0" percent="0" rank="0" text="" dxfId="14">
      <formula>AND(J53="completed",K53=0)</formula>
    </cfRule>
  </conditionalFormatting>
  <conditionalFormatting sqref="K54:K1000">
    <cfRule type="expression" priority="54" aboveAverage="0" equalAverage="0" bottom="0" percent="0" rank="0" text="" dxfId="14">
      <formula>AND(J54="completed",K54=0)</formula>
    </cfRule>
  </conditionalFormatting>
  <conditionalFormatting sqref="K55:K1000">
    <cfRule type="expression" priority="55" aboveAverage="0" equalAverage="0" bottom="0" percent="0" rank="0" text="" dxfId="14">
      <formula>AND(J55="completed",K55=0)</formula>
    </cfRule>
  </conditionalFormatting>
  <conditionalFormatting sqref="K56:K1000">
    <cfRule type="expression" priority="56" aboveAverage="0" equalAverage="0" bottom="0" percent="0" rank="0" text="" dxfId="14">
      <formula>AND(J56="completed",K56=0)</formula>
    </cfRule>
  </conditionalFormatting>
  <conditionalFormatting sqref="K57:K1000">
    <cfRule type="expression" priority="57" aboveAverage="0" equalAverage="0" bottom="0" percent="0" rank="0" text="" dxfId="14">
      <formula>AND(J57="completed",K57=0)</formula>
    </cfRule>
  </conditionalFormatting>
  <conditionalFormatting sqref="K58:K1000">
    <cfRule type="expression" priority="58" aboveAverage="0" equalAverage="0" bottom="0" percent="0" rank="0" text="" dxfId="14">
      <formula>AND(J58="completed",K58=0)</formula>
    </cfRule>
  </conditionalFormatting>
  <conditionalFormatting sqref="K59:K1000">
    <cfRule type="expression" priority="59" aboveAverage="0" equalAverage="0" bottom="0" percent="0" rank="0" text="" dxfId="14">
      <formula>AND(J59="completed",K59=0)</formula>
    </cfRule>
  </conditionalFormatting>
  <conditionalFormatting sqref="K60:K1000">
    <cfRule type="expression" priority="60" aboveAverage="0" equalAverage="0" bottom="0" percent="0" rank="0" text="" dxfId="14">
      <formula>AND(J60="completed",K60=0)</formula>
    </cfRule>
  </conditionalFormatting>
  <conditionalFormatting sqref="K61:K1000">
    <cfRule type="expression" priority="61" aboveAverage="0" equalAverage="0" bottom="0" percent="0" rank="0" text="" dxfId="14">
      <formula>AND(J61="completed",K61=0)</formula>
    </cfRule>
  </conditionalFormatting>
  <conditionalFormatting sqref="K62:K1000">
    <cfRule type="expression" priority="62" aboveAverage="0" equalAverage="0" bottom="0" percent="0" rank="0" text="" dxfId="14">
      <formula>AND(J62="completed",K62=0)</formula>
    </cfRule>
  </conditionalFormatting>
  <conditionalFormatting sqref="K63:K1000">
    <cfRule type="expression" priority="63" aboveAverage="0" equalAverage="0" bottom="0" percent="0" rank="0" text="" dxfId="14">
      <formula>AND(J63="completed",K63=0)</formula>
    </cfRule>
  </conditionalFormatting>
  <conditionalFormatting sqref="K64:K1000">
    <cfRule type="expression" priority="64" aboveAverage="0" equalAverage="0" bottom="0" percent="0" rank="0" text="" dxfId="14">
      <formula>AND(J64="completed",K64=0)</formula>
    </cfRule>
  </conditionalFormatting>
  <conditionalFormatting sqref="K65:K1000">
    <cfRule type="expression" priority="65" aboveAverage="0" equalAverage="0" bottom="0" percent="0" rank="0" text="" dxfId="14">
      <formula>AND(J65="completed",K65=0)</formula>
    </cfRule>
  </conditionalFormatting>
  <conditionalFormatting sqref="K66:K1000">
    <cfRule type="expression" priority="66" aboveAverage="0" equalAverage="0" bottom="0" percent="0" rank="0" text="" dxfId="14">
      <formula>AND(J66="completed",K66=0)</formula>
    </cfRule>
  </conditionalFormatting>
  <conditionalFormatting sqref="K67:K1000">
    <cfRule type="expression" priority="67" aboveAverage="0" equalAverage="0" bottom="0" percent="0" rank="0" text="" dxfId="14">
      <formula>AND(J67="completed",K67=0)</formula>
    </cfRule>
  </conditionalFormatting>
  <conditionalFormatting sqref="K68:K1000">
    <cfRule type="expression" priority="68" aboveAverage="0" equalAverage="0" bottom="0" percent="0" rank="0" text="" dxfId="14">
      <formula>AND(J68="completed",K68=0)</formula>
    </cfRule>
  </conditionalFormatting>
  <conditionalFormatting sqref="K69:K1000">
    <cfRule type="expression" priority="69" aboveAverage="0" equalAverage="0" bottom="0" percent="0" rank="0" text="" dxfId="14">
      <formula>AND(J69="completed",K69=0)</formula>
    </cfRule>
  </conditionalFormatting>
  <conditionalFormatting sqref="K70:K1000">
    <cfRule type="expression" priority="70" aboveAverage="0" equalAverage="0" bottom="0" percent="0" rank="0" text="" dxfId="14">
      <formula>AND(J70="completed",K70=0)</formula>
    </cfRule>
  </conditionalFormatting>
  <conditionalFormatting sqref="K71:K1000">
    <cfRule type="expression" priority="71" aboveAverage="0" equalAverage="0" bottom="0" percent="0" rank="0" text="" dxfId="14">
      <formula>AND(J71="completed",K71=0)</formula>
    </cfRule>
  </conditionalFormatting>
  <conditionalFormatting sqref="K72:K1000">
    <cfRule type="expression" priority="72" aboveAverage="0" equalAverage="0" bottom="0" percent="0" rank="0" text="" dxfId="14">
      <formula>AND(J72="completed",K72=0)</formula>
    </cfRule>
  </conditionalFormatting>
  <conditionalFormatting sqref="K73:K1000">
    <cfRule type="expression" priority="73" aboveAverage="0" equalAverage="0" bottom="0" percent="0" rank="0" text="" dxfId="14">
      <formula>AND(J73="completed",K73=0)</formula>
    </cfRule>
  </conditionalFormatting>
  <conditionalFormatting sqref="K74:K1000">
    <cfRule type="expression" priority="74" aboveAverage="0" equalAverage="0" bottom="0" percent="0" rank="0" text="" dxfId="14">
      <formula>AND(J74="completed",K74=0)</formula>
    </cfRule>
  </conditionalFormatting>
  <conditionalFormatting sqref="K75:K1000">
    <cfRule type="expression" priority="75" aboveAverage="0" equalAverage="0" bottom="0" percent="0" rank="0" text="" dxfId="14">
      <formula>AND(J75="completed",K75=0)</formula>
    </cfRule>
  </conditionalFormatting>
  <conditionalFormatting sqref="K76:K1000">
    <cfRule type="expression" priority="76" aboveAverage="0" equalAverage="0" bottom="0" percent="0" rank="0" text="" dxfId="14">
      <formula>AND(J76="completed",K76=0)</formula>
    </cfRule>
  </conditionalFormatting>
  <conditionalFormatting sqref="K77:K1000">
    <cfRule type="expression" priority="77" aboveAverage="0" equalAverage="0" bottom="0" percent="0" rank="0" text="" dxfId="14">
      <formula>AND(J77="completed",K77=0)</formula>
    </cfRule>
  </conditionalFormatting>
  <conditionalFormatting sqref="K78:K1000">
    <cfRule type="expression" priority="78" aboveAverage="0" equalAverage="0" bottom="0" percent="0" rank="0" text="" dxfId="14">
      <formula>AND(J78="completed",K78=0)</formula>
    </cfRule>
  </conditionalFormatting>
  <conditionalFormatting sqref="K79:K1000">
    <cfRule type="expression" priority="79" aboveAverage="0" equalAverage="0" bottom="0" percent="0" rank="0" text="" dxfId="14">
      <formula>AND(J79="completed",K79=0)</formula>
    </cfRule>
  </conditionalFormatting>
  <conditionalFormatting sqref="K80:K1000">
    <cfRule type="expression" priority="80" aboveAverage="0" equalAverage="0" bottom="0" percent="0" rank="0" text="" dxfId="14">
      <formula>AND(J80="completed",K80=0)</formula>
    </cfRule>
  </conditionalFormatting>
  <conditionalFormatting sqref="K81:K1000">
    <cfRule type="expression" priority="81" aboveAverage="0" equalAverage="0" bottom="0" percent="0" rank="0" text="" dxfId="14">
      <formula>AND(J81="completed",K81=0)</formula>
    </cfRule>
  </conditionalFormatting>
  <conditionalFormatting sqref="K82:K1000">
    <cfRule type="expression" priority="82" aboveAverage="0" equalAverage="0" bottom="0" percent="0" rank="0" text="" dxfId="14">
      <formula>AND(J82="completed",K82=0)</formula>
    </cfRule>
  </conditionalFormatting>
  <conditionalFormatting sqref="K83:K1000">
    <cfRule type="expression" priority="83" aboveAverage="0" equalAverage="0" bottom="0" percent="0" rank="0" text="" dxfId="14">
      <formula>AND(J83="completed",K83=0)</formula>
    </cfRule>
  </conditionalFormatting>
  <conditionalFormatting sqref="K84:K1000">
    <cfRule type="expression" priority="84" aboveAverage="0" equalAverage="0" bottom="0" percent="0" rank="0" text="" dxfId="14">
      <formula>AND(J84="completed",K84=0)</formula>
    </cfRule>
  </conditionalFormatting>
  <conditionalFormatting sqref="K85:K1000">
    <cfRule type="expression" priority="85" aboveAverage="0" equalAverage="0" bottom="0" percent="0" rank="0" text="" dxfId="14">
      <formula>AND(J85="completed",K85=0)</formula>
    </cfRule>
  </conditionalFormatting>
  <conditionalFormatting sqref="K86:K1000">
    <cfRule type="expression" priority="86" aboveAverage="0" equalAverage="0" bottom="0" percent="0" rank="0" text="" dxfId="14">
      <formula>AND(J86="completed",K86=0)</formula>
    </cfRule>
  </conditionalFormatting>
  <conditionalFormatting sqref="K87:K1000">
    <cfRule type="expression" priority="87" aboveAverage="0" equalAverage="0" bottom="0" percent="0" rank="0" text="" dxfId="14">
      <formula>AND(J87="completed",K87=0)</formula>
    </cfRule>
  </conditionalFormatting>
  <conditionalFormatting sqref="K88:K1000">
    <cfRule type="expression" priority="88" aboveAverage="0" equalAverage="0" bottom="0" percent="0" rank="0" text="" dxfId="14">
      <formula>AND(J88="completed",K88=0)</formula>
    </cfRule>
  </conditionalFormatting>
  <conditionalFormatting sqref="K89:K1000">
    <cfRule type="expression" priority="89" aboveAverage="0" equalAverage="0" bottom="0" percent="0" rank="0" text="" dxfId="14">
      <formula>AND(J89="completed",K89=0)</formula>
    </cfRule>
  </conditionalFormatting>
  <conditionalFormatting sqref="K90:K1000">
    <cfRule type="expression" priority="90" aboveAverage="0" equalAverage="0" bottom="0" percent="0" rank="0" text="" dxfId="14">
      <formula>AND(J90="completed",K90=0)</formula>
    </cfRule>
  </conditionalFormatting>
  <conditionalFormatting sqref="K91:K1000">
    <cfRule type="expression" priority="91" aboveAverage="0" equalAverage="0" bottom="0" percent="0" rank="0" text="" dxfId="14">
      <formula>AND(J91="completed",K91=0)</formula>
    </cfRule>
  </conditionalFormatting>
  <conditionalFormatting sqref="K92:K1000">
    <cfRule type="expression" priority="92" aboveAverage="0" equalAverage="0" bottom="0" percent="0" rank="0" text="" dxfId="14">
      <formula>AND(J92="completed",K92=0)</formula>
    </cfRule>
  </conditionalFormatting>
  <conditionalFormatting sqref="K93:K1000">
    <cfRule type="expression" priority="93" aboveAverage="0" equalAverage="0" bottom="0" percent="0" rank="0" text="" dxfId="14">
      <formula>AND(J93="completed",K93=0)</formula>
    </cfRule>
  </conditionalFormatting>
  <conditionalFormatting sqref="K94:K1000">
    <cfRule type="expression" priority="94" aboveAverage="0" equalAverage="0" bottom="0" percent="0" rank="0" text="" dxfId="14">
      <formula>AND(J94="completed",K94=0)</formula>
    </cfRule>
  </conditionalFormatting>
  <conditionalFormatting sqref="K95:K1000">
    <cfRule type="expression" priority="95" aboveAverage="0" equalAverage="0" bottom="0" percent="0" rank="0" text="" dxfId="14">
      <formula>AND(J95="completed",K95=0)</formula>
    </cfRule>
  </conditionalFormatting>
  <conditionalFormatting sqref="K96:K1000">
    <cfRule type="expression" priority="96" aboveAverage="0" equalAverage="0" bottom="0" percent="0" rank="0" text="" dxfId="14">
      <formula>AND(J96="completed",K96=0)</formula>
    </cfRule>
  </conditionalFormatting>
  <conditionalFormatting sqref="K97:K1000">
    <cfRule type="expression" priority="97" aboveAverage="0" equalAverage="0" bottom="0" percent="0" rank="0" text="" dxfId="14">
      <formula>AND(J97="completed",K97=0)</formula>
    </cfRule>
  </conditionalFormatting>
  <conditionalFormatting sqref="K98:K1000">
    <cfRule type="expression" priority="98" aboveAverage="0" equalAverage="0" bottom="0" percent="0" rank="0" text="" dxfId="14">
      <formula>AND(J98="completed",K98=0)</formula>
    </cfRule>
  </conditionalFormatting>
  <conditionalFormatting sqref="K99:K1000">
    <cfRule type="expression" priority="99" aboveAverage="0" equalAverage="0" bottom="0" percent="0" rank="0" text="" dxfId="14">
      <formula>AND(J99="completed",K99=0)</formula>
    </cfRule>
  </conditionalFormatting>
  <conditionalFormatting sqref="K100:K1000">
    <cfRule type="expression" priority="100" aboveAverage="0" equalAverage="0" bottom="0" percent="0" rank="0" text="" dxfId="14">
      <formula>AND(J100="completed",K100=0)</formula>
    </cfRule>
  </conditionalFormatting>
  <conditionalFormatting sqref="K101:K1000">
    <cfRule type="expression" priority="101" aboveAverage="0" equalAverage="0" bottom="0" percent="0" rank="0" text="" dxfId="14">
      <formula>AND(J101="completed",K101=0)</formula>
    </cfRule>
  </conditionalFormatting>
  <conditionalFormatting sqref="K102:K1000">
    <cfRule type="expression" priority="102" aboveAverage="0" equalAverage="0" bottom="0" percent="0" rank="0" text="" dxfId="14">
      <formula>AND(J102="completed",K102=0)</formula>
    </cfRule>
  </conditionalFormatting>
  <conditionalFormatting sqref="K103:K1000">
    <cfRule type="expression" priority="103" aboveAverage="0" equalAverage="0" bottom="0" percent="0" rank="0" text="" dxfId="14">
      <formula>AND(J103="completed",K103=0)</formula>
    </cfRule>
  </conditionalFormatting>
  <conditionalFormatting sqref="K104:K1000">
    <cfRule type="expression" priority="104" aboveAverage="0" equalAverage="0" bottom="0" percent="0" rank="0" text="" dxfId="14">
      <formula>AND(J104="completed",K104=0)</formula>
    </cfRule>
  </conditionalFormatting>
  <conditionalFormatting sqref="K105:K1000">
    <cfRule type="expression" priority="105" aboveAverage="0" equalAverage="0" bottom="0" percent="0" rank="0" text="" dxfId="14">
      <formula>AND(J105="completed",K105=0)</formula>
    </cfRule>
  </conditionalFormatting>
  <conditionalFormatting sqref="K106:K1000">
    <cfRule type="expression" priority="106" aboveAverage="0" equalAverage="0" bottom="0" percent="0" rank="0" text="" dxfId="14">
      <formula>AND(J106="completed",K106=0)</formula>
    </cfRule>
  </conditionalFormatting>
  <conditionalFormatting sqref="K107:K1000">
    <cfRule type="expression" priority="107" aboveAverage="0" equalAverage="0" bottom="0" percent="0" rank="0" text="" dxfId="14">
      <formula>AND(J107="completed",K107=0)</formula>
    </cfRule>
  </conditionalFormatting>
  <conditionalFormatting sqref="K108:K1000">
    <cfRule type="expression" priority="108" aboveAverage="0" equalAverage="0" bottom="0" percent="0" rank="0" text="" dxfId="14">
      <formula>AND(J108="completed",K108=0)</formula>
    </cfRule>
  </conditionalFormatting>
  <conditionalFormatting sqref="K109:K1000">
    <cfRule type="expression" priority="109" aboveAverage="0" equalAverage="0" bottom="0" percent="0" rank="0" text="" dxfId="14">
      <formula>AND(J109="completed",K109=0)</formula>
    </cfRule>
  </conditionalFormatting>
  <conditionalFormatting sqref="K110:K1000">
    <cfRule type="expression" priority="110" aboveAverage="0" equalAverage="0" bottom="0" percent="0" rank="0" text="" dxfId="14">
      <formula>AND(J110="completed",K110=0)</formula>
    </cfRule>
  </conditionalFormatting>
  <conditionalFormatting sqref="K111:K1000">
    <cfRule type="expression" priority="111" aboveAverage="0" equalAverage="0" bottom="0" percent="0" rank="0" text="" dxfId="14">
      <formula>AND(J111="completed",K111=0)</formula>
    </cfRule>
  </conditionalFormatting>
  <conditionalFormatting sqref="K112:K1000">
    <cfRule type="expression" priority="112" aboveAverage="0" equalAverage="0" bottom="0" percent="0" rank="0" text="" dxfId="14">
      <formula>AND(J112="completed",K112=0)</formula>
    </cfRule>
  </conditionalFormatting>
  <conditionalFormatting sqref="K113:K1000">
    <cfRule type="expression" priority="113" aboveAverage="0" equalAverage="0" bottom="0" percent="0" rank="0" text="" dxfId="14">
      <formula>AND(J113="completed",K113=0)</formula>
    </cfRule>
  </conditionalFormatting>
  <conditionalFormatting sqref="K114:K1000">
    <cfRule type="expression" priority="114" aboveAverage="0" equalAverage="0" bottom="0" percent="0" rank="0" text="" dxfId="14">
      <formula>AND(J114="completed",K114=0)</formula>
    </cfRule>
  </conditionalFormatting>
  <conditionalFormatting sqref="K115:K1000">
    <cfRule type="expression" priority="115" aboveAverage="0" equalAverage="0" bottom="0" percent="0" rank="0" text="" dxfId="14">
      <formula>AND(J115="completed",K115=0)</formula>
    </cfRule>
  </conditionalFormatting>
  <conditionalFormatting sqref="K116:K1000">
    <cfRule type="expression" priority="116" aboveAverage="0" equalAverage="0" bottom="0" percent="0" rank="0" text="" dxfId="14">
      <formula>AND(J116="completed",K116=0)</formula>
    </cfRule>
  </conditionalFormatting>
  <conditionalFormatting sqref="K117:K1000">
    <cfRule type="expression" priority="117" aboveAverage="0" equalAverage="0" bottom="0" percent="0" rank="0" text="" dxfId="14">
      <formula>AND(J117="completed",K117=0)</formula>
    </cfRule>
  </conditionalFormatting>
  <conditionalFormatting sqref="K118:K1000">
    <cfRule type="expression" priority="118" aboveAverage="0" equalAverage="0" bottom="0" percent="0" rank="0" text="" dxfId="14">
      <formula>AND(J118="completed",K118=0)</formula>
    </cfRule>
  </conditionalFormatting>
  <conditionalFormatting sqref="K119:K1000">
    <cfRule type="expression" priority="119" aboveAverage="0" equalAverage="0" bottom="0" percent="0" rank="0" text="" dxfId="14">
      <formula>AND(J119="completed",K119=0)</formula>
    </cfRule>
  </conditionalFormatting>
  <conditionalFormatting sqref="K120:K1000">
    <cfRule type="expression" priority="120" aboveAverage="0" equalAverage="0" bottom="0" percent="0" rank="0" text="" dxfId="14">
      <formula>AND(J120="completed",K120=0)</formula>
    </cfRule>
  </conditionalFormatting>
  <conditionalFormatting sqref="K121:K1000">
    <cfRule type="expression" priority="121" aboveAverage="0" equalAverage="0" bottom="0" percent="0" rank="0" text="" dxfId="14">
      <formula>AND(J121="completed",K121=0)</formula>
    </cfRule>
  </conditionalFormatting>
  <conditionalFormatting sqref="K122:K1000">
    <cfRule type="expression" priority="122" aboveAverage="0" equalAverage="0" bottom="0" percent="0" rank="0" text="" dxfId="14">
      <formula>AND(J122="completed",K122=0)</formula>
    </cfRule>
  </conditionalFormatting>
  <conditionalFormatting sqref="K123:K1000">
    <cfRule type="expression" priority="123" aboveAverage="0" equalAverage="0" bottom="0" percent="0" rank="0" text="" dxfId="14">
      <formula>AND(J123="completed",K123=0)</formula>
    </cfRule>
  </conditionalFormatting>
  <conditionalFormatting sqref="K124:K1000">
    <cfRule type="expression" priority="124" aboveAverage="0" equalAverage="0" bottom="0" percent="0" rank="0" text="" dxfId="14">
      <formula>AND(J124="completed",K124=0)</formula>
    </cfRule>
  </conditionalFormatting>
  <conditionalFormatting sqref="K125:K1000">
    <cfRule type="expression" priority="125" aboveAverage="0" equalAverage="0" bottom="0" percent="0" rank="0" text="" dxfId="14">
      <formula>AND(J125="completed",K125=0)</formula>
    </cfRule>
  </conditionalFormatting>
  <conditionalFormatting sqref="K126:K1000">
    <cfRule type="expression" priority="126" aboveAverage="0" equalAverage="0" bottom="0" percent="0" rank="0" text="" dxfId="14">
      <formula>AND(J126="completed",K126=0)</formula>
    </cfRule>
  </conditionalFormatting>
  <conditionalFormatting sqref="K127:K1000">
    <cfRule type="expression" priority="127" aboveAverage="0" equalAverage="0" bottom="0" percent="0" rank="0" text="" dxfId="14">
      <formula>AND(J127="completed",K127=0)</formula>
    </cfRule>
  </conditionalFormatting>
  <conditionalFormatting sqref="K128:K1000">
    <cfRule type="expression" priority="128" aboveAverage="0" equalAverage="0" bottom="0" percent="0" rank="0" text="" dxfId="14">
      <formula>AND(J128="completed",K128=0)</formula>
    </cfRule>
  </conditionalFormatting>
  <conditionalFormatting sqref="K129:K1000">
    <cfRule type="expression" priority="129" aboveAverage="0" equalAverage="0" bottom="0" percent="0" rank="0" text="" dxfId="14">
      <formula>AND(J129="completed",K129=0)</formula>
    </cfRule>
  </conditionalFormatting>
  <conditionalFormatting sqref="K130:K1000">
    <cfRule type="expression" priority="130" aboveAverage="0" equalAverage="0" bottom="0" percent="0" rank="0" text="" dxfId="14">
      <formula>AND(J130="completed",K130=0)</formula>
    </cfRule>
  </conditionalFormatting>
  <conditionalFormatting sqref="K131:K1000">
    <cfRule type="expression" priority="131" aboveAverage="0" equalAverage="0" bottom="0" percent="0" rank="0" text="" dxfId="14">
      <formula>AND(J131="completed",K131=0)</formula>
    </cfRule>
  </conditionalFormatting>
  <conditionalFormatting sqref="K132:K1000">
    <cfRule type="expression" priority="132" aboveAverage="0" equalAverage="0" bottom="0" percent="0" rank="0" text="" dxfId="14">
      <formula>AND(J132="completed",K132=0)</formula>
    </cfRule>
  </conditionalFormatting>
  <conditionalFormatting sqref="K133:K1000">
    <cfRule type="expression" priority="133" aboveAverage="0" equalAverage="0" bottom="0" percent="0" rank="0" text="" dxfId="14">
      <formula>AND(J133="completed",K133=0)</formula>
    </cfRule>
  </conditionalFormatting>
  <conditionalFormatting sqref="K134:K1000">
    <cfRule type="expression" priority="134" aboveAverage="0" equalAverage="0" bottom="0" percent="0" rank="0" text="" dxfId="14">
      <formula>AND(J134="completed",K134=0)</formula>
    </cfRule>
  </conditionalFormatting>
  <conditionalFormatting sqref="K135:K1000">
    <cfRule type="expression" priority="135" aboveAverage="0" equalAverage="0" bottom="0" percent="0" rank="0" text="" dxfId="14">
      <formula>AND(J135="completed",K135=0)</formula>
    </cfRule>
  </conditionalFormatting>
  <conditionalFormatting sqref="K136:K1000">
    <cfRule type="expression" priority="136" aboveAverage="0" equalAverage="0" bottom="0" percent="0" rank="0" text="" dxfId="14">
      <formula>AND(J136="completed",K136=0)</formula>
    </cfRule>
  </conditionalFormatting>
  <conditionalFormatting sqref="K137:K1000">
    <cfRule type="expression" priority="137" aboveAverage="0" equalAverage="0" bottom="0" percent="0" rank="0" text="" dxfId="14">
      <formula>AND(J137="completed",K137=0)</formula>
    </cfRule>
  </conditionalFormatting>
  <conditionalFormatting sqref="K138:K1000">
    <cfRule type="expression" priority="138" aboveAverage="0" equalAverage="0" bottom="0" percent="0" rank="0" text="" dxfId="14">
      <formula>AND(J138="completed",K138=0)</formula>
    </cfRule>
  </conditionalFormatting>
  <conditionalFormatting sqref="K139:K1000">
    <cfRule type="expression" priority="139" aboveAverage="0" equalAverage="0" bottom="0" percent="0" rank="0" text="" dxfId="14">
      <formula>AND(J139="completed",K139=0)</formula>
    </cfRule>
  </conditionalFormatting>
  <conditionalFormatting sqref="K140:K1000">
    <cfRule type="expression" priority="140" aboveAverage="0" equalAverage="0" bottom="0" percent="0" rank="0" text="" dxfId="14">
      <formula>AND(J140="completed",K140=0)</formula>
    </cfRule>
  </conditionalFormatting>
  <conditionalFormatting sqref="K141:K1000">
    <cfRule type="expression" priority="141" aboveAverage="0" equalAverage="0" bottom="0" percent="0" rank="0" text="" dxfId="14">
      <formula>AND(J141="completed",K141=0)</formula>
    </cfRule>
  </conditionalFormatting>
  <conditionalFormatting sqref="K142:K1000">
    <cfRule type="expression" priority="142" aboveAverage="0" equalAverage="0" bottom="0" percent="0" rank="0" text="" dxfId="14">
      <formula>AND(J142="completed",K142=0)</formula>
    </cfRule>
  </conditionalFormatting>
  <conditionalFormatting sqref="K143:K1000">
    <cfRule type="expression" priority="143" aboveAverage="0" equalAverage="0" bottom="0" percent="0" rank="0" text="" dxfId="14">
      <formula>AND(J143="completed",K143=0)</formula>
    </cfRule>
  </conditionalFormatting>
  <conditionalFormatting sqref="K144:K1000">
    <cfRule type="expression" priority="144" aboveAverage="0" equalAverage="0" bottom="0" percent="0" rank="0" text="" dxfId="14">
      <formula>AND(J144="completed",K144=0)</formula>
    </cfRule>
  </conditionalFormatting>
  <conditionalFormatting sqref="K145:K1000">
    <cfRule type="expression" priority="145" aboveAverage="0" equalAverage="0" bottom="0" percent="0" rank="0" text="" dxfId="14">
      <formula>AND(J145="completed",K145=0)</formula>
    </cfRule>
  </conditionalFormatting>
  <conditionalFormatting sqref="K146:K1000">
    <cfRule type="expression" priority="146" aboveAverage="0" equalAverage="0" bottom="0" percent="0" rank="0" text="" dxfId="14">
      <formula>AND(J146="completed",K146=0)</formula>
    </cfRule>
  </conditionalFormatting>
  <conditionalFormatting sqref="K147:K1000">
    <cfRule type="expression" priority="147" aboveAverage="0" equalAverage="0" bottom="0" percent="0" rank="0" text="" dxfId="14">
      <formula>AND(J147="completed",K147=0)</formula>
    </cfRule>
  </conditionalFormatting>
  <conditionalFormatting sqref="K148:K1000">
    <cfRule type="expression" priority="148" aboveAverage="0" equalAverage="0" bottom="0" percent="0" rank="0" text="" dxfId="14">
      <formula>AND(J148="completed",K148=0)</formula>
    </cfRule>
  </conditionalFormatting>
  <conditionalFormatting sqref="K149:K1000">
    <cfRule type="expression" priority="149" aboveAverage="0" equalAverage="0" bottom="0" percent="0" rank="0" text="" dxfId="14">
      <formula>AND(J149="completed",K149=0)</formula>
    </cfRule>
  </conditionalFormatting>
  <conditionalFormatting sqref="K150:K1000">
    <cfRule type="expression" priority="150" aboveAverage="0" equalAverage="0" bottom="0" percent="0" rank="0" text="" dxfId="14">
      <formula>AND(J150="completed",K150=0)</formula>
    </cfRule>
  </conditionalFormatting>
  <conditionalFormatting sqref="K151:K1000">
    <cfRule type="expression" priority="151" aboveAverage="0" equalAverage="0" bottom="0" percent="0" rank="0" text="" dxfId="14">
      <formula>AND(J151="completed",K151=0)</formula>
    </cfRule>
  </conditionalFormatting>
  <conditionalFormatting sqref="K152:K1000">
    <cfRule type="expression" priority="152" aboveAverage="0" equalAverage="0" bottom="0" percent="0" rank="0" text="" dxfId="14">
      <formula>AND(J152="completed",K152=0)</formula>
    </cfRule>
  </conditionalFormatting>
  <conditionalFormatting sqref="K153:K1000">
    <cfRule type="expression" priority="153" aboveAverage="0" equalAverage="0" bottom="0" percent="0" rank="0" text="" dxfId="14">
      <formula>AND(J153="completed",K153=0)</formula>
    </cfRule>
  </conditionalFormatting>
  <conditionalFormatting sqref="K154:K1000">
    <cfRule type="expression" priority="154" aboveAverage="0" equalAverage="0" bottom="0" percent="0" rank="0" text="" dxfId="14">
      <formula>AND(J154="completed",K154=0)</formula>
    </cfRule>
  </conditionalFormatting>
  <conditionalFormatting sqref="K155:K1000">
    <cfRule type="expression" priority="155" aboveAverage="0" equalAverage="0" bottom="0" percent="0" rank="0" text="" dxfId="14">
      <formula>AND(J155="completed",K155=0)</formula>
    </cfRule>
  </conditionalFormatting>
  <conditionalFormatting sqref="K156:K1000">
    <cfRule type="expression" priority="156" aboveAverage="0" equalAverage="0" bottom="0" percent="0" rank="0" text="" dxfId="14">
      <formula>AND(J156="completed",K156=0)</formula>
    </cfRule>
  </conditionalFormatting>
  <conditionalFormatting sqref="K157:K1000">
    <cfRule type="expression" priority="157" aboveAverage="0" equalAverage="0" bottom="0" percent="0" rank="0" text="" dxfId="14">
      <formula>AND(J157="completed",K157=0)</formula>
    </cfRule>
  </conditionalFormatting>
  <conditionalFormatting sqref="K158:K1000">
    <cfRule type="expression" priority="158" aboveAverage="0" equalAverage="0" bottom="0" percent="0" rank="0" text="" dxfId="14">
      <formula>AND(J158="completed",K158=0)</formula>
    </cfRule>
  </conditionalFormatting>
  <conditionalFormatting sqref="K159:K1000">
    <cfRule type="expression" priority="159" aboveAverage="0" equalAverage="0" bottom="0" percent="0" rank="0" text="" dxfId="14">
      <formula>AND(J159="completed",K159=0)</formula>
    </cfRule>
  </conditionalFormatting>
  <conditionalFormatting sqref="K160:K1000">
    <cfRule type="expression" priority="160" aboveAverage="0" equalAverage="0" bottom="0" percent="0" rank="0" text="" dxfId="14">
      <formula>AND(J160="completed",K160=0)</formula>
    </cfRule>
  </conditionalFormatting>
  <conditionalFormatting sqref="K161:K1000">
    <cfRule type="expression" priority="161" aboveAverage="0" equalAverage="0" bottom="0" percent="0" rank="0" text="" dxfId="14">
      <formula>AND(J161="completed",K161=0)</formula>
    </cfRule>
  </conditionalFormatting>
  <conditionalFormatting sqref="K162:K1000">
    <cfRule type="expression" priority="162" aboveAverage="0" equalAverage="0" bottom="0" percent="0" rank="0" text="" dxfId="14">
      <formula>AND(J162="completed",K162=0)</formula>
    </cfRule>
  </conditionalFormatting>
  <conditionalFormatting sqref="K163:K1000">
    <cfRule type="expression" priority="163" aboveAverage="0" equalAverage="0" bottom="0" percent="0" rank="0" text="" dxfId="14">
      <formula>AND(J163="completed",K163=0)</formula>
    </cfRule>
  </conditionalFormatting>
  <conditionalFormatting sqref="K164:K1000">
    <cfRule type="expression" priority="164" aboveAverage="0" equalAverage="0" bottom="0" percent="0" rank="0" text="" dxfId="14">
      <formula>AND(J164="completed",K164=0)</formula>
    </cfRule>
  </conditionalFormatting>
  <conditionalFormatting sqref="K165:K1000">
    <cfRule type="expression" priority="165" aboveAverage="0" equalAverage="0" bottom="0" percent="0" rank="0" text="" dxfId="14">
      <formula>AND(J165="completed",K165=0)</formula>
    </cfRule>
  </conditionalFormatting>
  <conditionalFormatting sqref="K166:K1000">
    <cfRule type="expression" priority="166" aboveAverage="0" equalAverage="0" bottom="0" percent="0" rank="0" text="" dxfId="14">
      <formula>AND(J166="completed",K166=0)</formula>
    </cfRule>
  </conditionalFormatting>
  <conditionalFormatting sqref="K167:K1000">
    <cfRule type="expression" priority="167" aboveAverage="0" equalAverage="0" bottom="0" percent="0" rank="0" text="" dxfId="14">
      <formula>AND(J167="completed",K167=0)</formula>
    </cfRule>
  </conditionalFormatting>
  <conditionalFormatting sqref="K168:K1000">
    <cfRule type="expression" priority="168" aboveAverage="0" equalAverage="0" bottom="0" percent="0" rank="0" text="" dxfId="14">
      <formula>AND(J168="completed",K168=0)</formula>
    </cfRule>
  </conditionalFormatting>
  <conditionalFormatting sqref="K169:K1000">
    <cfRule type="expression" priority="169" aboveAverage="0" equalAverage="0" bottom="0" percent="0" rank="0" text="" dxfId="14">
      <formula>AND(J169="completed",K169=0)</formula>
    </cfRule>
  </conditionalFormatting>
  <conditionalFormatting sqref="K170:K1000">
    <cfRule type="expression" priority="170" aboveAverage="0" equalAverage="0" bottom="0" percent="0" rank="0" text="" dxfId="14">
      <formula>AND(J170="completed",K170=0)</formula>
    </cfRule>
  </conditionalFormatting>
  <conditionalFormatting sqref="K171:K1000">
    <cfRule type="expression" priority="171" aboveAverage="0" equalAverage="0" bottom="0" percent="0" rank="0" text="" dxfId="14">
      <formula>AND(J171="completed",K171=0)</formula>
    </cfRule>
  </conditionalFormatting>
  <conditionalFormatting sqref="K172:K1000">
    <cfRule type="expression" priority="172" aboveAverage="0" equalAverage="0" bottom="0" percent="0" rank="0" text="" dxfId="14">
      <formula>AND(J172="completed",K172=0)</formula>
    </cfRule>
  </conditionalFormatting>
  <conditionalFormatting sqref="K173:K1000">
    <cfRule type="expression" priority="173" aboveAverage="0" equalAverage="0" bottom="0" percent="0" rank="0" text="" dxfId="14">
      <formula>AND(J173="completed",K173=0)</formula>
    </cfRule>
  </conditionalFormatting>
  <conditionalFormatting sqref="K174:K1000">
    <cfRule type="expression" priority="174" aboveAverage="0" equalAverage="0" bottom="0" percent="0" rank="0" text="" dxfId="14">
      <formula>AND(J174="completed",K174=0)</formula>
    </cfRule>
  </conditionalFormatting>
  <conditionalFormatting sqref="K175:K1000">
    <cfRule type="expression" priority="175" aboveAverage="0" equalAverage="0" bottom="0" percent="0" rank="0" text="" dxfId="14">
      <formula>AND(J175="completed",K175=0)</formula>
    </cfRule>
  </conditionalFormatting>
  <conditionalFormatting sqref="K176:K1000">
    <cfRule type="expression" priority="176" aboveAverage="0" equalAverage="0" bottom="0" percent="0" rank="0" text="" dxfId="14">
      <formula>AND(J176="completed",K176=0)</formula>
    </cfRule>
  </conditionalFormatting>
  <conditionalFormatting sqref="K177:K1000">
    <cfRule type="expression" priority="177" aboveAverage="0" equalAverage="0" bottom="0" percent="0" rank="0" text="" dxfId="14">
      <formula>AND(J177="completed",K177=0)</formula>
    </cfRule>
  </conditionalFormatting>
  <conditionalFormatting sqref="K178:K1000">
    <cfRule type="expression" priority="178" aboveAverage="0" equalAverage="0" bottom="0" percent="0" rank="0" text="" dxfId="14">
      <formula>AND(J178="completed",K178=0)</formula>
    </cfRule>
  </conditionalFormatting>
  <conditionalFormatting sqref="K179:K1000">
    <cfRule type="expression" priority="179" aboveAverage="0" equalAverage="0" bottom="0" percent="0" rank="0" text="" dxfId="14">
      <formula>AND(J179="completed",K179=0)</formula>
    </cfRule>
  </conditionalFormatting>
  <conditionalFormatting sqref="K180:K1000">
    <cfRule type="expression" priority="180" aboveAverage="0" equalAverage="0" bottom="0" percent="0" rank="0" text="" dxfId="14">
      <formula>AND(J180="completed",K180=0)</formula>
    </cfRule>
  </conditionalFormatting>
  <conditionalFormatting sqref="K181:K1000">
    <cfRule type="expression" priority="181" aboveAverage="0" equalAverage="0" bottom="0" percent="0" rank="0" text="" dxfId="14">
      <formula>AND(J181="completed",K181=0)</formula>
    </cfRule>
  </conditionalFormatting>
  <conditionalFormatting sqref="K182:K1000">
    <cfRule type="expression" priority="182" aboveAverage="0" equalAverage="0" bottom="0" percent="0" rank="0" text="" dxfId="14">
      <formula>AND(J182="completed",K182=0)</formula>
    </cfRule>
  </conditionalFormatting>
  <conditionalFormatting sqref="K183:K1000">
    <cfRule type="expression" priority="183" aboveAverage="0" equalAverage="0" bottom="0" percent="0" rank="0" text="" dxfId="14">
      <formula>AND(J183="completed",K183=0)</formula>
    </cfRule>
  </conditionalFormatting>
  <conditionalFormatting sqref="K184:K1000">
    <cfRule type="expression" priority="184" aboveAverage="0" equalAverage="0" bottom="0" percent="0" rank="0" text="" dxfId="14">
      <formula>AND(J184="completed",K184=0)</formula>
    </cfRule>
  </conditionalFormatting>
  <conditionalFormatting sqref="K185:K1000">
    <cfRule type="expression" priority="185" aboveAverage="0" equalAverage="0" bottom="0" percent="0" rank="0" text="" dxfId="14">
      <formula>AND(J185="completed",K185=0)</formula>
    </cfRule>
  </conditionalFormatting>
  <conditionalFormatting sqref="K186:K1000">
    <cfRule type="expression" priority="186" aboveAverage="0" equalAverage="0" bottom="0" percent="0" rank="0" text="" dxfId="14">
      <formula>AND(J186="completed",K186=0)</formula>
    </cfRule>
  </conditionalFormatting>
  <conditionalFormatting sqref="K187:K1000">
    <cfRule type="expression" priority="187" aboveAverage="0" equalAverage="0" bottom="0" percent="0" rank="0" text="" dxfId="14">
      <formula>AND(J187="completed",K187=0)</formula>
    </cfRule>
  </conditionalFormatting>
  <conditionalFormatting sqref="K188:K1000">
    <cfRule type="expression" priority="188" aboveAverage="0" equalAverage="0" bottom="0" percent="0" rank="0" text="" dxfId="14">
      <formula>AND(J188="completed",K188=0)</formula>
    </cfRule>
  </conditionalFormatting>
  <conditionalFormatting sqref="K189:K1000">
    <cfRule type="expression" priority="189" aboveAverage="0" equalAverage="0" bottom="0" percent="0" rank="0" text="" dxfId="14">
      <formula>AND(J189="completed",K189=0)</formula>
    </cfRule>
  </conditionalFormatting>
  <conditionalFormatting sqref="K190:K1000">
    <cfRule type="expression" priority="190" aboveAverage="0" equalAverage="0" bottom="0" percent="0" rank="0" text="" dxfId="14">
      <formula>AND(J190="completed",K190=0)</formula>
    </cfRule>
  </conditionalFormatting>
  <conditionalFormatting sqref="K191:K1000">
    <cfRule type="expression" priority="191" aboveAverage="0" equalAverage="0" bottom="0" percent="0" rank="0" text="" dxfId="14">
      <formula>AND(J191="completed",K191=0)</formula>
    </cfRule>
  </conditionalFormatting>
  <conditionalFormatting sqref="K192:K1000">
    <cfRule type="expression" priority="192" aboveAverage="0" equalAverage="0" bottom="0" percent="0" rank="0" text="" dxfId="14">
      <formula>AND(J192="completed",K192=0)</formula>
    </cfRule>
  </conditionalFormatting>
  <conditionalFormatting sqref="K193:K1000">
    <cfRule type="expression" priority="193" aboveAverage="0" equalAverage="0" bottom="0" percent="0" rank="0" text="" dxfId="14">
      <formula>AND(J193="completed",K193=0)</formula>
    </cfRule>
  </conditionalFormatting>
  <conditionalFormatting sqref="K194:K1000">
    <cfRule type="expression" priority="194" aboveAverage="0" equalAverage="0" bottom="0" percent="0" rank="0" text="" dxfId="14">
      <formula>AND(J194="completed",K194=0)</formula>
    </cfRule>
  </conditionalFormatting>
  <conditionalFormatting sqref="K195:K1000">
    <cfRule type="expression" priority="195" aboveAverage="0" equalAverage="0" bottom="0" percent="0" rank="0" text="" dxfId="14">
      <formula>AND(J195="completed",K195=0)</formula>
    </cfRule>
  </conditionalFormatting>
  <conditionalFormatting sqref="K196:K1000">
    <cfRule type="expression" priority="196" aboveAverage="0" equalAverage="0" bottom="0" percent="0" rank="0" text="" dxfId="14">
      <formula>AND(J196="completed",K196=0)</formula>
    </cfRule>
  </conditionalFormatting>
  <conditionalFormatting sqref="K197:K1000">
    <cfRule type="expression" priority="197" aboveAverage="0" equalAverage="0" bottom="0" percent="0" rank="0" text="" dxfId="14">
      <formula>AND(J197="completed",K197=0)</formula>
    </cfRule>
  </conditionalFormatting>
  <conditionalFormatting sqref="K198:K1000">
    <cfRule type="expression" priority="198" aboveAverage="0" equalAverage="0" bottom="0" percent="0" rank="0" text="" dxfId="14">
      <formula>AND(J198="completed",K198=0)</formula>
    </cfRule>
  </conditionalFormatting>
  <conditionalFormatting sqref="K199:K1000">
    <cfRule type="expression" priority="199" aboveAverage="0" equalAverage="0" bottom="0" percent="0" rank="0" text="" dxfId="14">
      <formula>AND(J199="completed",K199=0)</formula>
    </cfRule>
  </conditionalFormatting>
  <conditionalFormatting sqref="K200:K1000">
    <cfRule type="expression" priority="200" aboveAverage="0" equalAverage="0" bottom="0" percent="0" rank="0" text="" dxfId="14">
      <formula>AND(J200="completed",K200=0)</formula>
    </cfRule>
  </conditionalFormatting>
  <conditionalFormatting sqref="K201:K1000">
    <cfRule type="expression" priority="201" aboveAverage="0" equalAverage="0" bottom="0" percent="0" rank="0" text="" dxfId="14">
      <formula>AND(J201="completed",K201=0)</formula>
    </cfRule>
  </conditionalFormatting>
  <conditionalFormatting sqref="K202:K1000">
    <cfRule type="expression" priority="202" aboveAverage="0" equalAverage="0" bottom="0" percent="0" rank="0" text="" dxfId="14">
      <formula>AND(J202="completed",K202=0)</formula>
    </cfRule>
  </conditionalFormatting>
  <conditionalFormatting sqref="K203:K1000">
    <cfRule type="expression" priority="203" aboveAverage="0" equalAverage="0" bottom="0" percent="0" rank="0" text="" dxfId="14">
      <formula>AND(J203="completed",K203=0)</formula>
    </cfRule>
  </conditionalFormatting>
  <conditionalFormatting sqref="K204:K1000">
    <cfRule type="expression" priority="204" aboveAverage="0" equalAverage="0" bottom="0" percent="0" rank="0" text="" dxfId="14">
      <formula>AND(J204="completed",K204=0)</formula>
    </cfRule>
  </conditionalFormatting>
  <conditionalFormatting sqref="K205:K1000">
    <cfRule type="expression" priority="205" aboveAverage="0" equalAverage="0" bottom="0" percent="0" rank="0" text="" dxfId="14">
      <formula>AND(J205="completed",K205=0)</formula>
    </cfRule>
  </conditionalFormatting>
  <conditionalFormatting sqref="K206:K1000">
    <cfRule type="expression" priority="206" aboveAverage="0" equalAverage="0" bottom="0" percent="0" rank="0" text="" dxfId="14">
      <formula>AND(J206="completed",K206=0)</formula>
    </cfRule>
  </conditionalFormatting>
  <conditionalFormatting sqref="K207:K1000">
    <cfRule type="expression" priority="207" aboveAverage="0" equalAverage="0" bottom="0" percent="0" rank="0" text="" dxfId="14">
      <formula>AND(J207="completed",K207=0)</formula>
    </cfRule>
  </conditionalFormatting>
  <conditionalFormatting sqref="K208:K1000">
    <cfRule type="expression" priority="208" aboveAverage="0" equalAverage="0" bottom="0" percent="0" rank="0" text="" dxfId="14">
      <formula>AND(J208="completed",K208=0)</formula>
    </cfRule>
  </conditionalFormatting>
  <conditionalFormatting sqref="K209:K1000">
    <cfRule type="expression" priority="209" aboveAverage="0" equalAverage="0" bottom="0" percent="0" rank="0" text="" dxfId="14">
      <formula>AND(J209="completed",K209=0)</formula>
    </cfRule>
  </conditionalFormatting>
  <conditionalFormatting sqref="K210:K1000">
    <cfRule type="expression" priority="210" aboveAverage="0" equalAverage="0" bottom="0" percent="0" rank="0" text="" dxfId="14">
      <formula>AND(J210="completed",K210=0)</formula>
    </cfRule>
  </conditionalFormatting>
  <conditionalFormatting sqref="K211:K1000">
    <cfRule type="expression" priority="211" aboveAverage="0" equalAverage="0" bottom="0" percent="0" rank="0" text="" dxfId="14">
      <formula>AND(J211="completed",K211=0)</formula>
    </cfRule>
  </conditionalFormatting>
  <conditionalFormatting sqref="K212:K1000">
    <cfRule type="expression" priority="212" aboveAverage="0" equalAverage="0" bottom="0" percent="0" rank="0" text="" dxfId="14">
      <formula>AND(J212="completed",K212=0)</formula>
    </cfRule>
  </conditionalFormatting>
  <conditionalFormatting sqref="K213:K1000">
    <cfRule type="expression" priority="213" aboveAverage="0" equalAverage="0" bottom="0" percent="0" rank="0" text="" dxfId="14">
      <formula>AND(J213="completed",K213=0)</formula>
    </cfRule>
  </conditionalFormatting>
  <conditionalFormatting sqref="K214:K1000">
    <cfRule type="expression" priority="214" aboveAverage="0" equalAverage="0" bottom="0" percent="0" rank="0" text="" dxfId="14">
      <formula>AND(J214="completed",K214=0)</formula>
    </cfRule>
  </conditionalFormatting>
  <conditionalFormatting sqref="K215:K1000">
    <cfRule type="expression" priority="215" aboveAverage="0" equalAverage="0" bottom="0" percent="0" rank="0" text="" dxfId="14">
      <formula>AND(J215="completed",K215=0)</formula>
    </cfRule>
  </conditionalFormatting>
  <conditionalFormatting sqref="K216:K1000">
    <cfRule type="expression" priority="216" aboveAverage="0" equalAverage="0" bottom="0" percent="0" rank="0" text="" dxfId="14">
      <formula>AND(J216="completed",K216=0)</formula>
    </cfRule>
  </conditionalFormatting>
  <conditionalFormatting sqref="K217:K1000">
    <cfRule type="expression" priority="217" aboveAverage="0" equalAverage="0" bottom="0" percent="0" rank="0" text="" dxfId="14">
      <formula>AND(J217="completed",K217=0)</formula>
    </cfRule>
  </conditionalFormatting>
  <conditionalFormatting sqref="K218:K1000">
    <cfRule type="expression" priority="218" aboveAverage="0" equalAverage="0" bottom="0" percent="0" rank="0" text="" dxfId="14">
      <formula>AND(J218="completed",K218=0)</formula>
    </cfRule>
  </conditionalFormatting>
  <conditionalFormatting sqref="K219:K1000">
    <cfRule type="expression" priority="219" aboveAverage="0" equalAverage="0" bottom="0" percent="0" rank="0" text="" dxfId="14">
      <formula>AND(J219="completed",K219=0)</formula>
    </cfRule>
  </conditionalFormatting>
  <conditionalFormatting sqref="K220:K1000">
    <cfRule type="expression" priority="220" aboveAverage="0" equalAverage="0" bottom="0" percent="0" rank="0" text="" dxfId="14">
      <formula>AND(J220="completed",K220=0)</formula>
    </cfRule>
  </conditionalFormatting>
  <conditionalFormatting sqref="K221:K1000">
    <cfRule type="expression" priority="221" aboveAverage="0" equalAverage="0" bottom="0" percent="0" rank="0" text="" dxfId="14">
      <formula>AND(J221="completed",K221=0)</formula>
    </cfRule>
  </conditionalFormatting>
  <conditionalFormatting sqref="K222:K1000">
    <cfRule type="expression" priority="222" aboveAverage="0" equalAverage="0" bottom="0" percent="0" rank="0" text="" dxfId="14">
      <formula>AND(J222="completed",K222=0)</formula>
    </cfRule>
  </conditionalFormatting>
  <conditionalFormatting sqref="K223:K1000">
    <cfRule type="expression" priority="223" aboveAverage="0" equalAverage="0" bottom="0" percent="0" rank="0" text="" dxfId="14">
      <formula>AND(J223="completed",K223=0)</formula>
    </cfRule>
  </conditionalFormatting>
  <conditionalFormatting sqref="K224:K1000">
    <cfRule type="expression" priority="224" aboveAverage="0" equalAverage="0" bottom="0" percent="0" rank="0" text="" dxfId="14">
      <formula>AND(J224="completed",K224=0)</formula>
    </cfRule>
  </conditionalFormatting>
  <conditionalFormatting sqref="K225:K1000">
    <cfRule type="expression" priority="225" aboveAverage="0" equalAverage="0" bottom="0" percent="0" rank="0" text="" dxfId="14">
      <formula>AND(J225="completed",K225=0)</formula>
    </cfRule>
  </conditionalFormatting>
  <conditionalFormatting sqref="K226:K1000">
    <cfRule type="expression" priority="226" aboveAverage="0" equalAverage="0" bottom="0" percent="0" rank="0" text="" dxfId="14">
      <formula>AND(J226="completed",K226=0)</formula>
    </cfRule>
  </conditionalFormatting>
  <conditionalFormatting sqref="K227:K1000">
    <cfRule type="expression" priority="227" aboveAverage="0" equalAverage="0" bottom="0" percent="0" rank="0" text="" dxfId="14">
      <formula>AND(J227="completed",K227=0)</formula>
    </cfRule>
  </conditionalFormatting>
  <conditionalFormatting sqref="K228:K1000">
    <cfRule type="expression" priority="228" aboveAverage="0" equalAverage="0" bottom="0" percent="0" rank="0" text="" dxfId="14">
      <formula>AND(J228="completed",K228=0)</formula>
    </cfRule>
  </conditionalFormatting>
  <conditionalFormatting sqref="K229:K1000">
    <cfRule type="expression" priority="229" aboveAverage="0" equalAverage="0" bottom="0" percent="0" rank="0" text="" dxfId="14">
      <formula>AND(J229="completed",K229=0)</formula>
    </cfRule>
  </conditionalFormatting>
  <conditionalFormatting sqref="K230:K1000">
    <cfRule type="expression" priority="230" aboveAverage="0" equalAverage="0" bottom="0" percent="0" rank="0" text="" dxfId="14">
      <formula>AND(J230="completed",K230=0)</formula>
    </cfRule>
  </conditionalFormatting>
  <conditionalFormatting sqref="K231:K1000">
    <cfRule type="expression" priority="231" aboveAverage="0" equalAverage="0" bottom="0" percent="0" rank="0" text="" dxfId="14">
      <formula>AND(J231="completed",K231=0)</formula>
    </cfRule>
  </conditionalFormatting>
  <conditionalFormatting sqref="K232:K1000">
    <cfRule type="expression" priority="232" aboveAverage="0" equalAverage="0" bottom="0" percent="0" rank="0" text="" dxfId="14">
      <formula>AND(J232="completed",K232=0)</formula>
    </cfRule>
  </conditionalFormatting>
  <conditionalFormatting sqref="K233:K1000">
    <cfRule type="expression" priority="233" aboveAverage="0" equalAverage="0" bottom="0" percent="0" rank="0" text="" dxfId="14">
      <formula>AND(J233="completed",K233=0)</formula>
    </cfRule>
  </conditionalFormatting>
  <conditionalFormatting sqref="K234:K1000">
    <cfRule type="expression" priority="234" aboveAverage="0" equalAverage="0" bottom="0" percent="0" rank="0" text="" dxfId="14">
      <formula>AND(J234="completed",K234=0)</formula>
    </cfRule>
  </conditionalFormatting>
  <conditionalFormatting sqref="K235:K1000">
    <cfRule type="expression" priority="235" aboveAverage="0" equalAverage="0" bottom="0" percent="0" rank="0" text="" dxfId="14">
      <formula>AND(J235="completed",K235=0)</formula>
    </cfRule>
  </conditionalFormatting>
  <conditionalFormatting sqref="K236:K1000">
    <cfRule type="expression" priority="236" aboveAverage="0" equalAverage="0" bottom="0" percent="0" rank="0" text="" dxfId="14">
      <formula>AND(J236="completed",K236=0)</formula>
    </cfRule>
  </conditionalFormatting>
  <conditionalFormatting sqref="K237:K1000">
    <cfRule type="expression" priority="237" aboveAverage="0" equalAverage="0" bottom="0" percent="0" rank="0" text="" dxfId="14">
      <formula>AND(J237="completed",K237=0)</formula>
    </cfRule>
  </conditionalFormatting>
  <conditionalFormatting sqref="K238:K1000">
    <cfRule type="expression" priority="238" aboveAverage="0" equalAverage="0" bottom="0" percent="0" rank="0" text="" dxfId="14">
      <formula>AND(J238="completed",K238=0)</formula>
    </cfRule>
  </conditionalFormatting>
  <conditionalFormatting sqref="K239:K1000">
    <cfRule type="expression" priority="239" aboveAverage="0" equalAverage="0" bottom="0" percent="0" rank="0" text="" dxfId="14">
      <formula>AND(J239="completed",K239=0)</formula>
    </cfRule>
  </conditionalFormatting>
  <conditionalFormatting sqref="K240:K1000">
    <cfRule type="expression" priority="240" aboveAverage="0" equalAverage="0" bottom="0" percent="0" rank="0" text="" dxfId="14">
      <formula>AND(J240="completed",K240=0)</formula>
    </cfRule>
  </conditionalFormatting>
  <conditionalFormatting sqref="K241:K1000">
    <cfRule type="expression" priority="241" aboveAverage="0" equalAverage="0" bottom="0" percent="0" rank="0" text="" dxfId="14">
      <formula>AND(J241="completed",K241=0)</formula>
    </cfRule>
  </conditionalFormatting>
  <conditionalFormatting sqref="K242:K1000">
    <cfRule type="expression" priority="242" aboveAverage="0" equalAverage="0" bottom="0" percent="0" rank="0" text="" dxfId="14">
      <formula>AND(J242="completed",K242=0)</formula>
    </cfRule>
  </conditionalFormatting>
  <conditionalFormatting sqref="K243:K1000">
    <cfRule type="expression" priority="243" aboveAverage="0" equalAverage="0" bottom="0" percent="0" rank="0" text="" dxfId="14">
      <formula>AND(J243="completed",K243=0)</formula>
    </cfRule>
  </conditionalFormatting>
  <conditionalFormatting sqref="K244:K1000">
    <cfRule type="expression" priority="244" aboveAverage="0" equalAverage="0" bottom="0" percent="0" rank="0" text="" dxfId="14">
      <formula>AND(J244="completed",K244=0)</formula>
    </cfRule>
  </conditionalFormatting>
  <conditionalFormatting sqref="K245:K1000">
    <cfRule type="expression" priority="245" aboveAverage="0" equalAverage="0" bottom="0" percent="0" rank="0" text="" dxfId="14">
      <formula>AND(J245="completed",K245=0)</formula>
    </cfRule>
  </conditionalFormatting>
  <conditionalFormatting sqref="K246:K1000">
    <cfRule type="expression" priority="246" aboveAverage="0" equalAverage="0" bottom="0" percent="0" rank="0" text="" dxfId="14">
      <formula>AND(J246="completed",K246=0)</formula>
    </cfRule>
  </conditionalFormatting>
  <conditionalFormatting sqref="K247:K1000">
    <cfRule type="expression" priority="247" aboveAverage="0" equalAverage="0" bottom="0" percent="0" rank="0" text="" dxfId="14">
      <formula>AND(J247="completed",K247=0)</formula>
    </cfRule>
  </conditionalFormatting>
  <conditionalFormatting sqref="K248:K1000">
    <cfRule type="expression" priority="248" aboveAverage="0" equalAverage="0" bottom="0" percent="0" rank="0" text="" dxfId="14">
      <formula>AND(J248="completed",K248=0)</formula>
    </cfRule>
  </conditionalFormatting>
  <conditionalFormatting sqref="K249:K1000">
    <cfRule type="expression" priority="249" aboveAverage="0" equalAverage="0" bottom="0" percent="0" rank="0" text="" dxfId="14">
      <formula>AND(J249="completed",K249=0)</formula>
    </cfRule>
  </conditionalFormatting>
  <conditionalFormatting sqref="K250:K1000">
    <cfRule type="expression" priority="250" aboveAverage="0" equalAverage="0" bottom="0" percent="0" rank="0" text="" dxfId="14">
      <formula>AND(J250="completed",K250=0)</formula>
    </cfRule>
  </conditionalFormatting>
  <conditionalFormatting sqref="K251:K1000">
    <cfRule type="expression" priority="251" aboveAverage="0" equalAverage="0" bottom="0" percent="0" rank="0" text="" dxfId="14">
      <formula>AND(J251="completed",K251=0)</formula>
    </cfRule>
  </conditionalFormatting>
  <conditionalFormatting sqref="K252:K1000">
    <cfRule type="expression" priority="252" aboveAverage="0" equalAverage="0" bottom="0" percent="0" rank="0" text="" dxfId="14">
      <formula>AND(J252="completed",K252=0)</formula>
    </cfRule>
  </conditionalFormatting>
  <conditionalFormatting sqref="K253:K1000">
    <cfRule type="expression" priority="253" aboveAverage="0" equalAverage="0" bottom="0" percent="0" rank="0" text="" dxfId="14">
      <formula>AND(J253="completed",K253=0)</formula>
    </cfRule>
  </conditionalFormatting>
  <conditionalFormatting sqref="K254:K1000">
    <cfRule type="expression" priority="254" aboveAverage="0" equalAverage="0" bottom="0" percent="0" rank="0" text="" dxfId="14">
      <formula>AND(J254="completed",K254=0)</formula>
    </cfRule>
  </conditionalFormatting>
  <conditionalFormatting sqref="K255:K1000">
    <cfRule type="expression" priority="255" aboveAverage="0" equalAverage="0" bottom="0" percent="0" rank="0" text="" dxfId="14">
      <formula>AND(J255="completed",K255=0)</formula>
    </cfRule>
  </conditionalFormatting>
  <conditionalFormatting sqref="K256:K1000">
    <cfRule type="expression" priority="256" aboveAverage="0" equalAverage="0" bottom="0" percent="0" rank="0" text="" dxfId="14">
      <formula>AND(J256="completed",K256=0)</formula>
    </cfRule>
  </conditionalFormatting>
  <conditionalFormatting sqref="K257:K1000">
    <cfRule type="expression" priority="257" aboveAverage="0" equalAverage="0" bottom="0" percent="0" rank="0" text="" dxfId="14">
      <formula>AND(J257="completed",K257=0)</formula>
    </cfRule>
  </conditionalFormatting>
  <conditionalFormatting sqref="K258:K1000">
    <cfRule type="expression" priority="258" aboveAverage="0" equalAverage="0" bottom="0" percent="0" rank="0" text="" dxfId="14">
      <formula>AND(J258="completed",K258=0)</formula>
    </cfRule>
  </conditionalFormatting>
  <conditionalFormatting sqref="K259:K1000">
    <cfRule type="expression" priority="259" aboveAverage="0" equalAverage="0" bottom="0" percent="0" rank="0" text="" dxfId="14">
      <formula>AND(J259="completed",K259=0)</formula>
    </cfRule>
  </conditionalFormatting>
  <conditionalFormatting sqref="K260:K1000">
    <cfRule type="expression" priority="260" aboveAverage="0" equalAverage="0" bottom="0" percent="0" rank="0" text="" dxfId="14">
      <formula>AND(J260="completed",K260=0)</formula>
    </cfRule>
  </conditionalFormatting>
  <conditionalFormatting sqref="K261:K1000">
    <cfRule type="expression" priority="261" aboveAverage="0" equalAverage="0" bottom="0" percent="0" rank="0" text="" dxfId="14">
      <formula>AND(J261="completed",K261=0)</formula>
    </cfRule>
  </conditionalFormatting>
  <conditionalFormatting sqref="K262:K1000">
    <cfRule type="expression" priority="262" aboveAverage="0" equalAverage="0" bottom="0" percent="0" rank="0" text="" dxfId="14">
      <formula>AND(J262="completed",K262=0)</formula>
    </cfRule>
  </conditionalFormatting>
  <conditionalFormatting sqref="K263:K1000">
    <cfRule type="expression" priority="263" aboveAverage="0" equalAverage="0" bottom="0" percent="0" rank="0" text="" dxfId="14">
      <formula>AND(J263="completed",K263=0)</formula>
    </cfRule>
  </conditionalFormatting>
  <conditionalFormatting sqref="K264:K1000">
    <cfRule type="expression" priority="264" aboveAverage="0" equalAverage="0" bottom="0" percent="0" rank="0" text="" dxfId="14">
      <formula>AND(J264="completed",K264=0)</formula>
    </cfRule>
  </conditionalFormatting>
  <conditionalFormatting sqref="K265:K1000">
    <cfRule type="expression" priority="265" aboveAverage="0" equalAverage="0" bottom="0" percent="0" rank="0" text="" dxfId="14">
      <formula>AND(J265="completed",K265=0)</formula>
    </cfRule>
  </conditionalFormatting>
  <conditionalFormatting sqref="K266:K1000">
    <cfRule type="expression" priority="266" aboveAverage="0" equalAverage="0" bottom="0" percent="0" rank="0" text="" dxfId="14">
      <formula>AND(J266="completed",K266=0)</formula>
    </cfRule>
  </conditionalFormatting>
  <conditionalFormatting sqref="K267:K1000">
    <cfRule type="expression" priority="267" aboveAverage="0" equalAverage="0" bottom="0" percent="0" rank="0" text="" dxfId="14">
      <formula>AND(J267="completed",K267=0)</formula>
    </cfRule>
  </conditionalFormatting>
  <conditionalFormatting sqref="K268:K1000">
    <cfRule type="expression" priority="268" aboveAverage="0" equalAverage="0" bottom="0" percent="0" rank="0" text="" dxfId="14">
      <formula>AND(J268="completed",K268=0)</formula>
    </cfRule>
  </conditionalFormatting>
  <conditionalFormatting sqref="K269:K1000">
    <cfRule type="expression" priority="269" aboveAverage="0" equalAverage="0" bottom="0" percent="0" rank="0" text="" dxfId="14">
      <formula>AND(J269="completed",K269=0)</formula>
    </cfRule>
  </conditionalFormatting>
  <conditionalFormatting sqref="K270:K1000">
    <cfRule type="expression" priority="270" aboveAverage="0" equalAverage="0" bottom="0" percent="0" rank="0" text="" dxfId="14">
      <formula>AND(J270="completed",K270=0)</formula>
    </cfRule>
  </conditionalFormatting>
  <conditionalFormatting sqref="K271:K1000">
    <cfRule type="expression" priority="271" aboveAverage="0" equalAverage="0" bottom="0" percent="0" rank="0" text="" dxfId="14">
      <formula>AND(J271="completed",K271=0)</formula>
    </cfRule>
  </conditionalFormatting>
  <conditionalFormatting sqref="K272:K1000">
    <cfRule type="expression" priority="272" aboveAverage="0" equalAverage="0" bottom="0" percent="0" rank="0" text="" dxfId="14">
      <formula>AND(J272="completed",K272=0)</formula>
    </cfRule>
  </conditionalFormatting>
  <conditionalFormatting sqref="K273:K1000">
    <cfRule type="expression" priority="273" aboveAverage="0" equalAverage="0" bottom="0" percent="0" rank="0" text="" dxfId="14">
      <formula>AND(J273="completed",K273=0)</formula>
    </cfRule>
  </conditionalFormatting>
  <conditionalFormatting sqref="K274:K1000">
    <cfRule type="expression" priority="274" aboveAverage="0" equalAverage="0" bottom="0" percent="0" rank="0" text="" dxfId="14">
      <formula>AND(J274="completed",K274=0)</formula>
    </cfRule>
  </conditionalFormatting>
  <conditionalFormatting sqref="K275:K1000">
    <cfRule type="expression" priority="275" aboveAverage="0" equalAverage="0" bottom="0" percent="0" rank="0" text="" dxfId="14">
      <formula>AND(J275="completed",K275=0)</formula>
    </cfRule>
  </conditionalFormatting>
  <conditionalFormatting sqref="K276:K1000">
    <cfRule type="expression" priority="276" aboveAverage="0" equalAverage="0" bottom="0" percent="0" rank="0" text="" dxfId="14">
      <formula>AND(J276="completed",K276=0)</formula>
    </cfRule>
  </conditionalFormatting>
  <conditionalFormatting sqref="K277:K1000">
    <cfRule type="expression" priority="277" aboveAverage="0" equalAverage="0" bottom="0" percent="0" rank="0" text="" dxfId="14">
      <formula>AND(J277="completed",K277=0)</formula>
    </cfRule>
  </conditionalFormatting>
  <conditionalFormatting sqref="K278:K1000">
    <cfRule type="expression" priority="278" aboveAverage="0" equalAverage="0" bottom="0" percent="0" rank="0" text="" dxfId="14">
      <formula>AND(J278="completed",K278=0)</formula>
    </cfRule>
  </conditionalFormatting>
  <conditionalFormatting sqref="K279:K1000">
    <cfRule type="expression" priority="279" aboveAverage="0" equalAverage="0" bottom="0" percent="0" rank="0" text="" dxfId="14">
      <formula>AND(J279="completed",K279=0)</formula>
    </cfRule>
  </conditionalFormatting>
  <conditionalFormatting sqref="K280:K1000">
    <cfRule type="expression" priority="280" aboveAverage="0" equalAverage="0" bottom="0" percent="0" rank="0" text="" dxfId="14">
      <formula>AND(J280="completed",K280=0)</formula>
    </cfRule>
  </conditionalFormatting>
  <conditionalFormatting sqref="K281:K1000">
    <cfRule type="expression" priority="281" aboveAverage="0" equalAverage="0" bottom="0" percent="0" rank="0" text="" dxfId="14">
      <formula>AND(J281="completed",K281=0)</formula>
    </cfRule>
  </conditionalFormatting>
  <conditionalFormatting sqref="K282:K1000">
    <cfRule type="expression" priority="282" aboveAverage="0" equalAverage="0" bottom="0" percent="0" rank="0" text="" dxfId="14">
      <formula>AND(J282="completed",K282=0)</formula>
    </cfRule>
  </conditionalFormatting>
  <conditionalFormatting sqref="K283:K1000">
    <cfRule type="expression" priority="283" aboveAverage="0" equalAverage="0" bottom="0" percent="0" rank="0" text="" dxfId="14">
      <formula>AND(J283="completed",K283=0)</formula>
    </cfRule>
  </conditionalFormatting>
  <conditionalFormatting sqref="K284:K1000">
    <cfRule type="expression" priority="284" aboveAverage="0" equalAverage="0" bottom="0" percent="0" rank="0" text="" dxfId="14">
      <formula>AND(J284="completed",K284=0)</formula>
    </cfRule>
  </conditionalFormatting>
  <conditionalFormatting sqref="K285:K1000">
    <cfRule type="expression" priority="285" aboveAverage="0" equalAverage="0" bottom="0" percent="0" rank="0" text="" dxfId="14">
      <formula>AND(J285="completed",K285=0)</formula>
    </cfRule>
  </conditionalFormatting>
  <conditionalFormatting sqref="K286:K1000">
    <cfRule type="expression" priority="286" aboveAverage="0" equalAverage="0" bottom="0" percent="0" rank="0" text="" dxfId="14">
      <formula>AND(J286="completed",K286=0)</formula>
    </cfRule>
  </conditionalFormatting>
  <conditionalFormatting sqref="K287:K1000">
    <cfRule type="expression" priority="287" aboveAverage="0" equalAverage="0" bottom="0" percent="0" rank="0" text="" dxfId="14">
      <formula>AND(J287="completed",K287=0)</formula>
    </cfRule>
  </conditionalFormatting>
  <conditionalFormatting sqref="K288:K1000">
    <cfRule type="expression" priority="288" aboveAverage="0" equalAverage="0" bottom="0" percent="0" rank="0" text="" dxfId="14">
      <formula>AND(J288="completed",K288=0)</formula>
    </cfRule>
  </conditionalFormatting>
  <conditionalFormatting sqref="K289:K1000">
    <cfRule type="expression" priority="289" aboveAverage="0" equalAverage="0" bottom="0" percent="0" rank="0" text="" dxfId="14">
      <formula>AND(J289="completed",K289=0)</formula>
    </cfRule>
  </conditionalFormatting>
  <conditionalFormatting sqref="K290:K1000">
    <cfRule type="expression" priority="290" aboveAverage="0" equalAverage="0" bottom="0" percent="0" rank="0" text="" dxfId="14">
      <formula>AND(J290="completed",K290=0)</formula>
    </cfRule>
  </conditionalFormatting>
  <conditionalFormatting sqref="K291:K1000">
    <cfRule type="expression" priority="291" aboveAverage="0" equalAverage="0" bottom="0" percent="0" rank="0" text="" dxfId="14">
      <formula>AND(J291="completed",K291=0)</formula>
    </cfRule>
  </conditionalFormatting>
  <conditionalFormatting sqref="K292:K1000">
    <cfRule type="expression" priority="292" aboveAverage="0" equalAverage="0" bottom="0" percent="0" rank="0" text="" dxfId="14">
      <formula>AND(J292="completed",K292=0)</formula>
    </cfRule>
  </conditionalFormatting>
  <conditionalFormatting sqref="K293:K1000">
    <cfRule type="expression" priority="293" aboveAverage="0" equalAverage="0" bottom="0" percent="0" rank="0" text="" dxfId="14">
      <formula>AND(J293="completed",K293=0)</formula>
    </cfRule>
  </conditionalFormatting>
  <conditionalFormatting sqref="K294:K1000">
    <cfRule type="expression" priority="294" aboveAverage="0" equalAverage="0" bottom="0" percent="0" rank="0" text="" dxfId="14">
      <formula>AND(J294="completed",K294=0)</formula>
    </cfRule>
  </conditionalFormatting>
  <conditionalFormatting sqref="K295:K1000">
    <cfRule type="expression" priority="295" aboveAverage="0" equalAverage="0" bottom="0" percent="0" rank="0" text="" dxfId="14">
      <formula>AND(J295="completed",K295=0)</formula>
    </cfRule>
  </conditionalFormatting>
  <conditionalFormatting sqref="K296:K1000">
    <cfRule type="expression" priority="296" aboveAverage="0" equalAverage="0" bottom="0" percent="0" rank="0" text="" dxfId="14">
      <formula>AND(J296="completed",K296=0)</formula>
    </cfRule>
  </conditionalFormatting>
  <conditionalFormatting sqref="K297:K1000">
    <cfRule type="expression" priority="297" aboveAverage="0" equalAverage="0" bottom="0" percent="0" rank="0" text="" dxfId="14">
      <formula>AND(J297="completed",K297=0)</formula>
    </cfRule>
  </conditionalFormatting>
  <conditionalFormatting sqref="K298:K1000">
    <cfRule type="expression" priority="298" aboveAverage="0" equalAverage="0" bottom="0" percent="0" rank="0" text="" dxfId="14">
      <formula>AND(J298="completed",K298=0)</formula>
    </cfRule>
  </conditionalFormatting>
  <conditionalFormatting sqref="K299:K1000">
    <cfRule type="expression" priority="299" aboveAverage="0" equalAverage="0" bottom="0" percent="0" rank="0" text="" dxfId="14">
      <formula>AND(J299="completed",K299=0)</formula>
    </cfRule>
  </conditionalFormatting>
  <conditionalFormatting sqref="K300:K1000">
    <cfRule type="expression" priority="300" aboveAverage="0" equalAverage="0" bottom="0" percent="0" rank="0" text="" dxfId="14">
      <formula>AND(J300="completed",K300=0)</formula>
    </cfRule>
  </conditionalFormatting>
  <conditionalFormatting sqref="K301:K1000">
    <cfRule type="expression" priority="301" aboveAverage="0" equalAverage="0" bottom="0" percent="0" rank="0" text="" dxfId="14">
      <formula>AND(J301="completed",K301=0)</formula>
    </cfRule>
  </conditionalFormatting>
  <conditionalFormatting sqref="K302:K1000">
    <cfRule type="expression" priority="302" aboveAverage="0" equalAverage="0" bottom="0" percent="0" rank="0" text="" dxfId="14">
      <formula>AND(J302="completed",K302=0)</formula>
    </cfRule>
  </conditionalFormatting>
  <conditionalFormatting sqref="K303:K1000">
    <cfRule type="expression" priority="303" aboveAverage="0" equalAverage="0" bottom="0" percent="0" rank="0" text="" dxfId="14">
      <formula>AND(J303="completed",K303=0)</formula>
    </cfRule>
  </conditionalFormatting>
  <conditionalFormatting sqref="K304:K1000">
    <cfRule type="expression" priority="304" aboveAverage="0" equalAverage="0" bottom="0" percent="0" rank="0" text="" dxfId="14">
      <formula>AND(J304="completed",K304=0)</formula>
    </cfRule>
  </conditionalFormatting>
  <conditionalFormatting sqref="K305:K1000">
    <cfRule type="expression" priority="305" aboveAverage="0" equalAverage="0" bottom="0" percent="0" rank="0" text="" dxfId="14">
      <formula>AND(J305="completed",K305=0)</formula>
    </cfRule>
  </conditionalFormatting>
  <conditionalFormatting sqref="K306:K1000">
    <cfRule type="expression" priority="306" aboveAverage="0" equalAverage="0" bottom="0" percent="0" rank="0" text="" dxfId="14">
      <formula>AND(J306="completed",K306=0)</formula>
    </cfRule>
  </conditionalFormatting>
  <conditionalFormatting sqref="K307:K1000">
    <cfRule type="expression" priority="307" aboveAverage="0" equalAverage="0" bottom="0" percent="0" rank="0" text="" dxfId="14">
      <formula>AND(J307="completed",K307=0)</formula>
    </cfRule>
  </conditionalFormatting>
  <conditionalFormatting sqref="K308:K1000">
    <cfRule type="expression" priority="308" aboveAverage="0" equalAverage="0" bottom="0" percent="0" rank="0" text="" dxfId="14">
      <formula>AND(J308="completed",K308=0)</formula>
    </cfRule>
  </conditionalFormatting>
  <conditionalFormatting sqref="K309:K1000">
    <cfRule type="expression" priority="309" aboveAverage="0" equalAverage="0" bottom="0" percent="0" rank="0" text="" dxfId="14">
      <formula>AND(J309="completed",K309=0)</formula>
    </cfRule>
  </conditionalFormatting>
  <conditionalFormatting sqref="K310:K1000">
    <cfRule type="expression" priority="310" aboveAverage="0" equalAverage="0" bottom="0" percent="0" rank="0" text="" dxfId="14">
      <formula>AND(J310="completed",K310=0)</formula>
    </cfRule>
  </conditionalFormatting>
  <conditionalFormatting sqref="K311:K1000">
    <cfRule type="expression" priority="311" aboveAverage="0" equalAverage="0" bottom="0" percent="0" rank="0" text="" dxfId="14">
      <formula>AND(J311="completed",K311=0)</formula>
    </cfRule>
  </conditionalFormatting>
  <conditionalFormatting sqref="K312:K1000">
    <cfRule type="expression" priority="312" aboveAverage="0" equalAverage="0" bottom="0" percent="0" rank="0" text="" dxfId="14">
      <formula>AND(J312="completed",K312=0)</formula>
    </cfRule>
  </conditionalFormatting>
  <conditionalFormatting sqref="K313:K1000">
    <cfRule type="expression" priority="313" aboveAverage="0" equalAverage="0" bottom="0" percent="0" rank="0" text="" dxfId="14">
      <formula>AND(J313="completed",K313=0)</formula>
    </cfRule>
  </conditionalFormatting>
  <conditionalFormatting sqref="K314:K1000">
    <cfRule type="expression" priority="314" aboveAverage="0" equalAverage="0" bottom="0" percent="0" rank="0" text="" dxfId="14">
      <formula>AND(J314="completed",K314=0)</formula>
    </cfRule>
  </conditionalFormatting>
  <conditionalFormatting sqref="K315:K1000">
    <cfRule type="expression" priority="315" aboveAverage="0" equalAverage="0" bottom="0" percent="0" rank="0" text="" dxfId="14">
      <formula>AND(J315="completed",K315=0)</formula>
    </cfRule>
  </conditionalFormatting>
  <conditionalFormatting sqref="K316:K1000">
    <cfRule type="expression" priority="316" aboveAverage="0" equalAverage="0" bottom="0" percent="0" rank="0" text="" dxfId="14">
      <formula>AND(J316="completed",K316=0)</formula>
    </cfRule>
  </conditionalFormatting>
  <conditionalFormatting sqref="K317:K1000">
    <cfRule type="expression" priority="317" aboveAverage="0" equalAverage="0" bottom="0" percent="0" rank="0" text="" dxfId="14">
      <formula>AND(J317="completed",K317=0)</formula>
    </cfRule>
  </conditionalFormatting>
  <conditionalFormatting sqref="K318:K1000">
    <cfRule type="expression" priority="318" aboveAverage="0" equalAverage="0" bottom="0" percent="0" rank="0" text="" dxfId="14">
      <formula>AND(J318="completed",K318=0)</formula>
    </cfRule>
  </conditionalFormatting>
  <conditionalFormatting sqref="K319:K1000">
    <cfRule type="expression" priority="319" aboveAverage="0" equalAverage="0" bottom="0" percent="0" rank="0" text="" dxfId="14">
      <formula>AND(J319="completed",K319=0)</formula>
    </cfRule>
  </conditionalFormatting>
  <conditionalFormatting sqref="K320:K1000">
    <cfRule type="expression" priority="320" aboveAverage="0" equalAverage="0" bottom="0" percent="0" rank="0" text="" dxfId="14">
      <formula>AND(J320="completed",K320=0)</formula>
    </cfRule>
  </conditionalFormatting>
  <conditionalFormatting sqref="K321:K1000">
    <cfRule type="expression" priority="321" aboveAverage="0" equalAverage="0" bottom="0" percent="0" rank="0" text="" dxfId="14">
      <formula>AND(J321="completed",K321=0)</formula>
    </cfRule>
  </conditionalFormatting>
  <conditionalFormatting sqref="K322:K1000">
    <cfRule type="expression" priority="322" aboveAverage="0" equalAverage="0" bottom="0" percent="0" rank="0" text="" dxfId="14">
      <formula>AND(J322="completed",K322=0)</formula>
    </cfRule>
  </conditionalFormatting>
  <conditionalFormatting sqref="K323:K1000">
    <cfRule type="expression" priority="323" aboveAverage="0" equalAverage="0" bottom="0" percent="0" rank="0" text="" dxfId="14">
      <formula>AND(J323="completed",K323=0)</formula>
    </cfRule>
  </conditionalFormatting>
  <conditionalFormatting sqref="K324:K1000">
    <cfRule type="expression" priority="324" aboveAverage="0" equalAverage="0" bottom="0" percent="0" rank="0" text="" dxfId="14">
      <formula>AND(J324="completed",K324=0)</formula>
    </cfRule>
  </conditionalFormatting>
  <conditionalFormatting sqref="K325:K1000">
    <cfRule type="expression" priority="325" aboveAverage="0" equalAverage="0" bottom="0" percent="0" rank="0" text="" dxfId="14">
      <formula>AND(J325="completed",K325=0)</formula>
    </cfRule>
  </conditionalFormatting>
  <conditionalFormatting sqref="K326:K1000">
    <cfRule type="expression" priority="326" aboveAverage="0" equalAverage="0" bottom="0" percent="0" rank="0" text="" dxfId="14">
      <formula>AND(J326="completed",K326=0)</formula>
    </cfRule>
  </conditionalFormatting>
  <conditionalFormatting sqref="K327:K1000">
    <cfRule type="expression" priority="327" aboveAverage="0" equalAverage="0" bottom="0" percent="0" rank="0" text="" dxfId="14">
      <formula>AND(J327="completed",K327=0)</formula>
    </cfRule>
  </conditionalFormatting>
  <conditionalFormatting sqref="K328:K1000">
    <cfRule type="expression" priority="328" aboveAverage="0" equalAverage="0" bottom="0" percent="0" rank="0" text="" dxfId="14">
      <formula>AND(J328="completed",K328=0)</formula>
    </cfRule>
  </conditionalFormatting>
  <conditionalFormatting sqref="K329:K1000">
    <cfRule type="expression" priority="329" aboveAverage="0" equalAverage="0" bottom="0" percent="0" rank="0" text="" dxfId="14">
      <formula>AND(J329="completed",K329=0)</formula>
    </cfRule>
  </conditionalFormatting>
  <conditionalFormatting sqref="K330:K1000">
    <cfRule type="expression" priority="330" aboveAverage="0" equalAverage="0" bottom="0" percent="0" rank="0" text="" dxfId="14">
      <formula>AND(J330="completed",K330=0)</formula>
    </cfRule>
  </conditionalFormatting>
  <conditionalFormatting sqref="K331:K1000">
    <cfRule type="expression" priority="331" aboveAverage="0" equalAverage="0" bottom="0" percent="0" rank="0" text="" dxfId="14">
      <formula>AND(J331="completed",K331=0)</formula>
    </cfRule>
  </conditionalFormatting>
  <conditionalFormatting sqref="K332:K1000">
    <cfRule type="expression" priority="332" aboveAverage="0" equalAverage="0" bottom="0" percent="0" rank="0" text="" dxfId="14">
      <formula>AND(J332="completed",K332=0)</formula>
    </cfRule>
  </conditionalFormatting>
  <conditionalFormatting sqref="K333:K1000">
    <cfRule type="expression" priority="333" aboveAverage="0" equalAverage="0" bottom="0" percent="0" rank="0" text="" dxfId="14">
      <formula>AND(J333="completed",K333=0)</formula>
    </cfRule>
  </conditionalFormatting>
  <conditionalFormatting sqref="K334:K1000">
    <cfRule type="expression" priority="334" aboveAverage="0" equalAverage="0" bottom="0" percent="0" rank="0" text="" dxfId="14">
      <formula>AND(J334="completed",K334=0)</formula>
    </cfRule>
  </conditionalFormatting>
  <conditionalFormatting sqref="K335:K1000">
    <cfRule type="expression" priority="335" aboveAverage="0" equalAverage="0" bottom="0" percent="0" rank="0" text="" dxfId="14">
      <formula>AND(J335="completed",K335=0)</formula>
    </cfRule>
  </conditionalFormatting>
  <conditionalFormatting sqref="K336:K1000">
    <cfRule type="expression" priority="336" aboveAverage="0" equalAverage="0" bottom="0" percent="0" rank="0" text="" dxfId="14">
      <formula>AND(J336="completed",K336=0)</formula>
    </cfRule>
  </conditionalFormatting>
  <conditionalFormatting sqref="K337:K1000">
    <cfRule type="expression" priority="337" aboveAverage="0" equalAverage="0" bottom="0" percent="0" rank="0" text="" dxfId="14">
      <formula>AND(J337="completed",K337=0)</formula>
    </cfRule>
  </conditionalFormatting>
  <conditionalFormatting sqref="K338:K1000">
    <cfRule type="expression" priority="338" aboveAverage="0" equalAverage="0" bottom="0" percent="0" rank="0" text="" dxfId="14">
      <formula>AND(J338="completed",K338=0)</formula>
    </cfRule>
  </conditionalFormatting>
  <conditionalFormatting sqref="K339:K1000">
    <cfRule type="expression" priority="339" aboveAverage="0" equalAverage="0" bottom="0" percent="0" rank="0" text="" dxfId="14">
      <formula>AND(J339="completed",K339=0)</formula>
    </cfRule>
  </conditionalFormatting>
  <conditionalFormatting sqref="K340:K1000">
    <cfRule type="expression" priority="340" aboveAverage="0" equalAverage="0" bottom="0" percent="0" rank="0" text="" dxfId="14">
      <formula>AND(J340="completed",K340=0)</formula>
    </cfRule>
  </conditionalFormatting>
  <conditionalFormatting sqref="K341:K1000">
    <cfRule type="expression" priority="341" aboveAverage="0" equalAverage="0" bottom="0" percent="0" rank="0" text="" dxfId="14">
      <formula>AND(J341="completed",K341=0)</formula>
    </cfRule>
  </conditionalFormatting>
  <conditionalFormatting sqref="K342:K1000">
    <cfRule type="expression" priority="342" aboveAverage="0" equalAverage="0" bottom="0" percent="0" rank="0" text="" dxfId="14">
      <formula>AND(J342="completed",K342=0)</formula>
    </cfRule>
  </conditionalFormatting>
  <conditionalFormatting sqref="K343:K1000">
    <cfRule type="expression" priority="343" aboveAverage="0" equalAverage="0" bottom="0" percent="0" rank="0" text="" dxfId="14">
      <formula>AND(J343="completed",K343=0)</formula>
    </cfRule>
  </conditionalFormatting>
  <conditionalFormatting sqref="K344:K1000">
    <cfRule type="expression" priority="344" aboveAverage="0" equalAverage="0" bottom="0" percent="0" rank="0" text="" dxfId="14">
      <formula>AND(J344="completed",K344=0)</formula>
    </cfRule>
  </conditionalFormatting>
  <conditionalFormatting sqref="K345:K1000">
    <cfRule type="expression" priority="345" aboveAverage="0" equalAverage="0" bottom="0" percent="0" rank="0" text="" dxfId="14">
      <formula>AND(J345="completed",K345=0)</formula>
    </cfRule>
  </conditionalFormatting>
  <conditionalFormatting sqref="K346:K1000">
    <cfRule type="expression" priority="346" aboveAverage="0" equalAverage="0" bottom="0" percent="0" rank="0" text="" dxfId="14">
      <formula>AND(J346="completed",K346=0)</formula>
    </cfRule>
  </conditionalFormatting>
  <conditionalFormatting sqref="K347:K1000">
    <cfRule type="expression" priority="347" aboveAverage="0" equalAverage="0" bottom="0" percent="0" rank="0" text="" dxfId="14">
      <formula>AND(J347="completed",K347=0)</formula>
    </cfRule>
  </conditionalFormatting>
  <conditionalFormatting sqref="K348:K1000">
    <cfRule type="expression" priority="348" aboveAverage="0" equalAverage="0" bottom="0" percent="0" rank="0" text="" dxfId="14">
      <formula>AND(J348="completed",K348=0)</formula>
    </cfRule>
  </conditionalFormatting>
  <conditionalFormatting sqref="K349:K1000">
    <cfRule type="expression" priority="349" aboveAverage="0" equalAverage="0" bottom="0" percent="0" rank="0" text="" dxfId="14">
      <formula>AND(J349="completed",K349=0)</formula>
    </cfRule>
  </conditionalFormatting>
  <conditionalFormatting sqref="K350:K1000">
    <cfRule type="expression" priority="350" aboveAverage="0" equalAverage="0" bottom="0" percent="0" rank="0" text="" dxfId="14">
      <formula>AND(J350="completed",K350=0)</formula>
    </cfRule>
  </conditionalFormatting>
  <conditionalFormatting sqref="K351:K1000">
    <cfRule type="expression" priority="351" aboveAverage="0" equalAverage="0" bottom="0" percent="0" rank="0" text="" dxfId="14">
      <formula>AND(J351="completed",K351=0)</formula>
    </cfRule>
  </conditionalFormatting>
  <conditionalFormatting sqref="K352:K1000">
    <cfRule type="expression" priority="352" aboveAverage="0" equalAverage="0" bottom="0" percent="0" rank="0" text="" dxfId="14">
      <formula>AND(J352="completed",K352=0)</formula>
    </cfRule>
  </conditionalFormatting>
  <conditionalFormatting sqref="K353:K1000">
    <cfRule type="expression" priority="353" aboveAverage="0" equalAverage="0" bottom="0" percent="0" rank="0" text="" dxfId="14">
      <formula>AND(J353="completed",K353=0)</formula>
    </cfRule>
  </conditionalFormatting>
  <conditionalFormatting sqref="K354:K1000">
    <cfRule type="expression" priority="354" aboveAverage="0" equalAverage="0" bottom="0" percent="0" rank="0" text="" dxfId="14">
      <formula>AND(J354="completed",K354=0)</formula>
    </cfRule>
  </conditionalFormatting>
  <conditionalFormatting sqref="K355:K1000">
    <cfRule type="expression" priority="355" aboveAverage="0" equalAverage="0" bottom="0" percent="0" rank="0" text="" dxfId="14">
      <formula>AND(J355="completed",K355=0)</formula>
    </cfRule>
  </conditionalFormatting>
  <conditionalFormatting sqref="K356:K1000">
    <cfRule type="expression" priority="356" aboveAverage="0" equalAverage="0" bottom="0" percent="0" rank="0" text="" dxfId="14">
      <formula>AND(J356="completed",K356=0)</formula>
    </cfRule>
  </conditionalFormatting>
  <conditionalFormatting sqref="K357:K1000">
    <cfRule type="expression" priority="357" aboveAverage="0" equalAverage="0" bottom="0" percent="0" rank="0" text="" dxfId="14">
      <formula>AND(J357="completed",K357=0)</formula>
    </cfRule>
  </conditionalFormatting>
  <conditionalFormatting sqref="K358:K1000">
    <cfRule type="expression" priority="358" aboveAverage="0" equalAverage="0" bottom="0" percent="0" rank="0" text="" dxfId="14">
      <formula>AND(J358="completed",K358=0)</formula>
    </cfRule>
  </conditionalFormatting>
  <conditionalFormatting sqref="K359:K1000">
    <cfRule type="expression" priority="359" aboveAverage="0" equalAverage="0" bottom="0" percent="0" rank="0" text="" dxfId="14">
      <formula>AND(J359="completed",K359=0)</formula>
    </cfRule>
  </conditionalFormatting>
  <conditionalFormatting sqref="K360:K1000">
    <cfRule type="expression" priority="360" aboveAverage="0" equalAverage="0" bottom="0" percent="0" rank="0" text="" dxfId="14">
      <formula>AND(J360="completed",K360=0)</formula>
    </cfRule>
  </conditionalFormatting>
  <conditionalFormatting sqref="K361:K1000">
    <cfRule type="expression" priority="361" aboveAverage="0" equalAverage="0" bottom="0" percent="0" rank="0" text="" dxfId="14">
      <formula>AND(J361="completed",K361=0)</formula>
    </cfRule>
  </conditionalFormatting>
  <conditionalFormatting sqref="K362:K1000">
    <cfRule type="expression" priority="362" aboveAverage="0" equalAverage="0" bottom="0" percent="0" rank="0" text="" dxfId="14">
      <formula>AND(J362="completed",K362=0)</formula>
    </cfRule>
  </conditionalFormatting>
  <conditionalFormatting sqref="K363:K1000">
    <cfRule type="expression" priority="363" aboveAverage="0" equalAverage="0" bottom="0" percent="0" rank="0" text="" dxfId="14">
      <formula>AND(J363="completed",K363=0)</formula>
    </cfRule>
  </conditionalFormatting>
  <conditionalFormatting sqref="K364:K1000">
    <cfRule type="expression" priority="364" aboveAverage="0" equalAverage="0" bottom="0" percent="0" rank="0" text="" dxfId="14">
      <formula>AND(J364="completed",K364=0)</formula>
    </cfRule>
  </conditionalFormatting>
  <conditionalFormatting sqref="K365:K1000">
    <cfRule type="expression" priority="365" aboveAverage="0" equalAverage="0" bottom="0" percent="0" rank="0" text="" dxfId="14">
      <formula>AND(J365="completed",K365=0)</formula>
    </cfRule>
  </conditionalFormatting>
  <conditionalFormatting sqref="K366:K1000">
    <cfRule type="expression" priority="366" aboveAverage="0" equalAverage="0" bottom="0" percent="0" rank="0" text="" dxfId="14">
      <formula>AND(J366="completed",K366=0)</formula>
    </cfRule>
  </conditionalFormatting>
  <conditionalFormatting sqref="K367:K1000">
    <cfRule type="expression" priority="367" aboveAverage="0" equalAverage="0" bottom="0" percent="0" rank="0" text="" dxfId="14">
      <formula>AND(J367="completed",K367=0)</formula>
    </cfRule>
  </conditionalFormatting>
  <conditionalFormatting sqref="K368:K1000">
    <cfRule type="expression" priority="368" aboveAverage="0" equalAverage="0" bottom="0" percent="0" rank="0" text="" dxfId="14">
      <formula>AND(J368="completed",K368=0)</formula>
    </cfRule>
  </conditionalFormatting>
  <conditionalFormatting sqref="K369:K1000">
    <cfRule type="expression" priority="369" aboveAverage="0" equalAverage="0" bottom="0" percent="0" rank="0" text="" dxfId="14">
      <formula>AND(J369="completed",K369=0)</formula>
    </cfRule>
  </conditionalFormatting>
  <conditionalFormatting sqref="K370:K1000">
    <cfRule type="expression" priority="370" aboveAverage="0" equalAverage="0" bottom="0" percent="0" rank="0" text="" dxfId="14">
      <formula>AND(J370="completed",K370=0)</formula>
    </cfRule>
  </conditionalFormatting>
  <conditionalFormatting sqref="K371:K1000">
    <cfRule type="expression" priority="371" aboveAverage="0" equalAverage="0" bottom="0" percent="0" rank="0" text="" dxfId="14">
      <formula>AND(J371="completed",K371=0)</formula>
    </cfRule>
  </conditionalFormatting>
  <conditionalFormatting sqref="K372:K1000">
    <cfRule type="expression" priority="372" aboveAverage="0" equalAverage="0" bottom="0" percent="0" rank="0" text="" dxfId="14">
      <formula>AND(J372="completed",K372=0)</formula>
    </cfRule>
  </conditionalFormatting>
  <conditionalFormatting sqref="K373:K1000">
    <cfRule type="expression" priority="373" aboveAverage="0" equalAverage="0" bottom="0" percent="0" rank="0" text="" dxfId="14">
      <formula>AND(J373="completed",K373=0)</formula>
    </cfRule>
  </conditionalFormatting>
  <conditionalFormatting sqref="K374:K1000">
    <cfRule type="expression" priority="374" aboveAverage="0" equalAverage="0" bottom="0" percent="0" rank="0" text="" dxfId="14">
      <formula>AND(J374="completed",K374=0)</formula>
    </cfRule>
  </conditionalFormatting>
  <conditionalFormatting sqref="K375:K1000">
    <cfRule type="expression" priority="375" aboveAverage="0" equalAverage="0" bottom="0" percent="0" rank="0" text="" dxfId="14">
      <formula>AND(J375="completed",K375=0)</formula>
    </cfRule>
  </conditionalFormatting>
  <conditionalFormatting sqref="K376:K1000">
    <cfRule type="expression" priority="376" aboveAverage="0" equalAverage="0" bottom="0" percent="0" rank="0" text="" dxfId="14">
      <formula>AND(J376="completed",K376=0)</formula>
    </cfRule>
  </conditionalFormatting>
  <conditionalFormatting sqref="K377:K1000">
    <cfRule type="expression" priority="377" aboveAverage="0" equalAverage="0" bottom="0" percent="0" rank="0" text="" dxfId="14">
      <formula>AND(J377="completed",K377=0)</formula>
    </cfRule>
  </conditionalFormatting>
  <conditionalFormatting sqref="K378:K1000">
    <cfRule type="expression" priority="378" aboveAverage="0" equalAverage="0" bottom="0" percent="0" rank="0" text="" dxfId="14">
      <formula>AND(J378="completed",K378=0)</formula>
    </cfRule>
  </conditionalFormatting>
  <conditionalFormatting sqref="K379:K1000">
    <cfRule type="expression" priority="379" aboveAverage="0" equalAverage="0" bottom="0" percent="0" rank="0" text="" dxfId="14">
      <formula>AND(J379="completed",K379=0)</formula>
    </cfRule>
  </conditionalFormatting>
  <conditionalFormatting sqref="K380:K1000">
    <cfRule type="expression" priority="380" aboveAverage="0" equalAverage="0" bottom="0" percent="0" rank="0" text="" dxfId="14">
      <formula>AND(J380="completed",K380=0)</formula>
    </cfRule>
  </conditionalFormatting>
  <conditionalFormatting sqref="K381:K1000">
    <cfRule type="expression" priority="381" aboveAverage="0" equalAverage="0" bottom="0" percent="0" rank="0" text="" dxfId="14">
      <formula>AND(J381="completed",K381=0)</formula>
    </cfRule>
  </conditionalFormatting>
  <conditionalFormatting sqref="K382:K1000">
    <cfRule type="expression" priority="382" aboveAverage="0" equalAverage="0" bottom="0" percent="0" rank="0" text="" dxfId="14">
      <formula>AND(J382="completed",K382=0)</formula>
    </cfRule>
  </conditionalFormatting>
  <conditionalFormatting sqref="K383:K1000">
    <cfRule type="expression" priority="383" aboveAverage="0" equalAverage="0" bottom="0" percent="0" rank="0" text="" dxfId="14">
      <formula>AND(J383="completed",K383=0)</formula>
    </cfRule>
  </conditionalFormatting>
  <conditionalFormatting sqref="K384:K1000">
    <cfRule type="expression" priority="384" aboveAverage="0" equalAverage="0" bottom="0" percent="0" rank="0" text="" dxfId="14">
      <formula>AND(J384="completed",K384=0)</formula>
    </cfRule>
  </conditionalFormatting>
  <conditionalFormatting sqref="K385:K1000">
    <cfRule type="expression" priority="385" aboveAverage="0" equalAverage="0" bottom="0" percent="0" rank="0" text="" dxfId="14">
      <formula>AND(J385="completed",K385=0)</formula>
    </cfRule>
  </conditionalFormatting>
  <conditionalFormatting sqref="K386:K1000">
    <cfRule type="expression" priority="386" aboveAverage="0" equalAverage="0" bottom="0" percent="0" rank="0" text="" dxfId="14">
      <formula>AND(J386="completed",K386=0)</formula>
    </cfRule>
  </conditionalFormatting>
  <conditionalFormatting sqref="K387:K1000">
    <cfRule type="expression" priority="387" aboveAverage="0" equalAverage="0" bottom="0" percent="0" rank="0" text="" dxfId="14">
      <formula>AND(J387="completed",K387=0)</formula>
    </cfRule>
  </conditionalFormatting>
  <conditionalFormatting sqref="K388:K1000">
    <cfRule type="expression" priority="388" aboveAverage="0" equalAverage="0" bottom="0" percent="0" rank="0" text="" dxfId="14">
      <formula>AND(J388="completed",K388=0)</formula>
    </cfRule>
  </conditionalFormatting>
  <conditionalFormatting sqref="K389:K1000">
    <cfRule type="expression" priority="389" aboveAverage="0" equalAverage="0" bottom="0" percent="0" rank="0" text="" dxfId="14">
      <formula>AND(J389="completed",K389=0)</formula>
    </cfRule>
  </conditionalFormatting>
  <conditionalFormatting sqref="K390:K1000">
    <cfRule type="expression" priority="390" aboveAverage="0" equalAverage="0" bottom="0" percent="0" rank="0" text="" dxfId="14">
      <formula>AND(J390="completed",K390=0)</formula>
    </cfRule>
  </conditionalFormatting>
  <conditionalFormatting sqref="K391:K1000">
    <cfRule type="expression" priority="391" aboveAverage="0" equalAverage="0" bottom="0" percent="0" rank="0" text="" dxfId="14">
      <formula>AND(J391="completed",K391=0)</formula>
    </cfRule>
  </conditionalFormatting>
  <conditionalFormatting sqref="K392:K1000">
    <cfRule type="expression" priority="392" aboveAverage="0" equalAverage="0" bottom="0" percent="0" rank="0" text="" dxfId="14">
      <formula>AND(J392="completed",K392=0)</formula>
    </cfRule>
  </conditionalFormatting>
  <conditionalFormatting sqref="K393:K1000">
    <cfRule type="expression" priority="393" aboveAverage="0" equalAverage="0" bottom="0" percent="0" rank="0" text="" dxfId="14">
      <formula>AND(J393="completed",K393=0)</formula>
    </cfRule>
  </conditionalFormatting>
  <conditionalFormatting sqref="K394:K1000">
    <cfRule type="expression" priority="394" aboveAverage="0" equalAverage="0" bottom="0" percent="0" rank="0" text="" dxfId="14">
      <formula>AND(J394="completed",K394=0)</formula>
    </cfRule>
  </conditionalFormatting>
  <conditionalFormatting sqref="K395:K1000">
    <cfRule type="expression" priority="395" aboveAverage="0" equalAverage="0" bottom="0" percent="0" rank="0" text="" dxfId="14">
      <formula>AND(J395="completed",K395=0)</formula>
    </cfRule>
  </conditionalFormatting>
  <conditionalFormatting sqref="K396:K1000">
    <cfRule type="expression" priority="396" aboveAverage="0" equalAverage="0" bottom="0" percent="0" rank="0" text="" dxfId="14">
      <formula>AND(J396="completed",K396=0)</formula>
    </cfRule>
  </conditionalFormatting>
  <conditionalFormatting sqref="K397:K1000">
    <cfRule type="expression" priority="397" aboveAverage="0" equalAverage="0" bottom="0" percent="0" rank="0" text="" dxfId="14">
      <formula>AND(J397="completed",K397=0)</formula>
    </cfRule>
  </conditionalFormatting>
  <conditionalFormatting sqref="K398:K1000">
    <cfRule type="expression" priority="398" aboveAverage="0" equalAverage="0" bottom="0" percent="0" rank="0" text="" dxfId="14">
      <formula>AND(J398="completed",K398=0)</formula>
    </cfRule>
  </conditionalFormatting>
  <conditionalFormatting sqref="K399:K1000">
    <cfRule type="expression" priority="399" aboveAverage="0" equalAverage="0" bottom="0" percent="0" rank="0" text="" dxfId="14">
      <formula>AND(J399="completed",K399=0)</formula>
    </cfRule>
  </conditionalFormatting>
  <conditionalFormatting sqref="K400:K1000">
    <cfRule type="expression" priority="400" aboveAverage="0" equalAverage="0" bottom="0" percent="0" rank="0" text="" dxfId="14">
      <formula>AND(J400="completed",K400=0)</formula>
    </cfRule>
  </conditionalFormatting>
  <conditionalFormatting sqref="K401:K1000">
    <cfRule type="expression" priority="401" aboveAverage="0" equalAverage="0" bottom="0" percent="0" rank="0" text="" dxfId="14">
      <formula>AND(J401="completed",K401=0)</formula>
    </cfRule>
  </conditionalFormatting>
  <conditionalFormatting sqref="K402:K1000">
    <cfRule type="expression" priority="402" aboveAverage="0" equalAverage="0" bottom="0" percent="0" rank="0" text="" dxfId="14">
      <formula>AND(J402="completed",K402=0)</formula>
    </cfRule>
  </conditionalFormatting>
  <conditionalFormatting sqref="K403:K1000">
    <cfRule type="expression" priority="403" aboveAverage="0" equalAverage="0" bottom="0" percent="0" rank="0" text="" dxfId="14">
      <formula>AND(J403="completed",K403=0)</formula>
    </cfRule>
  </conditionalFormatting>
  <conditionalFormatting sqref="K404:K1000">
    <cfRule type="expression" priority="404" aboveAverage="0" equalAverage="0" bottom="0" percent="0" rank="0" text="" dxfId="14">
      <formula>AND(J404="completed",K404=0)</formula>
    </cfRule>
  </conditionalFormatting>
  <conditionalFormatting sqref="K405:K1000">
    <cfRule type="expression" priority="405" aboveAverage="0" equalAverage="0" bottom="0" percent="0" rank="0" text="" dxfId="14">
      <formula>AND(J405="completed",K405=0)</formula>
    </cfRule>
  </conditionalFormatting>
  <conditionalFormatting sqref="K406:K1000">
    <cfRule type="expression" priority="406" aboveAverage="0" equalAverage="0" bottom="0" percent="0" rank="0" text="" dxfId="14">
      <formula>AND(J406="completed",K406=0)</formula>
    </cfRule>
  </conditionalFormatting>
  <conditionalFormatting sqref="K407:K1000">
    <cfRule type="expression" priority="407" aboveAverage="0" equalAverage="0" bottom="0" percent="0" rank="0" text="" dxfId="14">
      <formula>AND(J407="completed",K407=0)</formula>
    </cfRule>
  </conditionalFormatting>
  <conditionalFormatting sqref="K408:K1000">
    <cfRule type="expression" priority="408" aboveAverage="0" equalAverage="0" bottom="0" percent="0" rank="0" text="" dxfId="14">
      <formula>AND(J408="completed",K408=0)</formula>
    </cfRule>
  </conditionalFormatting>
  <conditionalFormatting sqref="K409:K1000">
    <cfRule type="expression" priority="409" aboveAverage="0" equalAverage="0" bottom="0" percent="0" rank="0" text="" dxfId="14">
      <formula>AND(J409="completed",K409=0)</formula>
    </cfRule>
  </conditionalFormatting>
  <conditionalFormatting sqref="K410:K1000">
    <cfRule type="expression" priority="410" aboveAverage="0" equalAverage="0" bottom="0" percent="0" rank="0" text="" dxfId="14">
      <formula>AND(J410="completed",K410=0)</formula>
    </cfRule>
  </conditionalFormatting>
  <conditionalFormatting sqref="K411:K1000">
    <cfRule type="expression" priority="411" aboveAverage="0" equalAverage="0" bottom="0" percent="0" rank="0" text="" dxfId="14">
      <formula>AND(J411="completed",K411=0)</formula>
    </cfRule>
  </conditionalFormatting>
  <conditionalFormatting sqref="K412:K1000">
    <cfRule type="expression" priority="412" aboveAverage="0" equalAverage="0" bottom="0" percent="0" rank="0" text="" dxfId="14">
      <formula>AND(J412="completed",K412=0)</formula>
    </cfRule>
  </conditionalFormatting>
  <conditionalFormatting sqref="K413:K1000">
    <cfRule type="expression" priority="413" aboveAverage="0" equalAverage="0" bottom="0" percent="0" rank="0" text="" dxfId="14">
      <formula>AND(J413="completed",K413=0)</formula>
    </cfRule>
  </conditionalFormatting>
  <conditionalFormatting sqref="K414:K1000">
    <cfRule type="expression" priority="414" aboveAverage="0" equalAverage="0" bottom="0" percent="0" rank="0" text="" dxfId="14">
      <formula>AND(J414="completed",K414=0)</formula>
    </cfRule>
  </conditionalFormatting>
  <conditionalFormatting sqref="K415:K1000">
    <cfRule type="expression" priority="415" aboveAverage="0" equalAverage="0" bottom="0" percent="0" rank="0" text="" dxfId="14">
      <formula>AND(J415="completed",K415=0)</formula>
    </cfRule>
  </conditionalFormatting>
  <conditionalFormatting sqref="K416:K1000">
    <cfRule type="expression" priority="416" aboveAverage="0" equalAverage="0" bottom="0" percent="0" rank="0" text="" dxfId="14">
      <formula>AND(J416="completed",K416=0)</formula>
    </cfRule>
  </conditionalFormatting>
  <conditionalFormatting sqref="K417:K1000">
    <cfRule type="expression" priority="417" aboveAverage="0" equalAverage="0" bottom="0" percent="0" rank="0" text="" dxfId="14">
      <formula>AND(J417="completed",K417=0)</formula>
    </cfRule>
  </conditionalFormatting>
  <conditionalFormatting sqref="K418:K1000">
    <cfRule type="expression" priority="418" aboveAverage="0" equalAverage="0" bottom="0" percent="0" rank="0" text="" dxfId="14">
      <formula>AND(J418="completed",K418=0)</formula>
    </cfRule>
  </conditionalFormatting>
  <conditionalFormatting sqref="K419:K1000">
    <cfRule type="expression" priority="419" aboveAverage="0" equalAverage="0" bottom="0" percent="0" rank="0" text="" dxfId="14">
      <formula>AND(J419="completed",K419=0)</formula>
    </cfRule>
  </conditionalFormatting>
  <conditionalFormatting sqref="K420:K1000">
    <cfRule type="expression" priority="420" aboveAverage="0" equalAverage="0" bottom="0" percent="0" rank="0" text="" dxfId="14">
      <formula>AND(J420="completed",K420=0)</formula>
    </cfRule>
  </conditionalFormatting>
  <conditionalFormatting sqref="K421:K1000">
    <cfRule type="expression" priority="421" aboveAverage="0" equalAverage="0" bottom="0" percent="0" rank="0" text="" dxfId="14">
      <formula>AND(J421="completed",K421=0)</formula>
    </cfRule>
  </conditionalFormatting>
  <conditionalFormatting sqref="K422:K1000">
    <cfRule type="expression" priority="422" aboveAverage="0" equalAverage="0" bottom="0" percent="0" rank="0" text="" dxfId="14">
      <formula>AND(J422="completed",K422=0)</formula>
    </cfRule>
  </conditionalFormatting>
  <conditionalFormatting sqref="K423:K1000">
    <cfRule type="expression" priority="423" aboveAverage="0" equalAverage="0" bottom="0" percent="0" rank="0" text="" dxfId="14">
      <formula>AND(J423="completed",K423=0)</formula>
    </cfRule>
  </conditionalFormatting>
  <conditionalFormatting sqref="K424:K1000">
    <cfRule type="expression" priority="424" aboveAverage="0" equalAverage="0" bottom="0" percent="0" rank="0" text="" dxfId="14">
      <formula>AND(J424="completed",K424=0)</formula>
    </cfRule>
  </conditionalFormatting>
  <conditionalFormatting sqref="K425:K1000">
    <cfRule type="expression" priority="425" aboveAverage="0" equalAverage="0" bottom="0" percent="0" rank="0" text="" dxfId="14">
      <formula>AND(J425="completed",K425=0)</formula>
    </cfRule>
  </conditionalFormatting>
  <conditionalFormatting sqref="K426:K1000">
    <cfRule type="expression" priority="426" aboveAverage="0" equalAverage="0" bottom="0" percent="0" rank="0" text="" dxfId="14">
      <formula>AND(J426="completed",K426=0)</formula>
    </cfRule>
  </conditionalFormatting>
  <conditionalFormatting sqref="K427:K1000">
    <cfRule type="expression" priority="427" aboveAverage="0" equalAverage="0" bottom="0" percent="0" rank="0" text="" dxfId="14">
      <formula>AND(J427="completed",K427=0)</formula>
    </cfRule>
  </conditionalFormatting>
  <conditionalFormatting sqref="K428:K1000">
    <cfRule type="expression" priority="428" aboveAverage="0" equalAverage="0" bottom="0" percent="0" rank="0" text="" dxfId="14">
      <formula>AND(J428="completed",K428=0)</formula>
    </cfRule>
  </conditionalFormatting>
  <conditionalFormatting sqref="K429:K1000">
    <cfRule type="expression" priority="429" aboveAverage="0" equalAverage="0" bottom="0" percent="0" rank="0" text="" dxfId="14">
      <formula>AND(J429="completed",K429=0)</formula>
    </cfRule>
  </conditionalFormatting>
  <conditionalFormatting sqref="K430:K1000">
    <cfRule type="expression" priority="430" aboveAverage="0" equalAverage="0" bottom="0" percent="0" rank="0" text="" dxfId="14">
      <formula>AND(J430="completed",K430=0)</formula>
    </cfRule>
  </conditionalFormatting>
  <conditionalFormatting sqref="K431:K1000">
    <cfRule type="expression" priority="431" aboveAverage="0" equalAverage="0" bottom="0" percent="0" rank="0" text="" dxfId="14">
      <formula>AND(J431="completed",K431=0)</formula>
    </cfRule>
  </conditionalFormatting>
  <conditionalFormatting sqref="K432:K1000">
    <cfRule type="expression" priority="432" aboveAverage="0" equalAverage="0" bottom="0" percent="0" rank="0" text="" dxfId="14">
      <formula>AND(J432="completed",K432=0)</formula>
    </cfRule>
  </conditionalFormatting>
  <conditionalFormatting sqref="K433:K1000">
    <cfRule type="expression" priority="433" aboveAverage="0" equalAverage="0" bottom="0" percent="0" rank="0" text="" dxfId="14">
      <formula>AND(J433="completed",K433=0)</formula>
    </cfRule>
  </conditionalFormatting>
  <conditionalFormatting sqref="K434:K1000">
    <cfRule type="expression" priority="434" aboveAverage="0" equalAverage="0" bottom="0" percent="0" rank="0" text="" dxfId="14">
      <formula>AND(J434="completed",K434=0)</formula>
    </cfRule>
  </conditionalFormatting>
  <conditionalFormatting sqref="K435:K1000">
    <cfRule type="expression" priority="435" aboveAverage="0" equalAverage="0" bottom="0" percent="0" rank="0" text="" dxfId="14">
      <formula>AND(J435="completed",K435=0)</formula>
    </cfRule>
  </conditionalFormatting>
  <conditionalFormatting sqref="K436:K1000">
    <cfRule type="expression" priority="436" aboveAverage="0" equalAverage="0" bottom="0" percent="0" rank="0" text="" dxfId="14">
      <formula>AND(J436="completed",K436=0)</formula>
    </cfRule>
  </conditionalFormatting>
  <conditionalFormatting sqref="K437:K1000">
    <cfRule type="expression" priority="437" aboveAverage="0" equalAverage="0" bottom="0" percent="0" rank="0" text="" dxfId="14">
      <formula>AND(J437="completed",K437=0)</formula>
    </cfRule>
  </conditionalFormatting>
  <conditionalFormatting sqref="K438:K1000">
    <cfRule type="expression" priority="438" aboveAverage="0" equalAverage="0" bottom="0" percent="0" rank="0" text="" dxfId="14">
      <formula>AND(J438="completed",K438=0)</formula>
    </cfRule>
  </conditionalFormatting>
  <conditionalFormatting sqref="K439:K1000">
    <cfRule type="expression" priority="439" aboveAverage="0" equalAverage="0" bottom="0" percent="0" rank="0" text="" dxfId="14">
      <formula>AND(J439="completed",K439=0)</formula>
    </cfRule>
  </conditionalFormatting>
  <conditionalFormatting sqref="K440:K1000">
    <cfRule type="expression" priority="440" aboveAverage="0" equalAverage="0" bottom="0" percent="0" rank="0" text="" dxfId="14">
      <formula>AND(J440="completed",K440=0)</formula>
    </cfRule>
  </conditionalFormatting>
  <conditionalFormatting sqref="K441:K1000">
    <cfRule type="expression" priority="441" aboveAverage="0" equalAverage="0" bottom="0" percent="0" rank="0" text="" dxfId="14">
      <formula>AND(J441="completed",K441=0)</formula>
    </cfRule>
  </conditionalFormatting>
  <conditionalFormatting sqref="K442:K1000">
    <cfRule type="expression" priority="442" aboveAverage="0" equalAverage="0" bottom="0" percent="0" rank="0" text="" dxfId="14">
      <formula>AND(J442="completed",K442=0)</formula>
    </cfRule>
  </conditionalFormatting>
  <conditionalFormatting sqref="K443:K1000">
    <cfRule type="expression" priority="443" aboveAverage="0" equalAverage="0" bottom="0" percent="0" rank="0" text="" dxfId="14">
      <formula>AND(J443="completed",K443=0)</formula>
    </cfRule>
  </conditionalFormatting>
  <conditionalFormatting sqref="K444:K1000">
    <cfRule type="expression" priority="444" aboveAverage="0" equalAverage="0" bottom="0" percent="0" rank="0" text="" dxfId="14">
      <formula>AND(J444="completed",K444=0)</formula>
    </cfRule>
  </conditionalFormatting>
  <conditionalFormatting sqref="K445:K1000">
    <cfRule type="expression" priority="445" aboveAverage="0" equalAverage="0" bottom="0" percent="0" rank="0" text="" dxfId="14">
      <formula>AND(J445="completed",K445=0)</formula>
    </cfRule>
  </conditionalFormatting>
  <conditionalFormatting sqref="K446:K1000">
    <cfRule type="expression" priority="446" aboveAverage="0" equalAverage="0" bottom="0" percent="0" rank="0" text="" dxfId="14">
      <formula>AND(J446="completed",K446=0)</formula>
    </cfRule>
  </conditionalFormatting>
  <conditionalFormatting sqref="K447:K1000">
    <cfRule type="expression" priority="447" aboveAverage="0" equalAverage="0" bottom="0" percent="0" rank="0" text="" dxfId="14">
      <formula>AND(J447="completed",K447=0)</formula>
    </cfRule>
  </conditionalFormatting>
  <conditionalFormatting sqref="K448:K1000">
    <cfRule type="expression" priority="448" aboveAverage="0" equalAverage="0" bottom="0" percent="0" rank="0" text="" dxfId="14">
      <formula>AND(J448="completed",K448=0)</formula>
    </cfRule>
  </conditionalFormatting>
  <conditionalFormatting sqref="K449:K1000">
    <cfRule type="expression" priority="449" aboveAverage="0" equalAverage="0" bottom="0" percent="0" rank="0" text="" dxfId="14">
      <formula>AND(J449="completed",K449=0)</formula>
    </cfRule>
  </conditionalFormatting>
  <conditionalFormatting sqref="K450:K1000">
    <cfRule type="expression" priority="450" aboveAverage="0" equalAverage="0" bottom="0" percent="0" rank="0" text="" dxfId="14">
      <formula>AND(J450="completed",K450=0)</formula>
    </cfRule>
  </conditionalFormatting>
  <conditionalFormatting sqref="K451:K1000">
    <cfRule type="expression" priority="451" aboveAverage="0" equalAverage="0" bottom="0" percent="0" rank="0" text="" dxfId="14">
      <formula>AND(J451="completed",K451=0)</formula>
    </cfRule>
  </conditionalFormatting>
  <conditionalFormatting sqref="K452:K1000">
    <cfRule type="expression" priority="452" aboveAverage="0" equalAverage="0" bottom="0" percent="0" rank="0" text="" dxfId="14">
      <formula>AND(J452="completed",K452=0)</formula>
    </cfRule>
  </conditionalFormatting>
  <conditionalFormatting sqref="K453:K1000">
    <cfRule type="expression" priority="453" aboveAverage="0" equalAverage="0" bottom="0" percent="0" rank="0" text="" dxfId="14">
      <formula>AND(J453="completed",K453=0)</formula>
    </cfRule>
  </conditionalFormatting>
  <conditionalFormatting sqref="K454:K1000">
    <cfRule type="expression" priority="454" aboveAverage="0" equalAverage="0" bottom="0" percent="0" rank="0" text="" dxfId="14">
      <formula>AND(J454="completed",K454=0)</formula>
    </cfRule>
  </conditionalFormatting>
  <conditionalFormatting sqref="K455:K1000">
    <cfRule type="expression" priority="455" aboveAverage="0" equalAverage="0" bottom="0" percent="0" rank="0" text="" dxfId="14">
      <formula>AND(J455="completed",K455=0)</formula>
    </cfRule>
  </conditionalFormatting>
  <conditionalFormatting sqref="K456:K1000">
    <cfRule type="expression" priority="456" aboveAverage="0" equalAverage="0" bottom="0" percent="0" rank="0" text="" dxfId="14">
      <formula>AND(J456="completed",K456=0)</formula>
    </cfRule>
  </conditionalFormatting>
  <conditionalFormatting sqref="K457:K1000">
    <cfRule type="expression" priority="457" aboveAverage="0" equalAverage="0" bottom="0" percent="0" rank="0" text="" dxfId="14">
      <formula>AND(J457="completed",K457=0)</formula>
    </cfRule>
  </conditionalFormatting>
  <conditionalFormatting sqref="K458:K1000">
    <cfRule type="expression" priority="458" aboveAverage="0" equalAverage="0" bottom="0" percent="0" rank="0" text="" dxfId="14">
      <formula>AND(J458="completed",K458=0)</formula>
    </cfRule>
  </conditionalFormatting>
  <conditionalFormatting sqref="K459:K1000">
    <cfRule type="expression" priority="459" aboveAverage="0" equalAverage="0" bottom="0" percent="0" rank="0" text="" dxfId="14">
      <formula>AND(J459="completed",K459=0)</formula>
    </cfRule>
  </conditionalFormatting>
  <conditionalFormatting sqref="K460:K1000">
    <cfRule type="expression" priority="460" aboveAverage="0" equalAverage="0" bottom="0" percent="0" rank="0" text="" dxfId="14">
      <formula>AND(J460="completed",K460=0)</formula>
    </cfRule>
  </conditionalFormatting>
  <conditionalFormatting sqref="K461:K1000">
    <cfRule type="expression" priority="461" aboveAverage="0" equalAverage="0" bottom="0" percent="0" rank="0" text="" dxfId="14">
      <formula>AND(J461="completed",K461=0)</formula>
    </cfRule>
  </conditionalFormatting>
  <conditionalFormatting sqref="K462:K1000">
    <cfRule type="expression" priority="462" aboveAverage="0" equalAverage="0" bottom="0" percent="0" rank="0" text="" dxfId="14">
      <formula>AND(J462="completed",K462=0)</formula>
    </cfRule>
  </conditionalFormatting>
  <conditionalFormatting sqref="K463:K1000">
    <cfRule type="expression" priority="463" aboveAverage="0" equalAverage="0" bottom="0" percent="0" rank="0" text="" dxfId="14">
      <formula>AND(J463="completed",K463=0)</formula>
    </cfRule>
  </conditionalFormatting>
  <conditionalFormatting sqref="K464:K1000">
    <cfRule type="expression" priority="464" aboveAverage="0" equalAverage="0" bottom="0" percent="0" rank="0" text="" dxfId="14">
      <formula>AND(J464="completed",K464=0)</formula>
    </cfRule>
  </conditionalFormatting>
  <conditionalFormatting sqref="K465:K1000">
    <cfRule type="expression" priority="465" aboveAverage="0" equalAverage="0" bottom="0" percent="0" rank="0" text="" dxfId="14">
      <formula>AND(J465="completed",K465=0)</formula>
    </cfRule>
  </conditionalFormatting>
  <conditionalFormatting sqref="K466:K1000">
    <cfRule type="expression" priority="466" aboveAverage="0" equalAverage="0" bottom="0" percent="0" rank="0" text="" dxfId="14">
      <formula>AND(J466="completed",K466=0)</formula>
    </cfRule>
  </conditionalFormatting>
  <conditionalFormatting sqref="K467:K1000">
    <cfRule type="expression" priority="467" aboveAverage="0" equalAverage="0" bottom="0" percent="0" rank="0" text="" dxfId="14">
      <formula>AND(J467="completed",K467=0)</formula>
    </cfRule>
  </conditionalFormatting>
  <conditionalFormatting sqref="K468:K1000">
    <cfRule type="expression" priority="468" aboveAverage="0" equalAverage="0" bottom="0" percent="0" rank="0" text="" dxfId="14">
      <formula>AND(J468="completed",K468=0)</formula>
    </cfRule>
  </conditionalFormatting>
  <conditionalFormatting sqref="K469:K1000">
    <cfRule type="expression" priority="469" aboveAverage="0" equalAverage="0" bottom="0" percent="0" rank="0" text="" dxfId="14">
      <formula>AND(J469="completed",K469=0)</formula>
    </cfRule>
  </conditionalFormatting>
  <conditionalFormatting sqref="K470:K1000">
    <cfRule type="expression" priority="470" aboveAverage="0" equalAverage="0" bottom="0" percent="0" rank="0" text="" dxfId="14">
      <formula>AND(J470="completed",K470=0)</formula>
    </cfRule>
  </conditionalFormatting>
  <conditionalFormatting sqref="K471:K1000">
    <cfRule type="expression" priority="471" aboveAverage="0" equalAverage="0" bottom="0" percent="0" rank="0" text="" dxfId="14">
      <formula>AND(J471="completed",K471=0)</formula>
    </cfRule>
  </conditionalFormatting>
  <conditionalFormatting sqref="K472:K1000">
    <cfRule type="expression" priority="472" aboveAverage="0" equalAverage="0" bottom="0" percent="0" rank="0" text="" dxfId="14">
      <formula>AND(J472="completed",K472=0)</formula>
    </cfRule>
  </conditionalFormatting>
  <conditionalFormatting sqref="K473:K1000">
    <cfRule type="expression" priority="473" aboveAverage="0" equalAverage="0" bottom="0" percent="0" rank="0" text="" dxfId="14">
      <formula>AND(J473="completed",K473=0)</formula>
    </cfRule>
  </conditionalFormatting>
  <conditionalFormatting sqref="K474:K1000">
    <cfRule type="expression" priority="474" aboveAverage="0" equalAverage="0" bottom="0" percent="0" rank="0" text="" dxfId="14">
      <formula>AND(J474="completed",K474=0)</formula>
    </cfRule>
  </conditionalFormatting>
  <conditionalFormatting sqref="K475:K1000">
    <cfRule type="expression" priority="475" aboveAverage="0" equalAverage="0" bottom="0" percent="0" rank="0" text="" dxfId="14">
      <formula>AND(J475="completed",K475=0)</formula>
    </cfRule>
  </conditionalFormatting>
  <conditionalFormatting sqref="K476:K1000">
    <cfRule type="expression" priority="476" aboveAverage="0" equalAverage="0" bottom="0" percent="0" rank="0" text="" dxfId="14">
      <formula>AND(J476="completed",K476=0)</formula>
    </cfRule>
  </conditionalFormatting>
  <conditionalFormatting sqref="K477:K1000">
    <cfRule type="expression" priority="477" aboveAverage="0" equalAverage="0" bottom="0" percent="0" rank="0" text="" dxfId="14">
      <formula>AND(J477="completed",K477=0)</formula>
    </cfRule>
  </conditionalFormatting>
  <conditionalFormatting sqref="K478:K1000">
    <cfRule type="expression" priority="478" aboveAverage="0" equalAverage="0" bottom="0" percent="0" rank="0" text="" dxfId="14">
      <formula>AND(J478="completed",K478=0)</formula>
    </cfRule>
  </conditionalFormatting>
  <conditionalFormatting sqref="K479:K1000">
    <cfRule type="expression" priority="479" aboveAverage="0" equalAverage="0" bottom="0" percent="0" rank="0" text="" dxfId="14">
      <formula>AND(J479="completed",K479=0)</formula>
    </cfRule>
  </conditionalFormatting>
  <conditionalFormatting sqref="K480:K1000">
    <cfRule type="expression" priority="480" aboveAverage="0" equalAverage="0" bottom="0" percent="0" rank="0" text="" dxfId="14">
      <formula>AND(J480="completed",K480=0)</formula>
    </cfRule>
  </conditionalFormatting>
  <conditionalFormatting sqref="K481:K1000">
    <cfRule type="expression" priority="481" aboveAverage="0" equalAverage="0" bottom="0" percent="0" rank="0" text="" dxfId="14">
      <formula>AND(J481="completed",K481=0)</formula>
    </cfRule>
  </conditionalFormatting>
  <conditionalFormatting sqref="K482:K1000">
    <cfRule type="expression" priority="482" aboveAverage="0" equalAverage="0" bottom="0" percent="0" rank="0" text="" dxfId="14">
      <formula>AND(J482="completed",K482=0)</formula>
    </cfRule>
  </conditionalFormatting>
  <conditionalFormatting sqref="K483:K1000">
    <cfRule type="expression" priority="483" aboveAverage="0" equalAverage="0" bottom="0" percent="0" rank="0" text="" dxfId="14">
      <formula>AND(J483="completed",K483=0)</formula>
    </cfRule>
  </conditionalFormatting>
  <conditionalFormatting sqref="K484:K1000">
    <cfRule type="expression" priority="484" aboveAverage="0" equalAverage="0" bottom="0" percent="0" rank="0" text="" dxfId="14">
      <formula>AND(J484="completed",K484=0)</formula>
    </cfRule>
  </conditionalFormatting>
  <conditionalFormatting sqref="K485:K1000">
    <cfRule type="expression" priority="485" aboveAverage="0" equalAverage="0" bottom="0" percent="0" rank="0" text="" dxfId="14">
      <formula>AND(J485="completed",K485=0)</formula>
    </cfRule>
  </conditionalFormatting>
  <conditionalFormatting sqref="K486:K1000">
    <cfRule type="expression" priority="486" aboveAverage="0" equalAverage="0" bottom="0" percent="0" rank="0" text="" dxfId="14">
      <formula>AND(J486="completed",K486=0)</formula>
    </cfRule>
  </conditionalFormatting>
  <conditionalFormatting sqref="K487:K1000">
    <cfRule type="expression" priority="487" aboveAverage="0" equalAverage="0" bottom="0" percent="0" rank="0" text="" dxfId="14">
      <formula>AND(J487="completed",K487=0)</formula>
    </cfRule>
  </conditionalFormatting>
  <conditionalFormatting sqref="K488:K1000">
    <cfRule type="expression" priority="488" aboveAverage="0" equalAverage="0" bottom="0" percent="0" rank="0" text="" dxfId="14">
      <formula>AND(J488="completed",K488=0)</formula>
    </cfRule>
  </conditionalFormatting>
  <conditionalFormatting sqref="K489:K1000">
    <cfRule type="expression" priority="489" aboveAverage="0" equalAverage="0" bottom="0" percent="0" rank="0" text="" dxfId="14">
      <formula>AND(J489="completed",K489=0)</formula>
    </cfRule>
  </conditionalFormatting>
  <conditionalFormatting sqref="K490:K1000">
    <cfRule type="expression" priority="490" aboveAverage="0" equalAverage="0" bottom="0" percent="0" rank="0" text="" dxfId="14">
      <formula>AND(J490="completed",K490=0)</formula>
    </cfRule>
  </conditionalFormatting>
  <conditionalFormatting sqref="K491:K1000">
    <cfRule type="expression" priority="491" aboveAverage="0" equalAverage="0" bottom="0" percent="0" rank="0" text="" dxfId="14">
      <formula>AND(J491="completed",K491=0)</formula>
    </cfRule>
  </conditionalFormatting>
  <conditionalFormatting sqref="K492:K1000">
    <cfRule type="expression" priority="492" aboveAverage="0" equalAverage="0" bottom="0" percent="0" rank="0" text="" dxfId="14">
      <formula>AND(J492="completed",K492=0)</formula>
    </cfRule>
  </conditionalFormatting>
  <conditionalFormatting sqref="K493:K1000">
    <cfRule type="expression" priority="493" aboveAverage="0" equalAverage="0" bottom="0" percent="0" rank="0" text="" dxfId="14">
      <formula>AND(J493="completed",K493=0)</formula>
    </cfRule>
  </conditionalFormatting>
  <conditionalFormatting sqref="K494:K1000">
    <cfRule type="expression" priority="494" aboveAverage="0" equalAverage="0" bottom="0" percent="0" rank="0" text="" dxfId="14">
      <formula>AND(J494="completed",K494=0)</formula>
    </cfRule>
  </conditionalFormatting>
  <conditionalFormatting sqref="K495:K1000">
    <cfRule type="expression" priority="495" aboveAverage="0" equalAverage="0" bottom="0" percent="0" rank="0" text="" dxfId="14">
      <formula>AND(J495="completed",K495=0)</formula>
    </cfRule>
  </conditionalFormatting>
  <conditionalFormatting sqref="K496:K1000">
    <cfRule type="expression" priority="496" aboveAverage="0" equalAverage="0" bottom="0" percent="0" rank="0" text="" dxfId="14">
      <formula>AND(J496="completed",K496=0)</formula>
    </cfRule>
  </conditionalFormatting>
  <conditionalFormatting sqref="K497:K1000">
    <cfRule type="expression" priority="497" aboveAverage="0" equalAverage="0" bottom="0" percent="0" rank="0" text="" dxfId="14">
      <formula>AND(J497="completed",K497=0)</formula>
    </cfRule>
  </conditionalFormatting>
  <conditionalFormatting sqref="K498:K1000">
    <cfRule type="expression" priority="498" aboveAverage="0" equalAverage="0" bottom="0" percent="0" rank="0" text="" dxfId="14">
      <formula>AND(J498="completed",K498=0)</formula>
    </cfRule>
  </conditionalFormatting>
  <conditionalFormatting sqref="K499:K1000">
    <cfRule type="expression" priority="499" aboveAverage="0" equalAverage="0" bottom="0" percent="0" rank="0" text="" dxfId="14">
      <formula>AND(J499="completed",K499=0)</formula>
    </cfRule>
  </conditionalFormatting>
  <conditionalFormatting sqref="Q4:Q9">
    <cfRule type="expression" priority="500" aboveAverage="0" equalAverage="0" bottom="0" percent="0" rank="0" text="" dxfId="31">
      <formula>OR(ISNUMBER(SEARCH("🔴",Q4)),ISNUMBER(SEARCH("KHẨN",Q4)))</formula>
    </cfRule>
    <cfRule type="expression" priority="501" aboveAverage="0" equalAverage="0" bottom="0" percent="0" rank="0" text="" dxfId="15">
      <formula>ISNUMBER(SEARCH("🟡",Q4))</formula>
    </cfRule>
    <cfRule type="expression" priority="502" aboveAverage="0" equalAverage="0" bottom="0" percent="0" rank="0" text="" dxfId="18">
      <formula>ISNUMBER(SEARCH("✅",Q4))</formula>
    </cfRule>
  </conditionalFormatting>
  <conditionalFormatting sqref="Q4:Q1000">
    <cfRule type="expression" priority="503" aboveAverage="0" equalAverage="0" bottom="0" percent="0" rank="0" text="" dxfId="19">
      <formula>OR(ISNUMBER(SEARCH(" ngay",Q4)),ISNUMBER(SEARCH(" gấp",Q4)),ISNUMBER(SEARCH("GỌI",Q4)),ISNUMBER(SEARCH("NGUY",Q4)))</formula>
    </cfRule>
    <cfRule type="expression" priority="504" aboveAverage="0" equalAverage="0" bottom="0" percent="0" rank="0" text="" dxfId="20">
      <formula>ISNUMBER(SEARCH("Không cần làm gì",Q4))</formula>
    </cfRule>
    <cfRule type="expression" priority="505" aboveAverage="0" equalAverage="0" bottom="0" percent="0" rank="0" text="" dxfId="21">
      <formula>LEN(Q4)&gt;0</formula>
    </cfRule>
  </conditionalFormatting>
  <dataValidations count="1">
    <dataValidation allowBlank="true" errorStyle="stop" operator="between" showDropDown="false" showErrorMessage="false" showInputMessage="false" sqref="J4:J500" type="list">
      <formula1>'CH1. Danh mục lựa chọn'!$B$214:$B$217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9.71"/>
    <col collapsed="false" customWidth="true" hidden="false" outlineLevel="0" max="2" min="2" style="1" width="15.29"/>
    <col collapsed="false" customWidth="true" hidden="false" outlineLevel="0" max="3" min="3" style="1" width="15.71"/>
    <col collapsed="false" customWidth="true" hidden="false" outlineLevel="0" max="4" min="4" style="1" width="20"/>
    <col collapsed="false" customWidth="true" hidden="false" outlineLevel="0" max="5" min="5" style="1" width="24.43"/>
    <col collapsed="false" customWidth="true" hidden="false" outlineLevel="0" max="6" min="6" style="1" width="28.14"/>
    <col collapsed="false" customWidth="true" hidden="false" outlineLevel="0" max="7" min="7" style="1" width="19.86"/>
    <col collapsed="false" customWidth="true" hidden="false" outlineLevel="0" max="8" min="8" style="1" width="27.71"/>
    <col collapsed="false" customWidth="true" hidden="false" outlineLevel="0" max="9" min="9" style="1" width="17.29"/>
    <col collapsed="false" customWidth="true" hidden="false" outlineLevel="0" max="10" min="10" style="1" width="64"/>
    <col collapsed="false" customWidth="true" hidden="false" outlineLevel="0" max="26" min="11" style="1" width="8.71"/>
  </cols>
  <sheetData>
    <row r="1" customFormat="false" ht="39" hidden="false" customHeight="true" outlineLevel="0" collapsed="false">
      <c r="A1" s="94" t="s">
        <v>3299</v>
      </c>
      <c r="B1" s="94" t="s">
        <v>899</v>
      </c>
      <c r="C1" s="94" t="s">
        <v>850</v>
      </c>
      <c r="D1" s="94" t="s">
        <v>3300</v>
      </c>
      <c r="E1" s="94" t="s">
        <v>3301</v>
      </c>
      <c r="F1" s="94" t="s">
        <v>3302</v>
      </c>
      <c r="G1" s="94" t="s">
        <v>3303</v>
      </c>
      <c r="H1" s="94" t="s">
        <v>3304</v>
      </c>
      <c r="I1" s="94" t="s">
        <v>3305</v>
      </c>
      <c r="J1" s="183" t="s">
        <v>480</v>
      </c>
      <c r="K1" s="4"/>
      <c r="L1" s="4"/>
      <c r="M1" s="4"/>
      <c r="N1" s="4"/>
      <c r="O1" s="4"/>
      <c r="P1" s="4"/>
      <c r="Q1" s="4"/>
      <c r="R1" s="4"/>
      <c r="S1" s="4"/>
      <c r="T1" s="4"/>
      <c r="U1" s="4"/>
      <c r="V1" s="4"/>
      <c r="W1" s="4"/>
      <c r="X1" s="4"/>
      <c r="Y1" s="4"/>
      <c r="Z1" s="4"/>
    </row>
    <row r="2" customFormat="false" ht="15" hidden="false" customHeight="true" outlineLevel="0" collapsed="false">
      <c r="A2" s="176" t="s">
        <v>3306</v>
      </c>
      <c r="B2" s="176" t="s">
        <v>3307</v>
      </c>
      <c r="C2" s="176" t="s">
        <v>3308</v>
      </c>
      <c r="D2" s="176" t="s">
        <v>3309</v>
      </c>
      <c r="E2" s="176" t="s">
        <v>250</v>
      </c>
      <c r="F2" s="176" t="s">
        <v>3310</v>
      </c>
      <c r="G2" s="176" t="s">
        <v>3311</v>
      </c>
      <c r="H2" s="176" t="s">
        <v>3312</v>
      </c>
      <c r="I2" s="176" t="s">
        <v>2281</v>
      </c>
      <c r="J2" s="176" t="s">
        <v>2503</v>
      </c>
      <c r="K2" s="4"/>
      <c r="L2" s="4"/>
      <c r="M2" s="4"/>
      <c r="N2" s="4"/>
      <c r="O2" s="4"/>
      <c r="P2" s="4"/>
      <c r="Q2" s="4"/>
      <c r="R2" s="4"/>
      <c r="S2" s="4"/>
      <c r="T2" s="4"/>
      <c r="U2" s="4"/>
      <c r="V2" s="4"/>
      <c r="W2" s="4"/>
      <c r="X2" s="4"/>
      <c r="Y2" s="4"/>
      <c r="Z2" s="4"/>
    </row>
    <row r="3" customFormat="false" ht="24.75" hidden="false" customHeight="true" outlineLevel="0" collapsed="false">
      <c r="A3" s="195" t="s">
        <v>3313</v>
      </c>
      <c r="B3" s="195" t="s">
        <v>3314</v>
      </c>
      <c r="C3" s="195" t="s">
        <v>3315</v>
      </c>
      <c r="D3" s="195" t="s">
        <v>3316</v>
      </c>
      <c r="E3" s="195" t="s">
        <v>2519</v>
      </c>
      <c r="F3" s="195" t="s">
        <v>3317</v>
      </c>
      <c r="G3" s="195" t="s">
        <v>3311</v>
      </c>
      <c r="H3" s="195" t="s">
        <v>3318</v>
      </c>
      <c r="I3" s="195" t="s">
        <v>2281</v>
      </c>
      <c r="J3" s="195" t="s">
        <v>3319</v>
      </c>
      <c r="K3" s="4"/>
      <c r="L3" s="4"/>
      <c r="M3" s="4"/>
      <c r="N3" s="4"/>
      <c r="O3" s="4"/>
      <c r="P3" s="4"/>
      <c r="Q3" s="4"/>
      <c r="R3" s="4"/>
      <c r="S3" s="4"/>
      <c r="T3" s="4"/>
      <c r="U3" s="4"/>
      <c r="V3" s="4"/>
      <c r="W3" s="4"/>
      <c r="X3" s="4"/>
      <c r="Y3" s="4"/>
      <c r="Z3" s="4"/>
    </row>
    <row r="4" customFormat="false" ht="35.25" hidden="false" customHeight="true" outlineLevel="0" collapsed="false">
      <c r="A4" s="209" t="s">
        <v>3320</v>
      </c>
      <c r="B4" s="210" t="str">
        <f aca="false">IFERROR(HYPERLINK("#'DL11. Buổi học'!A"&amp;MATCH("SES-001",'DL11. Buổi học'!A:A,0),"SES-001"),"SES-001")</f>
        <v>SES-001</v>
      </c>
      <c r="C4" s="210" t="str">
        <f aca="false">IFERROR(HYPERLINK("#'DL11. Buổi học'!A"&amp;MATCH("HV001",'DL09. Học viên'!A:A,0),"HV001"),"HV001")</f>
        <v>HV001</v>
      </c>
      <c r="D4" s="209" t="s">
        <v>2548</v>
      </c>
      <c r="E4" s="209" t="s">
        <v>1044</v>
      </c>
      <c r="F4" s="209"/>
      <c r="G4" s="211" t="n">
        <v>46198.75</v>
      </c>
      <c r="H4" s="209" t="s">
        <v>1167</v>
      </c>
      <c r="I4" s="209"/>
      <c r="J4" s="212" t="str">
        <f aca="true" t="array" ref="J4:J4">IF(AND(ISNUMBER(SEARCH("no_show",E4)),ISNUMBER(SEARCH("unexcused",F4)),IFERROR((NOW()-VLOOKUP(B4,'DL11. Buổi học'!A:D,4,FALSE()))*24,0)&gt;slaAbsenceCall_hours),INDEX('CH4. Thông điệp nhắc việc'!$G:$G,MATCH("NA070",'CH4. Thông điệp nhắc việc'!$A:$A,0)),IF(AND(ISNUMBER(SEARCH("no_show",E4)),ISNUMBER(SEARCH("unexcused",F4))),INDEX('CH4. Thông điệp nhắc việc'!$G:$G,MATCH("NA025",'CH4. Thông điệp nhắc việc'!$A:$A,0)),IF(AND(ISNUMBER(SEARCH("no_show",E4)),ISNUMBER(SEARCH("excused",F4))),INDEX('CH4. Thông điệp nhắc việc'!$G:$G,MATCH("NA026",'CH4. Thông điệp nhắc việc'!$A:$A,0)),IF(ISNUMBER(SEARCH("late",E4)),INDEX('CH4. Thông điệp nhắc việc'!$G:$G,MATCH("NA027",'CH4. Thông điệp nhắc việc'!$A:$A,0)),IF(ISNUMBER(SEARCH("on_time",E4)),INDEX('CH4. Thông điệp nhắc việc'!$G:$G,MATCH("NA028",'CH4. Thông điệp nhắc việc'!$A:$A,0)),"")))))</f>
        <v>HV đã điểm danh, đi học đúng giờ. Không cần làm gì thêm.</v>
      </c>
      <c r="K4" s="4"/>
      <c r="L4" s="4"/>
      <c r="M4" s="4"/>
      <c r="N4" s="4"/>
      <c r="O4" s="4"/>
      <c r="P4" s="4"/>
      <c r="Q4" s="4"/>
      <c r="R4" s="4"/>
      <c r="S4" s="4"/>
      <c r="T4" s="4"/>
      <c r="U4" s="4"/>
      <c r="V4" s="4"/>
      <c r="W4" s="4"/>
      <c r="X4" s="4"/>
      <c r="Y4" s="4"/>
      <c r="Z4" s="4"/>
    </row>
    <row r="5" customFormat="false" ht="35.25" hidden="false" customHeight="true" outlineLevel="0" collapsed="false">
      <c r="A5" s="209" t="s">
        <v>3321</v>
      </c>
      <c r="B5" s="210" t="str">
        <f aca="false">IFERROR(HYPERLINK("#'DL11. Buổi học'!A"&amp;MATCH("SES-002",'DL11. Buổi học'!A:A,0),"SES-002"),"SES-002")</f>
        <v>SES-002</v>
      </c>
      <c r="C5" s="210" t="str">
        <f aca="false">IFERROR(HYPERLINK("#'DL11. Buổi học'!A"&amp;MATCH("HV003",'DL09. Học viên'!A:A,0),"HV003"),"HV003")</f>
        <v>HV003</v>
      </c>
      <c r="D5" s="209" t="s">
        <v>2556</v>
      </c>
      <c r="E5" s="209" t="s">
        <v>1133</v>
      </c>
      <c r="F5" s="209" t="s">
        <v>1138</v>
      </c>
      <c r="G5" s="211"/>
      <c r="H5" s="209"/>
      <c r="I5" s="209" t="s">
        <v>3322</v>
      </c>
      <c r="J5" s="212" t="str">
        <f aca="true" t="array" ref="J5:J5">IF(AND(ISNUMBER(SEARCH("no_show",E5)),ISNUMBER(SEARCH("unexcused",F5)),IFERROR((NOW()-VLOOKUP(B5,'DL11. Buổi học'!A:D,4,FALSE()))*24,0)&gt;slaAbsenceCall_hours),INDEX('CH4. Thông điệp nhắc việc'!$G:$G,MATCH("NA070",'CH4. Thông điệp nhắc việc'!$A:$A,0)),IF(AND(ISNUMBER(SEARCH("no_show",E5)),ISNUMBER(SEARCH("unexcused",F5))),INDEX('CH4. Thông điệp nhắc việc'!$G:$G,MATCH("NA025",'CH4. Thông điệp nhắc việc'!$A:$A,0)),IF(AND(ISNUMBER(SEARCH("no_show",E5)),ISNUMBER(SEARCH("excused",F5))),INDEX('CH4. Thông điệp nhắc việc'!$G:$G,MATCH("NA026",'CH4. Thông điệp nhắc việc'!$A:$A,0)),IF(ISNUMBER(SEARCH("late",E5)),INDEX('CH4. Thông điệp nhắc việc'!$G:$G,MATCH("NA027",'CH4. Thông điệp nhắc việc'!$A:$A,0)),IF(ISNUMBER(SEARCH("on_time",E5)),INDEX('CH4. Thông điệp nhắc việc'!$G:$G,MATCH("NA028",'CH4. Thông điệp nhắc việc'!$A:$A,0)),"")))))</f>
        <v>HV vắng không phép đã quá 24 giờ (cấu hình slaAbsenceCall_hours). Việc cần làm: GỌI HV/phụ huynh ngay.</v>
      </c>
      <c r="K5" s="4"/>
      <c r="L5" s="4"/>
      <c r="M5" s="4"/>
      <c r="N5" s="4"/>
      <c r="O5" s="4"/>
      <c r="P5" s="4"/>
      <c r="Q5" s="4"/>
      <c r="R5" s="4"/>
      <c r="S5" s="4"/>
      <c r="T5" s="4"/>
      <c r="U5" s="4"/>
      <c r="V5" s="4"/>
      <c r="W5" s="4"/>
      <c r="X5" s="4"/>
      <c r="Y5" s="4"/>
      <c r="Z5" s="4"/>
    </row>
    <row r="6" customFormat="false" ht="35.25" hidden="false" customHeight="true" outlineLevel="0" collapsed="false">
      <c r="A6" s="209" t="s">
        <v>3323</v>
      </c>
      <c r="B6" s="210" t="str">
        <f aca="false">IFERROR(HYPERLINK("#'DL11. Buổi học'!A"&amp;MATCH("SES-003",'DL11. Buổi học'!A:A,0),"SES-003"),"SES-003")</f>
        <v>SES-003</v>
      </c>
      <c r="C6" s="210" t="str">
        <f aca="false">IFERROR(HYPERLINK("#'DL11. Buổi học'!A"&amp;MATCH("HV003",'DL09. Học viên'!A:A,0),"HV003"),"HV003")</f>
        <v>HV003</v>
      </c>
      <c r="D6" s="209" t="s">
        <v>2556</v>
      </c>
      <c r="E6" s="209" t="s">
        <v>1133</v>
      </c>
      <c r="F6" s="209" t="s">
        <v>1138</v>
      </c>
      <c r="G6" s="211"/>
      <c r="H6" s="209"/>
      <c r="I6" s="209" t="s">
        <v>3324</v>
      </c>
      <c r="J6" s="212" t="str">
        <f aca="true" t="array" ref="J6:J6">IF(AND(ISNUMBER(SEARCH("no_show",E6)),ISNUMBER(SEARCH("unexcused",F6)),IFERROR((NOW()-VLOOKUP(B6,'DL11. Buổi học'!A:D,4,FALSE()))*24,0)&gt;slaAbsenceCall_hours),INDEX('CH4. Thông điệp nhắc việc'!$G:$G,MATCH("NA070",'CH4. Thông điệp nhắc việc'!$A:$A,0)),IF(AND(ISNUMBER(SEARCH("no_show",E6)),ISNUMBER(SEARCH("unexcused",F6))),INDEX('CH4. Thông điệp nhắc việc'!$G:$G,MATCH("NA025",'CH4. Thông điệp nhắc việc'!$A:$A,0)),IF(AND(ISNUMBER(SEARCH("no_show",E6)),ISNUMBER(SEARCH("excused",F6))),INDEX('CH4. Thông điệp nhắc việc'!$G:$G,MATCH("NA026",'CH4. Thông điệp nhắc việc'!$A:$A,0)),IF(ISNUMBER(SEARCH("late",E6)),INDEX('CH4. Thông điệp nhắc việc'!$G:$G,MATCH("NA027",'CH4. Thông điệp nhắc việc'!$A:$A,0)),IF(ISNUMBER(SEARCH("on_time",E6)),INDEX('CH4. Thông điệp nhắc việc'!$G:$G,MATCH("NA028",'CH4. Thông điệp nhắc việc'!$A:$A,0)),"")))))</f>
        <v>HV vắng không phép đã quá 24 giờ (cấu hình slaAbsenceCall_hours). Việc cần làm: GỌI HV/phụ huynh ngay.</v>
      </c>
      <c r="K6" s="4"/>
      <c r="L6" s="4"/>
      <c r="M6" s="4"/>
      <c r="N6" s="4"/>
      <c r="O6" s="4"/>
      <c r="P6" s="4"/>
      <c r="Q6" s="4"/>
      <c r="R6" s="4"/>
      <c r="S6" s="4"/>
      <c r="T6" s="4"/>
      <c r="U6" s="4"/>
      <c r="V6" s="4"/>
      <c r="W6" s="4"/>
      <c r="X6" s="4"/>
      <c r="Y6" s="4"/>
      <c r="Z6" s="4"/>
    </row>
    <row r="7" customFormat="false" ht="35.25" hidden="false" customHeight="true" outlineLevel="0" collapsed="false">
      <c r="A7" s="209" t="s">
        <v>3325</v>
      </c>
      <c r="B7" s="210" t="str">
        <f aca="false">IFERROR(HYPERLINK("#'DL11. Buổi học'!A"&amp;MATCH("SES-004",'DL11. Buổi học'!A:A,0),"SES-004"),"SES-004")</f>
        <v>SES-004</v>
      </c>
      <c r="C7" s="210" t="str">
        <f aca="false">IFERROR(HYPERLINK("#'DL11. Buổi học'!A"&amp;MATCH("HV003",'DL09. Học viên'!A:A,0),"HV003"),"HV003")</f>
        <v>HV003</v>
      </c>
      <c r="D7" s="209" t="s">
        <v>2556</v>
      </c>
      <c r="E7" s="209" t="s">
        <v>1044</v>
      </c>
      <c r="F7" s="209"/>
      <c r="G7" s="211" t="n">
        <v>46203.75</v>
      </c>
      <c r="H7" s="209" t="s">
        <v>1169</v>
      </c>
      <c r="I7" s="209"/>
      <c r="J7" s="212" t="str">
        <f aca="true" t="array" ref="J7:J7">IF(AND(ISNUMBER(SEARCH("no_show",E7)),ISNUMBER(SEARCH("unexcused",F7)),IFERROR((NOW()-VLOOKUP(B7,'DL11. Buổi học'!A:D,4,FALSE()))*24,0)&gt;slaAbsenceCall_hours),INDEX('CH4. Thông điệp nhắc việc'!$G:$G,MATCH("NA070",'CH4. Thông điệp nhắc việc'!$A:$A,0)),IF(AND(ISNUMBER(SEARCH("no_show",E7)),ISNUMBER(SEARCH("unexcused",F7))),INDEX('CH4. Thông điệp nhắc việc'!$G:$G,MATCH("NA025",'CH4. Thông điệp nhắc việc'!$A:$A,0)),IF(AND(ISNUMBER(SEARCH("no_show",E7)),ISNUMBER(SEARCH("excused",F7))),INDEX('CH4. Thông điệp nhắc việc'!$G:$G,MATCH("NA026",'CH4. Thông điệp nhắc việc'!$A:$A,0)),IF(ISNUMBER(SEARCH("late",E7)),INDEX('CH4. Thông điệp nhắc việc'!$G:$G,MATCH("NA027",'CH4. Thông điệp nhắc việc'!$A:$A,0)),IF(ISNUMBER(SEARCH("on_time",E7)),INDEX('CH4. Thông điệp nhắc việc'!$G:$G,MATCH("NA028",'CH4. Thông điệp nhắc việc'!$A:$A,0)),"")))))</f>
        <v>HV đã điểm danh, đi học đúng giờ. Không cần làm gì thêm.</v>
      </c>
      <c r="K7" s="4"/>
      <c r="L7" s="4"/>
      <c r="M7" s="4"/>
      <c r="N7" s="4"/>
      <c r="O7" s="4"/>
      <c r="P7" s="4"/>
      <c r="Q7" s="4"/>
      <c r="R7" s="4"/>
      <c r="S7" s="4"/>
      <c r="T7" s="4"/>
      <c r="U7" s="4"/>
      <c r="V7" s="4"/>
      <c r="W7" s="4"/>
      <c r="X7" s="4"/>
      <c r="Y7" s="4"/>
      <c r="Z7" s="4"/>
    </row>
    <row r="8" customFormat="false" ht="35.25" hidden="false" customHeight="true" outlineLevel="0" collapsed="false">
      <c r="A8" s="209" t="s">
        <v>3326</v>
      </c>
      <c r="B8" s="210" t="str">
        <f aca="false">IFERROR(HYPERLINK("#'DL11. Buổi học'!A"&amp;MATCH("SES-005",'DL11. Buổi học'!A:A,0),"SES-005"),"SES-005")</f>
        <v>SES-005</v>
      </c>
      <c r="C8" s="210" t="str">
        <f aca="false">IFERROR(HYPERLINK("#'DL11. Buổi học'!A"&amp;MATCH("HV004",'DL09. Học viên'!A:A,0),"HV004"),"HV004")</f>
        <v>HV004</v>
      </c>
      <c r="D8" s="209" t="s">
        <v>2560</v>
      </c>
      <c r="E8" s="209" t="s">
        <v>1044</v>
      </c>
      <c r="F8" s="209"/>
      <c r="G8" s="211" t="n">
        <v>46197.75</v>
      </c>
      <c r="H8" s="209" t="s">
        <v>1167</v>
      </c>
      <c r="I8" s="209"/>
      <c r="J8" s="212" t="str">
        <f aca="true" t="array" ref="J8:J8">IF(AND(ISNUMBER(SEARCH("no_show",E8)),ISNUMBER(SEARCH("unexcused",F8)),IFERROR((NOW()-VLOOKUP(B8,'DL11. Buổi học'!A:D,4,FALSE()))*24,0)&gt;slaAbsenceCall_hours),INDEX('CH4. Thông điệp nhắc việc'!$G:$G,MATCH("NA070",'CH4. Thông điệp nhắc việc'!$A:$A,0)),IF(AND(ISNUMBER(SEARCH("no_show",E8)),ISNUMBER(SEARCH("unexcused",F8))),INDEX('CH4. Thông điệp nhắc việc'!$G:$G,MATCH("NA025",'CH4. Thông điệp nhắc việc'!$A:$A,0)),IF(AND(ISNUMBER(SEARCH("no_show",E8)),ISNUMBER(SEARCH("excused",F8))),INDEX('CH4. Thông điệp nhắc việc'!$G:$G,MATCH("NA026",'CH4. Thông điệp nhắc việc'!$A:$A,0)),IF(ISNUMBER(SEARCH("late",E8)),INDEX('CH4. Thông điệp nhắc việc'!$G:$G,MATCH("NA027",'CH4. Thông điệp nhắc việc'!$A:$A,0)),IF(ISNUMBER(SEARCH("on_time",E8)),INDEX('CH4. Thông điệp nhắc việc'!$G:$G,MATCH("NA028",'CH4. Thông điệp nhắc việc'!$A:$A,0)),"")))))</f>
        <v>HV đã điểm danh, đi học đúng giờ. Không cần làm gì thêm.</v>
      </c>
      <c r="K8" s="4"/>
      <c r="L8" s="4"/>
      <c r="M8" s="4"/>
      <c r="N8" s="4"/>
      <c r="O8" s="4"/>
      <c r="P8" s="4"/>
      <c r="Q8" s="4"/>
      <c r="R8" s="4"/>
      <c r="S8" s="4"/>
      <c r="T8" s="4"/>
      <c r="U8" s="4"/>
      <c r="V8" s="4"/>
      <c r="W8" s="4"/>
      <c r="X8" s="4"/>
      <c r="Y8" s="4"/>
      <c r="Z8" s="4"/>
    </row>
    <row r="9" customFormat="false" ht="35.25" hidden="false" customHeight="true" outlineLevel="0" collapsed="false">
      <c r="A9" s="209" t="s">
        <v>3327</v>
      </c>
      <c r="B9" s="210" t="str">
        <f aca="false">IFERROR(HYPERLINK("#'DL11. Buổi học'!A"&amp;MATCH("SES-006",'DL11. Buổi học'!A:A,0),"SES-006"),"SES-006")</f>
        <v>SES-006</v>
      </c>
      <c r="C9" s="210" t="str">
        <f aca="false">IFERROR(HYPERLINK("#'DL11. Buổi học'!A"&amp;MATCH("HV004",'DL09. Học viên'!A:A,0),"HV004"),"HV004")</f>
        <v>HV004</v>
      </c>
      <c r="D9" s="209" t="s">
        <v>2560</v>
      </c>
      <c r="E9" s="209" t="s">
        <v>1044</v>
      </c>
      <c r="F9" s="209"/>
      <c r="G9" s="211" t="n">
        <v>46201.75</v>
      </c>
      <c r="H9" s="209" t="s">
        <v>1167</v>
      </c>
      <c r="I9" s="209"/>
      <c r="J9" s="212" t="str">
        <f aca="true" t="array" ref="J9:J9">IF(AND(ISNUMBER(SEARCH("no_show",E9)),ISNUMBER(SEARCH("unexcused",F9)),IFERROR((NOW()-VLOOKUP(B9,'DL11. Buổi học'!A:D,4,FALSE()))*24,0)&gt;slaAbsenceCall_hours),INDEX('CH4. Thông điệp nhắc việc'!$G:$G,MATCH("NA070",'CH4. Thông điệp nhắc việc'!$A:$A,0)),IF(AND(ISNUMBER(SEARCH("no_show",E9)),ISNUMBER(SEARCH("unexcused",F9))),INDEX('CH4. Thông điệp nhắc việc'!$G:$G,MATCH("NA025",'CH4. Thông điệp nhắc việc'!$A:$A,0)),IF(AND(ISNUMBER(SEARCH("no_show",E9)),ISNUMBER(SEARCH("excused",F9))),INDEX('CH4. Thông điệp nhắc việc'!$G:$G,MATCH("NA026",'CH4. Thông điệp nhắc việc'!$A:$A,0)),IF(ISNUMBER(SEARCH("late",E9)),INDEX('CH4. Thông điệp nhắc việc'!$G:$G,MATCH("NA027",'CH4. Thông điệp nhắc việc'!$A:$A,0)),IF(ISNUMBER(SEARCH("on_time",E9)),INDEX('CH4. Thông điệp nhắc việc'!$G:$G,MATCH("NA028",'CH4. Thông điệp nhắc việc'!$A:$A,0)),"")))))</f>
        <v>HV đã điểm danh, đi học đúng giờ. Không cần làm gì thêm.</v>
      </c>
      <c r="K9" s="4"/>
      <c r="L9" s="4"/>
      <c r="M9" s="4"/>
      <c r="N9" s="4"/>
      <c r="O9" s="4"/>
      <c r="P9" s="4"/>
      <c r="Q9" s="4"/>
      <c r="R9" s="4"/>
      <c r="S9" s="4"/>
      <c r="T9" s="4"/>
      <c r="U9" s="4"/>
      <c r="V9" s="4"/>
      <c r="W9" s="4"/>
      <c r="X9" s="4"/>
      <c r="Y9" s="4"/>
      <c r="Z9" s="4"/>
    </row>
    <row r="10" customFormat="false" ht="35.25" hidden="false" customHeight="true" outlineLevel="0" collapsed="false">
      <c r="A10" s="209" t="s">
        <v>3328</v>
      </c>
      <c r="B10" s="210" t="str">
        <f aca="false">IFERROR(HYPERLINK("#'DL11. Buổi học'!A"&amp;MATCH("SES-007",'DL11. Buổi học'!A:A,0),"SES-007"),"SES-007")</f>
        <v>SES-007</v>
      </c>
      <c r="C10" s="210" t="str">
        <f aca="false">IFERROR(HYPERLINK("#'DL11. Buổi học'!A"&amp;MATCH("HV005",'DL09. Học viên'!A:A,0),"HV005"),"HV005")</f>
        <v>HV005</v>
      </c>
      <c r="D10" s="209" t="s">
        <v>2563</v>
      </c>
      <c r="E10" s="209" t="s">
        <v>1133</v>
      </c>
      <c r="F10" s="209" t="s">
        <v>1138</v>
      </c>
      <c r="G10" s="211"/>
      <c r="H10" s="209"/>
      <c r="I10" s="209" t="s">
        <v>3324</v>
      </c>
      <c r="J10" s="212" t="str">
        <f aca="true" t="array" ref="J10:J10">IF(AND(ISNUMBER(SEARCH("no_show",E10)),ISNUMBER(SEARCH("unexcused",F10)),IFERROR((NOW()-VLOOKUP(B10,'DL11. Buổi học'!A:D,4,FALSE()))*24,0)&gt;slaAbsenceCall_hours),INDEX('CH4. Thông điệp nhắc việc'!$G:$G,MATCH("NA070",'CH4. Thông điệp nhắc việc'!$A:$A,0)),IF(AND(ISNUMBER(SEARCH("no_show",E10)),ISNUMBER(SEARCH("unexcused",F10))),INDEX('CH4. Thông điệp nhắc việc'!$G:$G,MATCH("NA025",'CH4. Thông điệp nhắc việc'!$A:$A,0)),IF(AND(ISNUMBER(SEARCH("no_show",E10)),ISNUMBER(SEARCH("excused",F10))),INDEX('CH4. Thông điệp nhắc việc'!$G:$G,MATCH("NA026",'CH4. Thông điệp nhắc việc'!$A:$A,0)),IF(ISNUMBER(SEARCH("late",E10)),INDEX('CH4. Thông điệp nhắc việc'!$G:$G,MATCH("NA027",'CH4. Thông điệp nhắc việc'!$A:$A,0)),IF(ISNUMBER(SEARCH("on_time",E10)),INDEX('CH4. Thông điệp nhắc việc'!$G:$G,MATCH("NA028",'CH4. Thông điệp nhắc việc'!$A:$A,0)),"")))))</f>
        <v>HV vắng không phép đã quá 24 giờ (cấu hình slaAbsenceCall_hours). Việc cần làm: GỌI HV/phụ huynh ngay.</v>
      </c>
      <c r="K10" s="4"/>
      <c r="L10" s="4"/>
      <c r="M10" s="4"/>
      <c r="N10" s="4"/>
      <c r="O10" s="4"/>
      <c r="P10" s="4"/>
      <c r="Q10" s="4"/>
      <c r="R10" s="4"/>
      <c r="S10" s="4"/>
      <c r="T10" s="4"/>
      <c r="U10" s="4"/>
      <c r="V10" s="4"/>
      <c r="W10" s="4"/>
      <c r="X10" s="4"/>
      <c r="Y10" s="4"/>
      <c r="Z10" s="4"/>
    </row>
    <row r="11" customFormat="false" ht="35.25" hidden="false" customHeight="true" outlineLevel="0" collapsed="false">
      <c r="A11" s="209" t="s">
        <v>3329</v>
      </c>
      <c r="B11" s="210" t="str">
        <f aca="false">IFERROR(HYPERLINK("#'DL11. Buổi học'!A"&amp;MATCH("SES-012",'DL11. Buổi học'!A:A,0),"SES-012"),"SES-012")</f>
        <v>SES-012</v>
      </c>
      <c r="C11" s="210" t="str">
        <f aca="false">IFERROR(HYPERLINK("#'DL11. Buổi học'!A"&amp;MATCH("HV005",'DL09. Học viên'!A:A,0),"HV005"),"HV005")</f>
        <v>HV005</v>
      </c>
      <c r="D11" s="209" t="s">
        <v>2563</v>
      </c>
      <c r="E11" s="209" t="s">
        <v>1133</v>
      </c>
      <c r="F11" s="209" t="s">
        <v>1138</v>
      </c>
      <c r="G11" s="211"/>
      <c r="H11" s="209"/>
      <c r="I11" s="209" t="s">
        <v>3324</v>
      </c>
      <c r="J11" s="212" t="str">
        <f aca="true" t="array" ref="J11:J11">IF(AND(ISNUMBER(SEARCH("no_show",E11)),ISNUMBER(SEARCH("unexcused",F11)),IFERROR((NOW()-VLOOKUP(B11,'DL11. Buổi học'!A:D,4,FALSE()))*24,0)&gt;slaAbsenceCall_hours),INDEX('CH4. Thông điệp nhắc việc'!$G:$G,MATCH("NA070",'CH4. Thông điệp nhắc việc'!$A:$A,0)),IF(AND(ISNUMBER(SEARCH("no_show",E11)),ISNUMBER(SEARCH("unexcused",F11))),INDEX('CH4. Thông điệp nhắc việc'!$G:$G,MATCH("NA025",'CH4. Thông điệp nhắc việc'!$A:$A,0)),IF(AND(ISNUMBER(SEARCH("no_show",E11)),ISNUMBER(SEARCH("excused",F11))),INDEX('CH4. Thông điệp nhắc việc'!$G:$G,MATCH("NA026",'CH4. Thông điệp nhắc việc'!$A:$A,0)),IF(ISNUMBER(SEARCH("late",E11)),INDEX('CH4. Thông điệp nhắc việc'!$G:$G,MATCH("NA027",'CH4. Thông điệp nhắc việc'!$A:$A,0)),IF(ISNUMBER(SEARCH("on_time",E11)),INDEX('CH4. Thông điệp nhắc việc'!$G:$G,MATCH("NA028",'CH4. Thông điệp nhắc việc'!$A:$A,0)),"")))))</f>
        <v>HV vắng không phép đã quá 24 giờ (cấu hình slaAbsenceCall_hours). Việc cần làm: GỌI HV/phụ huynh ngay.</v>
      </c>
      <c r="K11" s="4"/>
      <c r="L11" s="4"/>
      <c r="M11" s="4"/>
      <c r="N11" s="4"/>
      <c r="O11" s="4"/>
      <c r="P11" s="4"/>
      <c r="Q11" s="4"/>
      <c r="R11" s="4"/>
      <c r="S11" s="4"/>
      <c r="T11" s="4"/>
      <c r="U11" s="4"/>
      <c r="V11" s="4"/>
      <c r="W11" s="4"/>
      <c r="X11" s="4"/>
      <c r="Y11" s="4"/>
      <c r="Z11" s="4"/>
    </row>
    <row r="12" customFormat="false" ht="35.25" hidden="false" customHeight="true" outlineLevel="0" collapsed="false">
      <c r="A12" s="209" t="s">
        <v>3330</v>
      </c>
      <c r="B12" s="210" t="str">
        <f aca="false">IFERROR(HYPERLINK("#'DL11. Buổi học'!A"&amp;MATCH("SES-013",'DL11. Buổi học'!A:A,0),"SES-013"),"SES-013")</f>
        <v>SES-013</v>
      </c>
      <c r="C12" s="210" t="str">
        <f aca="false">IFERROR(HYPERLINK("#'DL11. Buổi học'!A"&amp;MATCH("HV005",'DL09. Học viên'!A:A,0),"HV005"),"HV005")</f>
        <v>HV005</v>
      </c>
      <c r="D12" s="209" t="s">
        <v>2563</v>
      </c>
      <c r="E12" s="209" t="s">
        <v>1133</v>
      </c>
      <c r="F12" s="209" t="s">
        <v>1136</v>
      </c>
      <c r="G12" s="211"/>
      <c r="H12" s="209"/>
      <c r="I12" s="209" t="s">
        <v>3331</v>
      </c>
      <c r="J12" s="212" t="str">
        <f aca="true" t="array" ref="J12:J12">IF(AND(ISNUMBER(SEARCH("no_show",E12)),ISNUMBER(SEARCH("unexcused",F12)),IFERROR((NOW()-VLOOKUP(B12,'DL11. Buổi học'!A:D,4,FALSE()))*24,0)&gt;slaAbsenceCall_hours),INDEX('CH4. Thông điệp nhắc việc'!$G:$G,MATCH("NA070",'CH4. Thông điệp nhắc việc'!$A:$A,0)),IF(AND(ISNUMBER(SEARCH("no_show",E12)),ISNUMBER(SEARCH("unexcused",F12))),INDEX('CH4. Thông điệp nhắc việc'!$G:$G,MATCH("NA025",'CH4. Thông điệp nhắc việc'!$A:$A,0)),IF(AND(ISNUMBER(SEARCH("no_show",E12)),ISNUMBER(SEARCH("excused",F12))),INDEX('CH4. Thông điệp nhắc việc'!$G:$G,MATCH("NA026",'CH4. Thông điệp nhắc việc'!$A:$A,0)),IF(ISNUMBER(SEARCH("late",E12)),INDEX('CH4. Thông điệp nhắc việc'!$G:$G,MATCH("NA027",'CH4. Thông điệp nhắc việc'!$A:$A,0)),IF(ISNUMBER(SEARCH("on_time",E12)),INDEX('CH4. Thông điệp nhắc việc'!$G:$G,MATCH("NA028",'CH4. Thông điệp nhắc việc'!$A:$A,0)),"")))))</f>
        <v>HV vắng có phép. Việc cần làm: đề xuất buổi WOW để học bù.</v>
      </c>
      <c r="K12" s="4"/>
      <c r="L12" s="4"/>
      <c r="M12" s="4"/>
      <c r="N12" s="4"/>
      <c r="O12" s="4"/>
      <c r="P12" s="4"/>
      <c r="Q12" s="4"/>
      <c r="R12" s="4"/>
      <c r="S12" s="4"/>
      <c r="T12" s="4"/>
      <c r="U12" s="4"/>
      <c r="V12" s="4"/>
      <c r="W12" s="4"/>
      <c r="X12" s="4"/>
      <c r="Y12" s="4"/>
      <c r="Z12" s="4"/>
    </row>
    <row r="13" customFormat="false" ht="35.25" hidden="false" customHeight="true" outlineLevel="0" collapsed="false">
      <c r="A13" s="209" t="s">
        <v>3332</v>
      </c>
      <c r="B13" s="210" t="str">
        <f aca="false">IFERROR(HYPERLINK("#'DL11. Buổi học'!A"&amp;MATCH("SES-015",'DL11. Buổi học'!A:A,0),"SES-015"),"SES-015")</f>
        <v>SES-015</v>
      </c>
      <c r="C13" s="210" t="str">
        <f aca="false">IFERROR(HYPERLINK("#'DL11. Buổi học'!A"&amp;MATCH("HV005",'DL09. Học viên'!A:A,0),"HV005"),"HV005")</f>
        <v>HV005</v>
      </c>
      <c r="D13" s="209" t="s">
        <v>2563</v>
      </c>
      <c r="E13" s="209" t="s">
        <v>1044</v>
      </c>
      <c r="F13" s="209"/>
      <c r="G13" s="211" t="n">
        <v>46205.7916666667</v>
      </c>
      <c r="H13" s="209" t="s">
        <v>1171</v>
      </c>
      <c r="I13" s="209"/>
      <c r="J13" s="212" t="str">
        <f aca="true" t="array" ref="J13:J13">IF(AND(ISNUMBER(SEARCH("no_show",E13)),ISNUMBER(SEARCH("unexcused",F13)),IFERROR((NOW()-VLOOKUP(B13,'DL11. Buổi học'!A:D,4,FALSE()))*24,0)&gt;slaAbsenceCall_hours),INDEX('CH4. Thông điệp nhắc việc'!$G:$G,MATCH("NA070",'CH4. Thông điệp nhắc việc'!$A:$A,0)),IF(AND(ISNUMBER(SEARCH("no_show",E13)),ISNUMBER(SEARCH("unexcused",F13))),INDEX('CH4. Thông điệp nhắc việc'!$G:$G,MATCH("NA025",'CH4. Thông điệp nhắc việc'!$A:$A,0)),IF(AND(ISNUMBER(SEARCH("no_show",E13)),ISNUMBER(SEARCH("excused",F13))),INDEX('CH4. Thông điệp nhắc việc'!$G:$G,MATCH("NA026",'CH4. Thông điệp nhắc việc'!$A:$A,0)),IF(ISNUMBER(SEARCH("late",E13)),INDEX('CH4. Thông điệp nhắc việc'!$G:$G,MATCH("NA027",'CH4. Thông điệp nhắc việc'!$A:$A,0)),IF(ISNUMBER(SEARCH("on_time",E13)),INDEX('CH4. Thông điệp nhắc việc'!$G:$G,MATCH("NA028",'CH4. Thông điệp nhắc việc'!$A:$A,0)),"")))))</f>
        <v>HV đã điểm danh, đi học đúng giờ. Không cần làm gì thêm.</v>
      </c>
      <c r="K13" s="4"/>
      <c r="L13" s="4"/>
      <c r="M13" s="4"/>
      <c r="N13" s="4"/>
      <c r="O13" s="4"/>
      <c r="P13" s="4"/>
      <c r="Q13" s="4"/>
      <c r="R13" s="4"/>
      <c r="S13" s="4"/>
      <c r="T13" s="4"/>
      <c r="U13" s="4"/>
      <c r="V13" s="4"/>
      <c r="W13" s="4"/>
      <c r="X13" s="4"/>
      <c r="Y13" s="4"/>
      <c r="Z13" s="4"/>
    </row>
    <row r="14" customFormat="false" ht="35.25" hidden="false" customHeight="true" outlineLevel="0" collapsed="false">
      <c r="A14" s="209" t="s">
        <v>3333</v>
      </c>
      <c r="B14" s="210" t="str">
        <f aca="false">IFERROR(HYPERLINK("#'DL11. Buổi học'!A"&amp;MATCH("SES-008",'DL11. Buổi học'!A:A,0),"SES-008"),"SES-008")</f>
        <v>SES-008</v>
      </c>
      <c r="C14" s="210" t="str">
        <f aca="false">IFERROR(HYPERLINK("#'DL11. Buổi học'!A"&amp;MATCH("HV002",'DL09. Học viên'!A:A,0),"HV002"),"HV002")</f>
        <v>HV002</v>
      </c>
      <c r="D14" s="209" t="s">
        <v>2552</v>
      </c>
      <c r="E14" s="209" t="s">
        <v>1044</v>
      </c>
      <c r="F14" s="209"/>
      <c r="G14" s="211" t="n">
        <v>46194.75</v>
      </c>
      <c r="H14" s="209" t="s">
        <v>1167</v>
      </c>
      <c r="I14" s="209"/>
      <c r="J14" s="212" t="str">
        <f aca="true" t="array" ref="J14:J14">IF(AND(ISNUMBER(SEARCH("no_show",E14)),ISNUMBER(SEARCH("unexcused",F14)),IFERROR((NOW()-VLOOKUP(B14,'DL11. Buổi học'!A:D,4,FALSE()))*24,0)&gt;slaAbsenceCall_hours),INDEX('CH4. Thông điệp nhắc việc'!$G:$G,MATCH("NA070",'CH4. Thông điệp nhắc việc'!$A:$A,0)),IF(AND(ISNUMBER(SEARCH("no_show",E14)),ISNUMBER(SEARCH("unexcused",F14))),INDEX('CH4. Thông điệp nhắc việc'!$G:$G,MATCH("NA025",'CH4. Thông điệp nhắc việc'!$A:$A,0)),IF(AND(ISNUMBER(SEARCH("no_show",E14)),ISNUMBER(SEARCH("excused",F14))),INDEX('CH4. Thông điệp nhắc việc'!$G:$G,MATCH("NA026",'CH4. Thông điệp nhắc việc'!$A:$A,0)),IF(ISNUMBER(SEARCH("late",E14)),INDEX('CH4. Thông điệp nhắc việc'!$G:$G,MATCH("NA027",'CH4. Thông điệp nhắc việc'!$A:$A,0)),IF(ISNUMBER(SEARCH("on_time",E14)),INDEX('CH4. Thông điệp nhắc việc'!$G:$G,MATCH("NA028",'CH4. Thông điệp nhắc việc'!$A:$A,0)),"")))))</f>
        <v>HV đã điểm danh, đi học đúng giờ. Không cần làm gì thêm.</v>
      </c>
      <c r="K14" s="4"/>
      <c r="L14" s="4"/>
      <c r="M14" s="4"/>
      <c r="N14" s="4"/>
      <c r="O14" s="4"/>
      <c r="P14" s="4"/>
      <c r="Q14" s="4"/>
      <c r="R14" s="4"/>
      <c r="S14" s="4"/>
      <c r="T14" s="4"/>
      <c r="U14" s="4"/>
      <c r="V14" s="4"/>
      <c r="W14" s="4"/>
      <c r="X14" s="4"/>
      <c r="Y14" s="4"/>
      <c r="Z14" s="4"/>
    </row>
    <row r="15" customFormat="false" ht="35.25" hidden="false" customHeight="true" outlineLevel="0" collapsed="false">
      <c r="A15" s="209" t="s">
        <v>3334</v>
      </c>
      <c r="B15" s="210" t="str">
        <f aca="false">IFERROR(HYPERLINK("#'DL11. Buổi học'!A"&amp;MATCH("SES-009",'DL11. Buổi học'!A:A,0),"SES-009"),"SES-009")</f>
        <v>SES-009</v>
      </c>
      <c r="C15" s="210" t="str">
        <f aca="false">IFERROR(HYPERLINK("#'DL11. Buổi học'!A"&amp;MATCH("HV001",'DL09. Học viên'!A:A,0),"HV001"),"HV001")</f>
        <v>HV001</v>
      </c>
      <c r="D15" s="209" t="s">
        <v>2548</v>
      </c>
      <c r="E15" s="209" t="s">
        <v>1132</v>
      </c>
      <c r="F15" s="209"/>
      <c r="G15" s="211" t="n">
        <v>46206.7604166667</v>
      </c>
      <c r="H15" s="209" t="s">
        <v>1169</v>
      </c>
      <c r="I15" s="209"/>
      <c r="J15" s="212" t="str">
        <f aca="true" t="array" ref="J15:J15">IF(AND(ISNUMBER(SEARCH("no_show",E15)),ISNUMBER(SEARCH("unexcused",F15)),IFERROR((NOW()-VLOOKUP(B15,'DL11. Buổi học'!A:D,4,FALSE()))*24,0)&gt;slaAbsenceCall_hours),INDEX('CH4. Thông điệp nhắc việc'!$G:$G,MATCH("NA070",'CH4. Thông điệp nhắc việc'!$A:$A,0)),IF(AND(ISNUMBER(SEARCH("no_show",E15)),ISNUMBER(SEARCH("unexcused",F15))),INDEX('CH4. Thông điệp nhắc việc'!$G:$G,MATCH("NA025",'CH4. Thông điệp nhắc việc'!$A:$A,0)),IF(AND(ISNUMBER(SEARCH("no_show",E15)),ISNUMBER(SEARCH("excused",F15))),INDEX('CH4. Thông điệp nhắc việc'!$G:$G,MATCH("NA026",'CH4. Thông điệp nhắc việc'!$A:$A,0)),IF(ISNUMBER(SEARCH("late",E15)),INDEX('CH4. Thông điệp nhắc việc'!$G:$G,MATCH("NA027",'CH4. Thông điệp nhắc việc'!$A:$A,0)),IF(ISNUMBER(SEARCH("on_time",E15)),INDEX('CH4. Thông điệp nhắc việc'!$G:$G,MATCH("NA028",'CH4. Thông điệp nhắc việc'!$A:$A,0)),"")))))</f>
        <v>HV đi học trễ. Việc cần làm: nhắc nhở HV đi đúng giờ.</v>
      </c>
      <c r="K15" s="4"/>
      <c r="L15" s="4"/>
      <c r="M15" s="4"/>
      <c r="N15" s="4"/>
      <c r="O15" s="4"/>
      <c r="P15" s="4"/>
      <c r="Q15" s="4"/>
      <c r="R15" s="4"/>
      <c r="S15" s="4"/>
      <c r="T15" s="4"/>
      <c r="U15" s="4"/>
      <c r="V15" s="4"/>
      <c r="W15" s="4"/>
      <c r="X15" s="4"/>
      <c r="Y15" s="4"/>
      <c r="Z15" s="4"/>
    </row>
    <row r="16" customFormat="false" ht="35.25" hidden="false" customHeight="true" outlineLevel="0" collapsed="false">
      <c r="A16" s="209" t="s">
        <v>3335</v>
      </c>
      <c r="B16" s="210" t="str">
        <f aca="false">IFERROR(HYPERLINK("#'DL11. Buổi học'!A"&amp;MATCH("SES-016",'DL11. Buổi học'!A:A,0),"SES-016"),"SES-016")</f>
        <v>SES-016</v>
      </c>
      <c r="C16" s="210" t="str">
        <f aca="false">IFERROR(HYPERLINK("#'DL11. Buổi học'!A"&amp;MATCH("HV001",'DL09. Học viên'!A:A,0),"HV001"),"HV001")</f>
        <v>HV001</v>
      </c>
      <c r="D16" s="209" t="s">
        <v>2548</v>
      </c>
      <c r="E16" s="209" t="s">
        <v>1044</v>
      </c>
      <c r="F16" s="209"/>
      <c r="G16" s="211" t="n">
        <v>46204.75</v>
      </c>
      <c r="H16" s="209" t="s">
        <v>1167</v>
      </c>
      <c r="I16" s="209"/>
      <c r="J16" s="212" t="str">
        <f aca="true" t="array" ref="J16:J16">IF(AND(ISNUMBER(SEARCH("no_show",E16)),ISNUMBER(SEARCH("unexcused",F16)),IFERROR((NOW()-VLOOKUP(B16,'DL11. Buổi học'!A:D,4,FALSE()))*24,0)&gt;slaAbsenceCall_hours),INDEX('CH4. Thông điệp nhắc việc'!$G:$G,MATCH("NA070",'CH4. Thông điệp nhắc việc'!$A:$A,0)),IF(AND(ISNUMBER(SEARCH("no_show",E16)),ISNUMBER(SEARCH("unexcused",F16))),INDEX('CH4. Thông điệp nhắc việc'!$G:$G,MATCH("NA025",'CH4. Thông điệp nhắc việc'!$A:$A,0)),IF(AND(ISNUMBER(SEARCH("no_show",E16)),ISNUMBER(SEARCH("excused",F16))),INDEX('CH4. Thông điệp nhắc việc'!$G:$G,MATCH("NA026",'CH4. Thông điệp nhắc việc'!$A:$A,0)),IF(ISNUMBER(SEARCH("late",E16)),INDEX('CH4. Thông điệp nhắc việc'!$G:$G,MATCH("NA027",'CH4. Thông điệp nhắc việc'!$A:$A,0)),IF(ISNUMBER(SEARCH("on_time",E16)),INDEX('CH4. Thông điệp nhắc việc'!$G:$G,MATCH("NA028",'CH4. Thông điệp nhắc việc'!$A:$A,0)),"")))))</f>
        <v>HV đã điểm danh, đi học đúng giờ. Không cần làm gì thêm.</v>
      </c>
      <c r="K16" s="4"/>
      <c r="L16" s="4"/>
      <c r="M16" s="4"/>
      <c r="N16" s="4"/>
      <c r="O16" s="4"/>
      <c r="P16" s="4"/>
      <c r="Q16" s="4"/>
      <c r="R16" s="4"/>
      <c r="S16" s="4"/>
      <c r="T16" s="4"/>
      <c r="U16" s="4"/>
      <c r="V16" s="4"/>
      <c r="W16" s="4"/>
      <c r="X16" s="4"/>
      <c r="Y16" s="4"/>
      <c r="Z16" s="4"/>
    </row>
    <row r="17" customFormat="false" ht="35.25" hidden="false" customHeight="true" outlineLevel="0" collapsed="false">
      <c r="A17" s="209" t="s">
        <v>3336</v>
      </c>
      <c r="B17" s="210" t="str">
        <f aca="false">IFERROR(HYPERLINK("#'DL11. Buổi học'!A"&amp;MATCH("SES-016",'DL11. Buổi học'!A:A,0),"SES-016"),"SES-016")</f>
        <v>SES-016</v>
      </c>
      <c r="C17" s="210" t="str">
        <f aca="false">IFERROR(HYPERLINK("#'DL11. Buổi học'!A"&amp;MATCH("HV009",'DL09. Học viên'!A:A,0),"HV009"),"HV009")</f>
        <v>HV009</v>
      </c>
      <c r="D17" s="209" t="s">
        <v>2571</v>
      </c>
      <c r="E17" s="209" t="s">
        <v>1044</v>
      </c>
      <c r="F17" s="209"/>
      <c r="G17" s="211" t="n">
        <v>46204.75</v>
      </c>
      <c r="H17" s="209" t="s">
        <v>1167</v>
      </c>
      <c r="I17" s="209"/>
      <c r="J17" s="212" t="str">
        <f aca="true" t="array" ref="J17:J17">IF(AND(ISNUMBER(SEARCH("no_show",E17)),ISNUMBER(SEARCH("unexcused",F17)),IFERROR((NOW()-VLOOKUP(B17,'DL11. Buổi học'!A:D,4,FALSE()))*24,0)&gt;slaAbsenceCall_hours),INDEX('CH4. Thông điệp nhắc việc'!$G:$G,MATCH("NA070",'CH4. Thông điệp nhắc việc'!$A:$A,0)),IF(AND(ISNUMBER(SEARCH("no_show",E17)),ISNUMBER(SEARCH("unexcused",F17))),INDEX('CH4. Thông điệp nhắc việc'!$G:$G,MATCH("NA025",'CH4. Thông điệp nhắc việc'!$A:$A,0)),IF(AND(ISNUMBER(SEARCH("no_show",E17)),ISNUMBER(SEARCH("excused",F17))),INDEX('CH4. Thông điệp nhắc việc'!$G:$G,MATCH("NA026",'CH4. Thông điệp nhắc việc'!$A:$A,0)),IF(ISNUMBER(SEARCH("late",E17)),INDEX('CH4. Thông điệp nhắc việc'!$G:$G,MATCH("NA027",'CH4. Thông điệp nhắc việc'!$A:$A,0)),IF(ISNUMBER(SEARCH("on_time",E17)),INDEX('CH4. Thông điệp nhắc việc'!$G:$G,MATCH("NA028",'CH4. Thông điệp nhắc việc'!$A:$A,0)),"")))))</f>
        <v>HV đã điểm danh, đi học đúng giờ. Không cần làm gì thêm.</v>
      </c>
      <c r="K17" s="4"/>
      <c r="L17" s="4"/>
      <c r="M17" s="4"/>
      <c r="N17" s="4"/>
      <c r="O17" s="4"/>
      <c r="P17" s="4"/>
      <c r="Q17" s="4"/>
      <c r="R17" s="4"/>
      <c r="S17" s="4"/>
      <c r="T17" s="4"/>
      <c r="U17" s="4"/>
      <c r="V17" s="4"/>
      <c r="W17" s="4"/>
      <c r="X17" s="4"/>
      <c r="Y17" s="4"/>
      <c r="Z17" s="4"/>
    </row>
    <row r="18" customFormat="false" ht="35.25" hidden="false" customHeight="true" outlineLevel="0" collapsed="false">
      <c r="A18" s="209" t="s">
        <v>3337</v>
      </c>
      <c r="B18" s="210" t="str">
        <f aca="false">IFERROR(HYPERLINK("#'DL11. Buổi học'!A"&amp;MATCH("SES-016",'DL11. Buổi học'!A:A,0),"SES-016"),"SES-016")</f>
        <v>SES-016</v>
      </c>
      <c r="C18" s="210" t="str">
        <f aca="false">IFERROR(HYPERLINK("#'DL11. Buổi học'!A"&amp;MATCH("HV010",'DL09. Học viên'!A:A,0),"HV010"),"HV010")</f>
        <v>HV010</v>
      </c>
      <c r="D18" s="209" t="s">
        <v>2575</v>
      </c>
      <c r="E18" s="209" t="s">
        <v>1044</v>
      </c>
      <c r="F18" s="209"/>
      <c r="G18" s="211" t="n">
        <v>46204.75</v>
      </c>
      <c r="H18" s="209" t="s">
        <v>1169</v>
      </c>
      <c r="I18" s="209"/>
      <c r="J18" s="212" t="str">
        <f aca="true" t="array" ref="J18:J18">IF(AND(ISNUMBER(SEARCH("no_show",E18)),ISNUMBER(SEARCH("unexcused",F18)),IFERROR((NOW()-VLOOKUP(B18,'DL11. Buổi học'!A:D,4,FALSE()))*24,0)&gt;slaAbsenceCall_hours),INDEX('CH4. Thông điệp nhắc việc'!$G:$G,MATCH("NA070",'CH4. Thông điệp nhắc việc'!$A:$A,0)),IF(AND(ISNUMBER(SEARCH("no_show",E18)),ISNUMBER(SEARCH("unexcused",F18))),INDEX('CH4. Thông điệp nhắc việc'!$G:$G,MATCH("NA025",'CH4. Thông điệp nhắc việc'!$A:$A,0)),IF(AND(ISNUMBER(SEARCH("no_show",E18)),ISNUMBER(SEARCH("excused",F18))),INDEX('CH4. Thông điệp nhắc việc'!$G:$G,MATCH("NA026",'CH4. Thông điệp nhắc việc'!$A:$A,0)),IF(ISNUMBER(SEARCH("late",E18)),INDEX('CH4. Thông điệp nhắc việc'!$G:$G,MATCH("NA027",'CH4. Thông điệp nhắc việc'!$A:$A,0)),IF(ISNUMBER(SEARCH("on_time",E18)),INDEX('CH4. Thông điệp nhắc việc'!$G:$G,MATCH("NA028",'CH4. Thông điệp nhắc việc'!$A:$A,0)),"")))))</f>
        <v>HV đã điểm danh, đi học đúng giờ. Không cần làm gì thêm.</v>
      </c>
      <c r="K18" s="4"/>
      <c r="L18" s="4"/>
      <c r="M18" s="4"/>
      <c r="N18" s="4"/>
      <c r="O18" s="4"/>
      <c r="P18" s="4"/>
      <c r="Q18" s="4"/>
      <c r="R18" s="4"/>
      <c r="S18" s="4"/>
      <c r="T18" s="4"/>
      <c r="U18" s="4"/>
      <c r="V18" s="4"/>
      <c r="W18" s="4"/>
      <c r="X18" s="4"/>
      <c r="Y18" s="4"/>
      <c r="Z18" s="4"/>
    </row>
    <row r="19" customFormat="false" ht="35.25" hidden="false" customHeight="true" outlineLevel="0" collapsed="false">
      <c r="A19" s="209" t="s">
        <v>3338</v>
      </c>
      <c r="B19" s="210" t="str">
        <f aca="false">IFERROR(HYPERLINK("#'DL11. Buổi học'!A"&amp;MATCH("SES-018",'DL11. Buổi học'!A:A,0),"SES-018"),"SES-018")</f>
        <v>SES-018</v>
      </c>
      <c r="C19" s="210" t="str">
        <f aca="false">IFERROR(HYPERLINK("#'DL11. Buổi học'!A"&amp;MATCH("HV002",'DL09. Học viên'!A:A,0),"HV002"),"HV002")</f>
        <v>HV002</v>
      </c>
      <c r="D19" s="209" t="s">
        <v>2552</v>
      </c>
      <c r="E19" s="209" t="s">
        <v>1044</v>
      </c>
      <c r="F19" s="209"/>
      <c r="G19" s="211" t="n">
        <v>46201.75</v>
      </c>
      <c r="H19" s="209" t="s">
        <v>1167</v>
      </c>
      <c r="I19" s="209"/>
      <c r="J19" s="212" t="str">
        <f aca="true" t="array" ref="J19:J19">IF(AND(ISNUMBER(SEARCH("no_show",E19)),ISNUMBER(SEARCH("unexcused",F19)),IFERROR((NOW()-VLOOKUP(B19,'DL11. Buổi học'!A:D,4,FALSE()))*24,0)&gt;slaAbsenceCall_hours),INDEX('CH4. Thông điệp nhắc việc'!$G:$G,MATCH("NA070",'CH4. Thông điệp nhắc việc'!$A:$A,0)),IF(AND(ISNUMBER(SEARCH("no_show",E19)),ISNUMBER(SEARCH("unexcused",F19))),INDEX('CH4. Thông điệp nhắc việc'!$G:$G,MATCH("NA025",'CH4. Thông điệp nhắc việc'!$A:$A,0)),IF(AND(ISNUMBER(SEARCH("no_show",E19)),ISNUMBER(SEARCH("excused",F19))),INDEX('CH4. Thông điệp nhắc việc'!$G:$G,MATCH("NA026",'CH4. Thông điệp nhắc việc'!$A:$A,0)),IF(ISNUMBER(SEARCH("late",E19)),INDEX('CH4. Thông điệp nhắc việc'!$G:$G,MATCH("NA027",'CH4. Thông điệp nhắc việc'!$A:$A,0)),IF(ISNUMBER(SEARCH("on_time",E19)),INDEX('CH4. Thông điệp nhắc việc'!$G:$G,MATCH("NA028",'CH4. Thông điệp nhắc việc'!$A:$A,0)),"")))))</f>
        <v>HV đã điểm danh, đi học đúng giờ. Không cần làm gì thêm.</v>
      </c>
      <c r="K19" s="4"/>
      <c r="L19" s="4"/>
      <c r="M19" s="4"/>
      <c r="N19" s="4"/>
      <c r="O19" s="4"/>
      <c r="P19" s="4"/>
      <c r="Q19" s="4"/>
      <c r="R19" s="4"/>
      <c r="S19" s="4"/>
      <c r="T19" s="4"/>
      <c r="U19" s="4"/>
      <c r="V19" s="4"/>
      <c r="W19" s="4"/>
      <c r="X19" s="4"/>
      <c r="Y19" s="4"/>
      <c r="Z19" s="4"/>
    </row>
    <row r="20" customFormat="false" ht="35.25" hidden="false" customHeight="true" outlineLevel="0" collapsed="false">
      <c r="A20" s="209" t="s">
        <v>3339</v>
      </c>
      <c r="B20" s="210" t="str">
        <f aca="false">IFERROR(HYPERLINK("#'DL11. Buổi học'!A"&amp;MATCH("SES-018",'DL11. Buổi học'!A:A,0),"SES-018"),"SES-018")</f>
        <v>SES-018</v>
      </c>
      <c r="C20" s="210" t="str">
        <f aca="false">IFERROR(HYPERLINK("#'DL11. Buổi học'!A"&amp;MATCH("HV011",'DL09. Học viên'!A:A,0),"HV011"),"HV011")</f>
        <v>HV011</v>
      </c>
      <c r="D20" s="209" t="s">
        <v>2578</v>
      </c>
      <c r="E20" s="209" t="s">
        <v>1044</v>
      </c>
      <c r="F20" s="209"/>
      <c r="G20" s="211" t="n">
        <v>46201.75</v>
      </c>
      <c r="H20" s="209" t="s">
        <v>1167</v>
      </c>
      <c r="I20" s="209"/>
      <c r="J20" s="212" t="str">
        <f aca="true" t="array" ref="J20:J20">IF(AND(ISNUMBER(SEARCH("no_show",E20)),ISNUMBER(SEARCH("unexcused",F20)),IFERROR((NOW()-VLOOKUP(B20,'DL11. Buổi học'!A:D,4,FALSE()))*24,0)&gt;slaAbsenceCall_hours),INDEX('CH4. Thông điệp nhắc việc'!$G:$G,MATCH("NA070",'CH4. Thông điệp nhắc việc'!$A:$A,0)),IF(AND(ISNUMBER(SEARCH("no_show",E20)),ISNUMBER(SEARCH("unexcused",F20))),INDEX('CH4. Thông điệp nhắc việc'!$G:$G,MATCH("NA025",'CH4. Thông điệp nhắc việc'!$A:$A,0)),IF(AND(ISNUMBER(SEARCH("no_show",E20)),ISNUMBER(SEARCH("excused",F20))),INDEX('CH4. Thông điệp nhắc việc'!$G:$G,MATCH("NA026",'CH4. Thông điệp nhắc việc'!$A:$A,0)),IF(ISNUMBER(SEARCH("late",E20)),INDEX('CH4. Thông điệp nhắc việc'!$G:$G,MATCH("NA027",'CH4. Thông điệp nhắc việc'!$A:$A,0)),IF(ISNUMBER(SEARCH("on_time",E20)),INDEX('CH4. Thông điệp nhắc việc'!$G:$G,MATCH("NA028",'CH4. Thông điệp nhắc việc'!$A:$A,0)),"")))))</f>
        <v>HV đã điểm danh, đi học đúng giờ. Không cần làm gì thêm.</v>
      </c>
      <c r="K20" s="4"/>
      <c r="L20" s="4"/>
      <c r="M20" s="4"/>
      <c r="N20" s="4"/>
      <c r="O20" s="4"/>
      <c r="P20" s="4"/>
      <c r="Q20" s="4"/>
      <c r="R20" s="4"/>
      <c r="S20" s="4"/>
      <c r="T20" s="4"/>
      <c r="U20" s="4"/>
      <c r="V20" s="4"/>
      <c r="W20" s="4"/>
      <c r="X20" s="4"/>
      <c r="Y20" s="4"/>
      <c r="Z20" s="4"/>
    </row>
    <row r="21" customFormat="false" ht="35.25" hidden="false" customHeight="true" outlineLevel="0" collapsed="false">
      <c r="A21" s="209" t="s">
        <v>3340</v>
      </c>
      <c r="B21" s="210" t="str">
        <f aca="false">IFERROR(HYPERLINK("#'DL11. Buổi học'!A"&amp;MATCH("SES-019",'DL11. Buổi học'!A:A,0),"SES-019"),"SES-019")</f>
        <v>SES-019</v>
      </c>
      <c r="C21" s="210" t="str">
        <f aca="false">IFERROR(HYPERLINK("#'DL11. Buổi học'!A"&amp;MATCH("HV002",'DL09. Học viên'!A:A,0),"HV002"),"HV002")</f>
        <v>HV002</v>
      </c>
      <c r="D21" s="209" t="s">
        <v>2552</v>
      </c>
      <c r="E21" s="209" t="s">
        <v>1044</v>
      </c>
      <c r="F21" s="209"/>
      <c r="G21" s="211" t="n">
        <v>46205.75</v>
      </c>
      <c r="H21" s="209" t="s">
        <v>1167</v>
      </c>
      <c r="I21" s="209"/>
      <c r="J21" s="212" t="str">
        <f aca="true" t="array" ref="J21:J21">IF(AND(ISNUMBER(SEARCH("no_show",E21)),ISNUMBER(SEARCH("unexcused",F21)),IFERROR((NOW()-VLOOKUP(B21,'DL11. Buổi học'!A:D,4,FALSE()))*24,0)&gt;slaAbsenceCall_hours),INDEX('CH4. Thông điệp nhắc việc'!$G:$G,MATCH("NA070",'CH4. Thông điệp nhắc việc'!$A:$A,0)),IF(AND(ISNUMBER(SEARCH("no_show",E21)),ISNUMBER(SEARCH("unexcused",F21))),INDEX('CH4. Thông điệp nhắc việc'!$G:$G,MATCH("NA025",'CH4. Thông điệp nhắc việc'!$A:$A,0)),IF(AND(ISNUMBER(SEARCH("no_show",E21)),ISNUMBER(SEARCH("excused",F21))),INDEX('CH4. Thông điệp nhắc việc'!$G:$G,MATCH("NA026",'CH4. Thông điệp nhắc việc'!$A:$A,0)),IF(ISNUMBER(SEARCH("late",E21)),INDEX('CH4. Thông điệp nhắc việc'!$G:$G,MATCH("NA027",'CH4. Thông điệp nhắc việc'!$A:$A,0)),IF(ISNUMBER(SEARCH("on_time",E21)),INDEX('CH4. Thông điệp nhắc việc'!$G:$G,MATCH("NA028",'CH4. Thông điệp nhắc việc'!$A:$A,0)),"")))))</f>
        <v>HV đã điểm danh, đi học đúng giờ. Không cần làm gì thêm.</v>
      </c>
      <c r="K21" s="4"/>
      <c r="L21" s="4"/>
      <c r="M21" s="4"/>
      <c r="N21" s="4"/>
      <c r="O21" s="4"/>
      <c r="P21" s="4"/>
      <c r="Q21" s="4"/>
      <c r="R21" s="4"/>
      <c r="S21" s="4"/>
      <c r="T21" s="4"/>
      <c r="U21" s="4"/>
      <c r="V21" s="4"/>
      <c r="W21" s="4"/>
      <c r="X21" s="4"/>
      <c r="Y21" s="4"/>
      <c r="Z21" s="4"/>
    </row>
    <row r="22" customFormat="false" ht="35.25" hidden="false" customHeight="true" outlineLevel="0" collapsed="false">
      <c r="A22" s="209" t="s">
        <v>3341</v>
      </c>
      <c r="B22" s="210" t="str">
        <f aca="false">IFERROR(HYPERLINK("#'DL11. Buổi học'!A"&amp;MATCH("SES-019",'DL11. Buổi học'!A:A,0),"SES-019"),"SES-019")</f>
        <v>SES-019</v>
      </c>
      <c r="C22" s="210" t="str">
        <f aca="false">IFERROR(HYPERLINK("#'DL11. Buổi học'!A"&amp;MATCH("HV011",'DL09. Học viên'!A:A,0),"HV011"),"HV011")</f>
        <v>HV011</v>
      </c>
      <c r="D22" s="209" t="s">
        <v>2578</v>
      </c>
      <c r="E22" s="209" t="s">
        <v>1132</v>
      </c>
      <c r="F22" s="209"/>
      <c r="G22" s="211" t="n">
        <v>46205.7638888889</v>
      </c>
      <c r="H22" s="209" t="s">
        <v>1169</v>
      </c>
      <c r="I22" s="209"/>
      <c r="J22" s="212" t="str">
        <f aca="true" t="array" ref="J22:J22">IF(AND(ISNUMBER(SEARCH("no_show",E22)),ISNUMBER(SEARCH("unexcused",F22)),IFERROR((NOW()-VLOOKUP(B22,'DL11. Buổi học'!A:D,4,FALSE()))*24,0)&gt;slaAbsenceCall_hours),INDEX('CH4. Thông điệp nhắc việc'!$G:$G,MATCH("NA070",'CH4. Thông điệp nhắc việc'!$A:$A,0)),IF(AND(ISNUMBER(SEARCH("no_show",E22)),ISNUMBER(SEARCH("unexcused",F22))),INDEX('CH4. Thông điệp nhắc việc'!$G:$G,MATCH("NA025",'CH4. Thông điệp nhắc việc'!$A:$A,0)),IF(AND(ISNUMBER(SEARCH("no_show",E22)),ISNUMBER(SEARCH("excused",F22))),INDEX('CH4. Thông điệp nhắc việc'!$G:$G,MATCH("NA026",'CH4. Thông điệp nhắc việc'!$A:$A,0)),IF(ISNUMBER(SEARCH("late",E22)),INDEX('CH4. Thông điệp nhắc việc'!$G:$G,MATCH("NA027",'CH4. Thông điệp nhắc việc'!$A:$A,0)),IF(ISNUMBER(SEARCH("on_time",E22)),INDEX('CH4. Thông điệp nhắc việc'!$G:$G,MATCH("NA028",'CH4. Thông điệp nhắc việc'!$A:$A,0)),"")))))</f>
        <v>HV đi học trễ. Việc cần làm: nhắc nhở HV đi đúng giờ.</v>
      </c>
      <c r="K22" s="4"/>
      <c r="L22" s="4"/>
      <c r="M22" s="4"/>
      <c r="N22" s="4"/>
      <c r="O22" s="4"/>
      <c r="P22" s="4"/>
      <c r="Q22" s="4"/>
      <c r="R22" s="4"/>
      <c r="S22" s="4"/>
      <c r="T22" s="4"/>
      <c r="U22" s="4"/>
      <c r="V22" s="4"/>
      <c r="W22" s="4"/>
      <c r="X22" s="4"/>
      <c r="Y22" s="4"/>
      <c r="Z22" s="4"/>
    </row>
    <row r="23" customFormat="false" ht="35.25" hidden="false" customHeight="true" outlineLevel="0" collapsed="false">
      <c r="A23" s="209" t="s">
        <v>3342</v>
      </c>
      <c r="B23" s="210" t="str">
        <f aca="false">IFERROR(HYPERLINK("#'DL11. Buổi học'!A"&amp;MATCH("SES-020",'DL11. Buổi học'!A:A,0),"SES-020"),"SES-020")</f>
        <v>SES-020</v>
      </c>
      <c r="C23" s="210" t="str">
        <f aca="false">IFERROR(HYPERLINK("#'DL11. Buổi học'!A"&amp;MATCH("HV003",'DL09. Học viên'!A:A,0),"HV003"),"HV003")</f>
        <v>HV003</v>
      </c>
      <c r="D23" s="209" t="s">
        <v>2556</v>
      </c>
      <c r="E23" s="209" t="s">
        <v>1044</v>
      </c>
      <c r="F23" s="209"/>
      <c r="G23" s="211" t="n">
        <v>46206.75</v>
      </c>
      <c r="H23" s="209" t="s">
        <v>1169</v>
      </c>
      <c r="I23" s="209"/>
      <c r="J23" s="212" t="str">
        <f aca="true" t="array" ref="J23:J23">IF(AND(ISNUMBER(SEARCH("no_show",E23)),ISNUMBER(SEARCH("unexcused",F23)),IFERROR((NOW()-VLOOKUP(B23,'DL11. Buổi học'!A:D,4,FALSE()))*24,0)&gt;slaAbsenceCall_hours),INDEX('CH4. Thông điệp nhắc việc'!$G:$G,MATCH("NA070",'CH4. Thông điệp nhắc việc'!$A:$A,0)),IF(AND(ISNUMBER(SEARCH("no_show",E23)),ISNUMBER(SEARCH("unexcused",F23))),INDEX('CH4. Thông điệp nhắc việc'!$G:$G,MATCH("NA025",'CH4. Thông điệp nhắc việc'!$A:$A,0)),IF(AND(ISNUMBER(SEARCH("no_show",E23)),ISNUMBER(SEARCH("excused",F23))),INDEX('CH4. Thông điệp nhắc việc'!$G:$G,MATCH("NA026",'CH4. Thông điệp nhắc việc'!$A:$A,0)),IF(ISNUMBER(SEARCH("late",E23)),INDEX('CH4. Thông điệp nhắc việc'!$G:$G,MATCH("NA027",'CH4. Thông điệp nhắc việc'!$A:$A,0)),IF(ISNUMBER(SEARCH("on_time",E23)),INDEX('CH4. Thông điệp nhắc việc'!$G:$G,MATCH("NA028",'CH4. Thông điệp nhắc việc'!$A:$A,0)),"")))))</f>
        <v>HV đã điểm danh, đi học đúng giờ. Không cần làm gì thêm.</v>
      </c>
      <c r="K23" s="4"/>
      <c r="L23" s="4"/>
      <c r="M23" s="4"/>
      <c r="N23" s="4"/>
      <c r="O23" s="4"/>
      <c r="P23" s="4"/>
      <c r="Q23" s="4"/>
      <c r="R23" s="4"/>
      <c r="S23" s="4"/>
      <c r="T23" s="4"/>
      <c r="U23" s="4"/>
      <c r="V23" s="4"/>
      <c r="W23" s="4"/>
      <c r="X23" s="4"/>
      <c r="Y23" s="4"/>
      <c r="Z23" s="4"/>
    </row>
    <row r="24" customFormat="false" ht="35.25" hidden="false" customHeight="true" outlineLevel="0" collapsed="false">
      <c r="A24" s="209" t="s">
        <v>3343</v>
      </c>
      <c r="B24" s="210" t="str">
        <f aca="false">IFERROR(HYPERLINK("#'DL11. Buổi học'!A"&amp;MATCH("SES-020",'DL11. Buổi học'!A:A,0),"SES-020"),"SES-020")</f>
        <v>SES-020</v>
      </c>
      <c r="C24" s="210" t="str">
        <f aca="false">IFERROR(HYPERLINK("#'DL11. Buổi học'!A"&amp;MATCH("HV012",'DL09. Học viên'!A:A,0),"HV012"),"HV012")</f>
        <v>HV012</v>
      </c>
      <c r="D24" s="209" t="s">
        <v>2581</v>
      </c>
      <c r="E24" s="209" t="s">
        <v>1044</v>
      </c>
      <c r="F24" s="209"/>
      <c r="G24" s="211" t="n">
        <v>46206.75</v>
      </c>
      <c r="H24" s="209" t="s">
        <v>1167</v>
      </c>
      <c r="I24" s="209"/>
      <c r="J24" s="212" t="str">
        <f aca="true" t="array" ref="J24:J24">IF(AND(ISNUMBER(SEARCH("no_show",E24)),ISNUMBER(SEARCH("unexcused",F24)),IFERROR((NOW()-VLOOKUP(B24,'DL11. Buổi học'!A:D,4,FALSE()))*24,0)&gt;slaAbsenceCall_hours),INDEX('CH4. Thông điệp nhắc việc'!$G:$G,MATCH("NA070",'CH4. Thông điệp nhắc việc'!$A:$A,0)),IF(AND(ISNUMBER(SEARCH("no_show",E24)),ISNUMBER(SEARCH("unexcused",F24))),INDEX('CH4. Thông điệp nhắc việc'!$G:$G,MATCH("NA025",'CH4. Thông điệp nhắc việc'!$A:$A,0)),IF(AND(ISNUMBER(SEARCH("no_show",E24)),ISNUMBER(SEARCH("excused",F24))),INDEX('CH4. Thông điệp nhắc việc'!$G:$G,MATCH("NA026",'CH4. Thông điệp nhắc việc'!$A:$A,0)),IF(ISNUMBER(SEARCH("late",E24)),INDEX('CH4. Thông điệp nhắc việc'!$G:$G,MATCH("NA027",'CH4. Thông điệp nhắc việc'!$A:$A,0)),IF(ISNUMBER(SEARCH("on_time",E24)),INDEX('CH4. Thông điệp nhắc việc'!$G:$G,MATCH("NA028",'CH4. Thông điệp nhắc việc'!$A:$A,0)),"")))))</f>
        <v>HV đã điểm danh, đi học đúng giờ. Không cần làm gì thêm.</v>
      </c>
      <c r="K24" s="4"/>
      <c r="L24" s="4"/>
      <c r="M24" s="4"/>
      <c r="N24" s="4"/>
      <c r="O24" s="4"/>
      <c r="P24" s="4"/>
      <c r="Q24" s="4"/>
      <c r="R24" s="4"/>
      <c r="S24" s="4"/>
      <c r="T24" s="4"/>
      <c r="U24" s="4"/>
      <c r="V24" s="4"/>
      <c r="W24" s="4"/>
      <c r="X24" s="4"/>
      <c r="Y24" s="4"/>
      <c r="Z24" s="4"/>
    </row>
    <row r="25" customFormat="false" ht="35.25" hidden="false" customHeight="true" outlineLevel="0" collapsed="false">
      <c r="A25" s="209" t="s">
        <v>3344</v>
      </c>
      <c r="B25" s="210" t="str">
        <f aca="false">IFERROR(HYPERLINK("#'DL11. Buổi học'!A"&amp;MATCH("SES-021",'DL11. Buổi học'!A:A,0),"SES-021"),"SES-021")</f>
        <v>SES-021</v>
      </c>
      <c r="C25" s="210" t="str">
        <f aca="false">IFERROR(HYPERLINK("#'DL11. Buổi học'!A"&amp;MATCH("HV005",'DL09. Học viên'!A:A,0),"HV005"),"HV005")</f>
        <v>HV005</v>
      </c>
      <c r="D25" s="209" t="s">
        <v>2563</v>
      </c>
      <c r="E25" s="209" t="s">
        <v>1044</v>
      </c>
      <c r="F25" s="209"/>
      <c r="G25" s="211" t="n">
        <v>46207.7916666667</v>
      </c>
      <c r="H25" s="209" t="s">
        <v>1169</v>
      </c>
      <c r="I25" s="209"/>
      <c r="J25" s="212" t="str">
        <f aca="true" t="array" ref="J25:J25">IF(AND(ISNUMBER(SEARCH("no_show",E25)),ISNUMBER(SEARCH("unexcused",F25)),IFERROR((NOW()-VLOOKUP(B25,'DL11. Buổi học'!A:D,4,FALSE()))*24,0)&gt;slaAbsenceCall_hours),INDEX('CH4. Thông điệp nhắc việc'!$G:$G,MATCH("NA070",'CH4. Thông điệp nhắc việc'!$A:$A,0)),IF(AND(ISNUMBER(SEARCH("no_show",E25)),ISNUMBER(SEARCH("unexcused",F25))),INDEX('CH4. Thông điệp nhắc việc'!$G:$G,MATCH("NA025",'CH4. Thông điệp nhắc việc'!$A:$A,0)),IF(AND(ISNUMBER(SEARCH("no_show",E25)),ISNUMBER(SEARCH("excused",F25))),INDEX('CH4. Thông điệp nhắc việc'!$G:$G,MATCH("NA026",'CH4. Thông điệp nhắc việc'!$A:$A,0)),IF(ISNUMBER(SEARCH("late",E25)),INDEX('CH4. Thông điệp nhắc việc'!$G:$G,MATCH("NA027",'CH4. Thông điệp nhắc việc'!$A:$A,0)),IF(ISNUMBER(SEARCH("on_time",E25)),INDEX('CH4. Thông điệp nhắc việc'!$G:$G,MATCH("NA028",'CH4. Thông điệp nhắc việc'!$A:$A,0)),"")))))</f>
        <v>HV đã điểm danh, đi học đúng giờ. Không cần làm gì thêm.</v>
      </c>
      <c r="K25" s="4"/>
      <c r="L25" s="4"/>
      <c r="M25" s="4"/>
      <c r="N25" s="4"/>
      <c r="O25" s="4"/>
      <c r="P25" s="4"/>
      <c r="Q25" s="4"/>
      <c r="R25" s="4"/>
      <c r="S25" s="4"/>
      <c r="T25" s="4"/>
      <c r="U25" s="4"/>
      <c r="V25" s="4"/>
      <c r="W25" s="4"/>
      <c r="X25" s="4"/>
      <c r="Y25" s="4"/>
      <c r="Z25" s="4"/>
    </row>
    <row r="26" customFormat="false" ht="35.25" hidden="false" customHeight="true" outlineLevel="0" collapsed="false">
      <c r="A26" s="209" t="s">
        <v>3345</v>
      </c>
      <c r="B26" s="210" t="str">
        <f aca="false">IFERROR(HYPERLINK("#'DL11. Buổi học'!A"&amp;MATCH("SES-021",'DL11. Buổi học'!A:A,0),"SES-021"),"SES-021")</f>
        <v>SES-021</v>
      </c>
      <c r="C26" s="210" t="str">
        <f aca="false">IFERROR(HYPERLINK("#'DL11. Buổi học'!A"&amp;MATCH("HV014",'DL09. Học viên'!A:A,0),"HV014"),"HV014")</f>
        <v>HV014</v>
      </c>
      <c r="D26" s="209" t="s">
        <v>2587</v>
      </c>
      <c r="E26" s="209" t="s">
        <v>1044</v>
      </c>
      <c r="F26" s="209"/>
      <c r="G26" s="211" t="n">
        <v>46207.7916666667</v>
      </c>
      <c r="H26" s="209" t="s">
        <v>1167</v>
      </c>
      <c r="I26" s="209"/>
      <c r="J26" s="212" t="str">
        <f aca="true" t="array" ref="J26:J26">IF(AND(ISNUMBER(SEARCH("no_show",E26)),ISNUMBER(SEARCH("unexcused",F26)),IFERROR((NOW()-VLOOKUP(B26,'DL11. Buổi học'!A:D,4,FALSE()))*24,0)&gt;slaAbsenceCall_hours),INDEX('CH4. Thông điệp nhắc việc'!$G:$G,MATCH("NA070",'CH4. Thông điệp nhắc việc'!$A:$A,0)),IF(AND(ISNUMBER(SEARCH("no_show",E26)),ISNUMBER(SEARCH("unexcused",F26))),INDEX('CH4. Thông điệp nhắc việc'!$G:$G,MATCH("NA025",'CH4. Thông điệp nhắc việc'!$A:$A,0)),IF(AND(ISNUMBER(SEARCH("no_show",E26)),ISNUMBER(SEARCH("excused",F26))),INDEX('CH4. Thông điệp nhắc việc'!$G:$G,MATCH("NA026",'CH4. Thông điệp nhắc việc'!$A:$A,0)),IF(ISNUMBER(SEARCH("late",E26)),INDEX('CH4. Thông điệp nhắc việc'!$G:$G,MATCH("NA027",'CH4. Thông điệp nhắc việc'!$A:$A,0)),IF(ISNUMBER(SEARCH("on_time",E26)),INDEX('CH4. Thông điệp nhắc việc'!$G:$G,MATCH("NA028",'CH4. Thông điệp nhắc việc'!$A:$A,0)),"")))))</f>
        <v>HV đã điểm danh, đi học đúng giờ. Không cần làm gì thêm.</v>
      </c>
      <c r="K26" s="4"/>
      <c r="L26" s="4"/>
      <c r="M26" s="4"/>
      <c r="N26" s="4"/>
      <c r="O26" s="4"/>
      <c r="P26" s="4"/>
      <c r="Q26" s="4"/>
      <c r="R26" s="4"/>
      <c r="S26" s="4"/>
      <c r="T26" s="4"/>
      <c r="U26" s="4"/>
      <c r="V26" s="4"/>
      <c r="W26" s="4"/>
      <c r="X26" s="4"/>
      <c r="Y26" s="4"/>
      <c r="Z26" s="4"/>
    </row>
    <row r="27" customFormat="false" ht="35.25" hidden="false" customHeight="true" outlineLevel="0" collapsed="false">
      <c r="A27" s="209" t="s">
        <v>3346</v>
      </c>
      <c r="B27" s="210" t="str">
        <f aca="false">IFERROR(HYPERLINK("#'DL11. Buổi học'!A"&amp;MATCH("SES-014",'DL11. Buổi học'!A:A,0),"SES-014"),"SES-014")</f>
        <v>SES-014</v>
      </c>
      <c r="C27" s="210" t="str">
        <f aca="false">IFERROR(HYPERLINK("#'DL11. Buổi học'!A"&amp;MATCH("HV013",'DL09. Học viên'!A:A,0),"HV013"),"HV013")</f>
        <v>HV013</v>
      </c>
      <c r="D27" s="209" t="s">
        <v>2584</v>
      </c>
      <c r="E27" s="209" t="s">
        <v>1044</v>
      </c>
      <c r="F27" s="209"/>
      <c r="G27" s="211" t="n">
        <v>46204.75</v>
      </c>
      <c r="H27" s="209" t="s">
        <v>1167</v>
      </c>
      <c r="I27" s="209"/>
      <c r="J27" s="212" t="str">
        <f aca="true" t="array" ref="J27:J27">IF(AND(ISNUMBER(SEARCH("no_show",E27)),ISNUMBER(SEARCH("unexcused",F27)),IFERROR((NOW()-VLOOKUP(B27,'DL11. Buổi học'!A:D,4,FALSE()))*24,0)&gt;slaAbsenceCall_hours),INDEX('CH4. Thông điệp nhắc việc'!$G:$G,MATCH("NA070",'CH4. Thông điệp nhắc việc'!$A:$A,0)),IF(AND(ISNUMBER(SEARCH("no_show",E27)),ISNUMBER(SEARCH("unexcused",F27))),INDEX('CH4. Thông điệp nhắc việc'!$G:$G,MATCH("NA025",'CH4. Thông điệp nhắc việc'!$A:$A,0)),IF(AND(ISNUMBER(SEARCH("no_show",E27)),ISNUMBER(SEARCH("excused",F27))),INDEX('CH4. Thông điệp nhắc việc'!$G:$G,MATCH("NA026",'CH4. Thông điệp nhắc việc'!$A:$A,0)),IF(ISNUMBER(SEARCH("late",E27)),INDEX('CH4. Thông điệp nhắc việc'!$G:$G,MATCH("NA027",'CH4. Thông điệp nhắc việc'!$A:$A,0)),IF(ISNUMBER(SEARCH("on_time",E27)),INDEX('CH4. Thông điệp nhắc việc'!$G:$G,MATCH("NA028",'CH4. Thông điệp nhắc việc'!$A:$A,0)),"")))))</f>
        <v>HV đã điểm danh, đi học đúng giờ. Không cần làm gì thêm.</v>
      </c>
      <c r="K27" s="4"/>
      <c r="L27" s="4"/>
      <c r="M27" s="4"/>
      <c r="N27" s="4"/>
      <c r="O27" s="4"/>
      <c r="P27" s="4"/>
      <c r="Q27" s="4"/>
      <c r="R27" s="4"/>
      <c r="S27" s="4"/>
      <c r="T27" s="4"/>
      <c r="U27" s="4"/>
      <c r="V27" s="4"/>
      <c r="W27" s="4"/>
      <c r="X27" s="4"/>
      <c r="Y27" s="4"/>
      <c r="Z27" s="4"/>
    </row>
    <row r="28" customFormat="false" ht="15.75" hidden="false" customHeight="true" outlineLevel="0" collapsed="false">
      <c r="A28" s="4"/>
      <c r="B28" s="4"/>
      <c r="C28" s="4"/>
      <c r="D28" s="4"/>
      <c r="E28" s="4"/>
      <c r="F28" s="4"/>
      <c r="G28" s="194"/>
      <c r="H28" s="4"/>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4"/>
      <c r="B29" s="4"/>
      <c r="C29" s="4"/>
      <c r="D29" s="4"/>
      <c r="E29" s="4"/>
      <c r="F29" s="4"/>
      <c r="G29" s="19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4"/>
      <c r="B30" s="4"/>
      <c r="C30" s="4"/>
      <c r="D30" s="4"/>
      <c r="E30" s="4"/>
      <c r="F30" s="4"/>
      <c r="G30" s="19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4"/>
      <c r="B31" s="4"/>
      <c r="C31" s="4"/>
      <c r="D31" s="4"/>
      <c r="E31" s="4"/>
      <c r="F31" s="4"/>
      <c r="G31" s="19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4"/>
      <c r="B32" s="4"/>
      <c r="C32" s="4"/>
      <c r="D32" s="4"/>
      <c r="E32" s="4"/>
      <c r="F32" s="4"/>
      <c r="G32" s="19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4"/>
      <c r="B33" s="4"/>
      <c r="C33" s="4"/>
      <c r="D33" s="4"/>
      <c r="E33" s="4"/>
      <c r="F33" s="4"/>
      <c r="G33" s="19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4"/>
      <c r="B34" s="4"/>
      <c r="C34" s="4"/>
      <c r="D34" s="4"/>
      <c r="E34" s="4"/>
      <c r="F34" s="4"/>
      <c r="G34" s="19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c r="B35" s="4"/>
      <c r="C35" s="4"/>
      <c r="D35" s="4"/>
      <c r="E35" s="4"/>
      <c r="F35" s="4"/>
      <c r="G35" s="19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19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19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19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4"/>
      <c r="B39" s="4"/>
      <c r="C39" s="4"/>
      <c r="D39" s="4"/>
      <c r="E39" s="4"/>
      <c r="F39" s="4"/>
      <c r="G39" s="19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4"/>
      <c r="B40" s="4"/>
      <c r="C40" s="4"/>
      <c r="D40" s="4"/>
      <c r="E40" s="4"/>
      <c r="F40" s="4"/>
      <c r="G40" s="19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4"/>
      <c r="B41" s="4"/>
      <c r="C41" s="4"/>
      <c r="D41" s="4"/>
      <c r="E41" s="4"/>
      <c r="F41" s="4"/>
      <c r="G41" s="19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19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19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19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19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19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19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19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19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19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4"/>
      <c r="B51" s="4"/>
      <c r="C51" s="4"/>
      <c r="D51" s="4"/>
      <c r="E51" s="4"/>
      <c r="F51" s="4"/>
      <c r="G51" s="19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19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19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19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19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19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19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19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19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19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194"/>
      <c r="H61" s="4"/>
      <c r="I61" s="4"/>
      <c r="J61" s="4"/>
      <c r="K61" s="4"/>
      <c r="L61" s="4"/>
      <c r="M61" s="4"/>
      <c r="N61" s="4"/>
      <c r="O61" s="4"/>
      <c r="P61" s="4"/>
      <c r="Q61" s="4"/>
      <c r="R61" s="4"/>
      <c r="S61" s="4"/>
      <c r="T61" s="4"/>
      <c r="U61" s="4"/>
      <c r="V61" s="4"/>
      <c r="W61" s="4"/>
      <c r="X61" s="4"/>
      <c r="Y61" s="4"/>
      <c r="Z61" s="4"/>
    </row>
    <row r="62" customFormat="false" ht="15.75" hidden="false" customHeight="true" outlineLevel="0" collapsed="false">
      <c r="A62" s="4"/>
      <c r="B62" s="4"/>
      <c r="C62" s="4"/>
      <c r="D62" s="4"/>
      <c r="E62" s="4"/>
      <c r="F62" s="4"/>
      <c r="G62" s="19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19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19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19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19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19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19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19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19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194"/>
      <c r="H71" s="4"/>
      <c r="I71" s="4"/>
      <c r="J71" s="4"/>
      <c r="K71" s="4"/>
      <c r="L71" s="4"/>
      <c r="M71" s="4"/>
      <c r="N71" s="4"/>
      <c r="O71" s="4"/>
      <c r="P71" s="4"/>
      <c r="Q71" s="4"/>
      <c r="R71" s="4"/>
      <c r="S71" s="4"/>
      <c r="T71" s="4"/>
      <c r="U71" s="4"/>
      <c r="V71" s="4"/>
      <c r="W71" s="4"/>
      <c r="X71" s="4"/>
      <c r="Y71" s="4"/>
      <c r="Z71" s="4"/>
    </row>
    <row r="72" customFormat="false" ht="15.75" hidden="false" customHeight="true" outlineLevel="0" collapsed="false">
      <c r="A72" s="4"/>
      <c r="B72" s="4"/>
      <c r="C72" s="4"/>
      <c r="D72" s="4"/>
      <c r="E72" s="4"/>
      <c r="F72" s="4"/>
      <c r="G72" s="19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19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19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19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19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19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19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19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19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194"/>
      <c r="H81" s="4"/>
      <c r="I81" s="4"/>
      <c r="J81" s="4"/>
      <c r="K81" s="4"/>
      <c r="L81" s="4"/>
      <c r="M81" s="4"/>
      <c r="N81" s="4"/>
      <c r="O81" s="4"/>
      <c r="P81" s="4"/>
      <c r="Q81" s="4"/>
      <c r="R81" s="4"/>
      <c r="S81" s="4"/>
      <c r="T81" s="4"/>
      <c r="U81" s="4"/>
      <c r="V81" s="4"/>
      <c r="W81" s="4"/>
      <c r="X81" s="4"/>
      <c r="Y81" s="4"/>
      <c r="Z81" s="4"/>
    </row>
    <row r="82" customFormat="false" ht="15.75" hidden="false" customHeight="true" outlineLevel="0" collapsed="false">
      <c r="A82" s="4"/>
      <c r="B82" s="4"/>
      <c r="C82" s="4"/>
      <c r="D82" s="4"/>
      <c r="E82" s="4"/>
      <c r="F82" s="4"/>
      <c r="G82" s="19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19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19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19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19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19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19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19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19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194"/>
      <c r="H91" s="4"/>
      <c r="I91" s="4"/>
      <c r="J91" s="4"/>
      <c r="K91" s="4"/>
      <c r="L91" s="4"/>
      <c r="M91" s="4"/>
      <c r="N91" s="4"/>
      <c r="O91" s="4"/>
      <c r="P91" s="4"/>
      <c r="Q91" s="4"/>
      <c r="R91" s="4"/>
      <c r="S91" s="4"/>
      <c r="T91" s="4"/>
      <c r="U91" s="4"/>
      <c r="V91" s="4"/>
      <c r="W91" s="4"/>
      <c r="X91" s="4"/>
      <c r="Y91" s="4"/>
      <c r="Z91" s="4"/>
    </row>
    <row r="92" customFormat="false" ht="15.75" hidden="false" customHeight="true" outlineLevel="0" collapsed="false">
      <c r="A92" s="4"/>
      <c r="B92" s="4"/>
      <c r="C92" s="4"/>
      <c r="D92" s="4"/>
      <c r="E92" s="4"/>
      <c r="F92" s="4"/>
      <c r="G92" s="19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19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19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19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19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194"/>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4"/>
      <c r="E98" s="4"/>
      <c r="F98" s="4"/>
      <c r="G98" s="19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19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19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19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19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19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19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19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19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19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19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19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19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19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19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19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19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19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19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19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19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19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19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19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19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19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19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19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19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19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19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19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19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19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19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19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19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19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19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19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19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19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19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19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19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19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19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19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19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19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19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19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19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19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19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19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19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19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19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19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19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19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19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19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19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19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19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19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19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19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19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19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19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19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19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19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19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19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19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19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19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19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19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19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19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19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19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19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19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19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19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19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19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19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19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19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19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19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19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19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19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19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19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19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19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19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19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19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19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19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19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19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19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19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19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19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19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19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19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19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19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19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19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19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19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19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19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19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19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19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19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19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19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19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19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19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19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19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19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19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19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19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19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19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19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19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19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19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19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19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19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19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19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19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19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19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19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19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19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19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19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19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19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19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19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19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19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19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19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19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19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19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19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19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19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19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19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19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19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19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19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19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19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19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19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19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19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19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19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19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19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19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19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19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19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19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19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19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19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19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19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19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19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19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19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19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19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19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19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19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19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19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19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19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19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19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19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19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19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19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19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19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19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19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19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19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19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19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19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19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19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19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19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19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19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19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19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19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19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19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19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19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19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19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19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19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19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19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19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19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19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19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19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19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19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19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19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19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19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19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19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19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19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19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19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19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19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19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19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19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19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19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19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19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19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19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19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19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19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19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19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19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19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19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19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19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19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19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19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19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19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19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19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19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19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19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19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19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19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19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19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19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19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19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19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19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19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19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19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19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19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19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19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19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19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19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19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19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19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19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19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19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19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19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19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19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19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19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19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19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19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19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19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19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19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19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19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19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19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19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19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19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19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19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19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19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19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19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19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19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19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19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19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19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19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19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19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19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19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19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19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19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19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19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19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19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19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19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19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19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19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19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19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19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19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19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19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19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19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19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19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19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19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19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19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19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19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19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19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19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19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19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19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19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19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19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19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19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19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19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19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19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19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I13"/>
  <conditionalFormatting sqref="E3:E1000">
    <cfRule type="cellIs" priority="2" operator="equal" aboveAverage="0" equalAverage="0" bottom="0" percent="0" rank="0" text="" dxfId="14">
      <formula>"absent"</formula>
    </cfRule>
    <cfRule type="cellIs" priority="3" operator="equal" aboveAverage="0" equalAverage="0" bottom="0" percent="0" rank="0" text="" dxfId="16">
      <formula>"late"</formula>
    </cfRule>
    <cfRule type="cellIs" priority="4" operator="equal" aboveAverage="0" equalAverage="0" bottom="0" percent="0" rank="0" text="" dxfId="18">
      <formula>"on_time"</formula>
    </cfRule>
  </conditionalFormatting>
  <conditionalFormatting sqref="H3:H1000">
    <cfRule type="cellIs" priority="5" operator="equal" aboveAverage="0" equalAverage="0" bottom="0" percent="0" rank="0" text="" dxfId="14">
      <formula>"Weak"</formula>
    </cfRule>
    <cfRule type="cellIs" priority="6" operator="equal" aboveAverage="0" equalAverage="0" bottom="0" percent="0" rank="0" text="" dxfId="18">
      <formula>"Strong"</formula>
    </cfRule>
  </conditionalFormatting>
  <conditionalFormatting sqref="J4:J1000">
    <cfRule type="expression" priority="7" aboveAverage="0" equalAverage="0" bottom="0" percent="0" rank="0" text="" dxfId="14">
      <formula>OR(ISNUMBER(SEARCH("Quá SLA",J4)),ISNUMBER(SEARCH("NGAY",J4)),ISNUMBER(SEARCH("trễ",J4)),ISNUMBER(SEARCH("missing",J4)))</formula>
    </cfRule>
    <cfRule type="expression" priority="8" aboveAverage="0" equalAverage="0" bottom="0" percent="0" rank="0" text="" dxfId="15">
      <formula>OR(ISNUMBER(SEARCH("đến hạn",J4)),ISNUMBER(SEARCH("chờ",J4)),ISNUMBER(SEARCH("Chưa",J4)))</formula>
    </cfRule>
    <cfRule type="expression" priority="9" aboveAverage="0" equalAverage="0" bottom="0" percent="0" rank="0" text="" dxfId="19">
      <formula>OR(ISNUMBER(SEARCH(" ngay",J4)),ISNUMBER(SEARCH(" gấp",J4)),ISNUMBER(SEARCH("GỌI",J4)),ISNUMBER(SEARCH("NGUY",J4)))</formula>
    </cfRule>
    <cfRule type="expression" priority="10" aboveAverage="0" equalAverage="0" bottom="0" percent="0" rank="0" text="" dxfId="20">
      <formula>ISNUMBER(SEARCH("Không cần làm gì",J4))</formula>
    </cfRule>
    <cfRule type="expression" priority="11" aboveAverage="0" equalAverage="0" bottom="0" percent="0" rank="0" text="" dxfId="21">
      <formula>LEN(J4)&gt;0</formula>
    </cfRule>
  </conditionalFormatting>
  <dataValidations count="3">
    <dataValidation allowBlank="true" errorStyle="stop" operator="between" showDropDown="false" showErrorMessage="false" showInputMessage="false" sqref="E4:E1000" type="list">
      <formula1>'CH1. Danh mục lựa chọn'!$B$170:$B$172</formula1>
      <formula2>0</formula2>
    </dataValidation>
    <dataValidation allowBlank="true" errorStyle="stop" operator="between" showDropDown="false" showErrorMessage="false" showInputMessage="false" sqref="F4:F1000" type="list">
      <formula1>'CH1. Danh mục lựa chọn'!$B$176:$B$177</formula1>
      <formula2>0</formula2>
    </dataValidation>
    <dataValidation allowBlank="true" errorStyle="stop" operator="between" showDropDown="false" showErrorMessage="false" showInputMessage="false" sqref="H4:H1000" type="list">
      <formula1>'CH1. Danh mục lựa chọn'!$B$208:$B$210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V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9.14"/>
    <col collapsed="false" customWidth="true" hidden="false" outlineLevel="0" max="2" min="2" style="1" width="15.29"/>
    <col collapsed="false" customWidth="true" hidden="false" outlineLevel="0" max="3" min="3" style="1" width="20.57"/>
    <col collapsed="false" customWidth="true" hidden="false" outlineLevel="0" max="4" min="4" style="1" width="15.71"/>
    <col collapsed="false" customWidth="true" hidden="false" outlineLevel="0" max="5" min="5" style="1" width="20"/>
    <col collapsed="false" customWidth="true" hidden="false" outlineLevel="0" max="6" min="6" style="1" width="21.43"/>
    <col collapsed="false" customWidth="true" hidden="false" outlineLevel="0" max="7" min="7" style="1" width="19.86"/>
    <col collapsed="false" customWidth="true" hidden="false" outlineLevel="0" max="8" min="8" style="1" width="33"/>
    <col collapsed="false" customWidth="true" hidden="false" outlineLevel="0" max="9" min="9" style="1" width="27.15"/>
    <col collapsed="false" customWidth="true" hidden="false" outlineLevel="0" max="10" min="10" style="1" width="34.57"/>
    <col collapsed="false" customWidth="true" hidden="false" outlineLevel="0" max="11" min="11" style="1" width="10.85"/>
    <col collapsed="false" customWidth="true" hidden="false" outlineLevel="0" max="12" min="12" style="1" width="44"/>
    <col collapsed="false" customWidth="true" hidden="false" outlineLevel="0" max="13" min="13" style="1" width="23"/>
    <col collapsed="false" customWidth="true" hidden="false" outlineLevel="0" max="14" min="14" style="1" width="15.71"/>
    <col collapsed="false" customWidth="true" hidden="false" outlineLevel="0" max="15" min="15" style="1" width="17.15"/>
    <col collapsed="false" customWidth="true" hidden="false" outlineLevel="0" max="16" min="16" style="1" width="25.14"/>
    <col collapsed="false" customWidth="true" hidden="false" outlineLevel="0" max="17" min="17" style="1" width="23.57"/>
    <col collapsed="false" customWidth="true" hidden="false" outlineLevel="0" max="18" min="18" style="1" width="15.43"/>
    <col collapsed="false" customWidth="true" hidden="false" outlineLevel="0" max="19" min="19" style="1" width="10.14"/>
    <col collapsed="false" customWidth="true" hidden="false" outlineLevel="0" max="20" min="20" style="1" width="57"/>
    <col collapsed="false" customWidth="true" hidden="false" outlineLevel="0" max="21" min="21" style="1" width="33.86"/>
    <col collapsed="false" customWidth="true" hidden="false" outlineLevel="0" max="22" min="22" style="1" width="24.57"/>
    <col collapsed="false" customWidth="true" hidden="false" outlineLevel="0" max="26" min="23" style="1" width="8.71"/>
  </cols>
  <sheetData>
    <row r="1" customFormat="false" ht="77.25" hidden="false" customHeight="true" outlineLevel="0" collapsed="false">
      <c r="A1" s="97" t="s">
        <v>3347</v>
      </c>
      <c r="B1" s="97" t="s">
        <v>899</v>
      </c>
      <c r="C1" s="97" t="s">
        <v>872</v>
      </c>
      <c r="D1" s="97" t="s">
        <v>850</v>
      </c>
      <c r="E1" s="97" t="s">
        <v>3300</v>
      </c>
      <c r="F1" s="97" t="s">
        <v>3348</v>
      </c>
      <c r="G1" s="97" t="s">
        <v>3349</v>
      </c>
      <c r="H1" s="97" t="s">
        <v>3350</v>
      </c>
      <c r="I1" s="97" t="s">
        <v>3351</v>
      </c>
      <c r="J1" s="97" t="s">
        <v>3352</v>
      </c>
      <c r="K1" s="97" t="s">
        <v>901</v>
      </c>
      <c r="L1" s="97" t="s">
        <v>3353</v>
      </c>
      <c r="M1" s="97" t="s">
        <v>3354</v>
      </c>
      <c r="N1" s="97" t="s">
        <v>3355</v>
      </c>
      <c r="O1" s="97" t="s">
        <v>3356</v>
      </c>
      <c r="P1" s="97" t="s">
        <v>902</v>
      </c>
      <c r="Q1" s="97" t="s">
        <v>3357</v>
      </c>
      <c r="R1" s="97" t="s">
        <v>895</v>
      </c>
      <c r="S1" s="97" t="s">
        <v>2270</v>
      </c>
      <c r="T1" s="183" t="s">
        <v>480</v>
      </c>
      <c r="U1" s="97" t="s">
        <v>875</v>
      </c>
      <c r="V1" s="97" t="s">
        <v>898</v>
      </c>
    </row>
    <row r="2" customFormat="false" ht="15" hidden="false" customHeight="true" outlineLevel="0" collapsed="false">
      <c r="A2" s="176" t="s">
        <v>3358</v>
      </c>
      <c r="B2" s="176" t="s">
        <v>3307</v>
      </c>
      <c r="C2" s="176" t="s">
        <v>3248</v>
      </c>
      <c r="D2" s="176" t="s">
        <v>3308</v>
      </c>
      <c r="E2" s="176" t="s">
        <v>3309</v>
      </c>
      <c r="F2" s="176" t="s">
        <v>3359</v>
      </c>
      <c r="G2" s="176" t="s">
        <v>3360</v>
      </c>
      <c r="H2" s="176" t="s">
        <v>3361</v>
      </c>
      <c r="I2" s="176" t="s">
        <v>3362</v>
      </c>
      <c r="J2" s="176" t="s">
        <v>3363</v>
      </c>
      <c r="K2" s="176" t="s">
        <v>3364</v>
      </c>
      <c r="L2" s="176" t="s">
        <v>250</v>
      </c>
      <c r="M2" s="176" t="s">
        <v>3365</v>
      </c>
      <c r="N2" s="176" t="s">
        <v>3366</v>
      </c>
      <c r="O2" s="176" t="s">
        <v>3367</v>
      </c>
      <c r="P2" s="176" t="s">
        <v>3368</v>
      </c>
      <c r="Q2" s="176" t="s">
        <v>3369</v>
      </c>
      <c r="R2" s="176" t="s">
        <v>3255</v>
      </c>
      <c r="S2" s="176" t="s">
        <v>2281</v>
      </c>
      <c r="T2" s="176" t="s">
        <v>2503</v>
      </c>
      <c r="U2" s="176" t="s">
        <v>3010</v>
      </c>
      <c r="V2" s="176" t="s">
        <v>3261</v>
      </c>
    </row>
    <row r="3" customFormat="false" ht="24.75" hidden="false" customHeight="true" outlineLevel="0" collapsed="false">
      <c r="A3" s="177" t="s">
        <v>3370</v>
      </c>
      <c r="B3" s="177" t="s">
        <v>3314</v>
      </c>
      <c r="C3" s="177" t="s">
        <v>3015</v>
      </c>
      <c r="D3" s="177" t="s">
        <v>3315</v>
      </c>
      <c r="E3" s="177" t="s">
        <v>3316</v>
      </c>
      <c r="F3" s="177" t="s">
        <v>3371</v>
      </c>
      <c r="G3" s="177" t="s">
        <v>3372</v>
      </c>
      <c r="H3" s="177" t="s">
        <v>3373</v>
      </c>
      <c r="I3" s="177" t="s">
        <v>3374</v>
      </c>
      <c r="J3" s="177" t="s">
        <v>3375</v>
      </c>
      <c r="K3" s="177" t="s">
        <v>3376</v>
      </c>
      <c r="L3" s="177" t="s">
        <v>3270</v>
      </c>
      <c r="M3" s="177" t="s">
        <v>3377</v>
      </c>
      <c r="N3" s="177" t="s">
        <v>3378</v>
      </c>
      <c r="O3" s="177" t="s">
        <v>3379</v>
      </c>
      <c r="P3" s="177" t="s">
        <v>3380</v>
      </c>
      <c r="Q3" s="177" t="s">
        <v>3381</v>
      </c>
      <c r="R3" s="177" t="s">
        <v>3183</v>
      </c>
      <c r="S3" s="177" t="s">
        <v>2281</v>
      </c>
      <c r="T3" s="177" t="s">
        <v>3319</v>
      </c>
      <c r="U3" s="177" t="s">
        <v>3022</v>
      </c>
      <c r="V3" s="177" t="s">
        <v>2294</v>
      </c>
    </row>
    <row r="4" customFormat="false" ht="45.75" hidden="false" customHeight="true" outlineLevel="0" collapsed="false">
      <c r="A4" s="21" t="s">
        <v>3382</v>
      </c>
      <c r="B4" s="180" t="str">
        <f aca="false">IFERROR(HYPERLINK("#'DL11. Buổi học'!A"&amp;MATCH("SES-005",'DL11. Buổi học'!A:A,0),"SES-005"),"SES-005")</f>
        <v>SES-005</v>
      </c>
      <c r="C4" s="180" t="str">
        <f aca="false">IFERROR(HYPERLINK("#'DL11. Buổi học'!A"&amp;MATCH("LOP-IELTS-7.0-02",'DL10. Lớp học'!A:A,0),"LOP-IELTS-7.0-02"),"LOP-IELTS-7.0-02")</f>
        <v>LOP-IELTS-7.0-02</v>
      </c>
      <c r="D4" s="180" t="str">
        <f aca="false">IFERROR(HYPERLINK("#'DL11. Buổi học'!A"&amp;MATCH("HV004",'DL09. Học viên'!A:A,0),"HV004"),"HV004")</f>
        <v>HV004</v>
      </c>
      <c r="E4" s="21" t="s">
        <v>2560</v>
      </c>
      <c r="F4" s="21" t="s">
        <v>3383</v>
      </c>
      <c r="G4" s="21" t="s">
        <v>1199</v>
      </c>
      <c r="H4" s="185" t="n">
        <v>46197.8333333333</v>
      </c>
      <c r="I4" s="178" t="n">
        <v>46200.375</v>
      </c>
      <c r="J4" s="185"/>
      <c r="K4" s="238" t="b">
        <f aca="false">FALSE()</f>
        <v>0</v>
      </c>
      <c r="L4" s="21" t="s">
        <v>1192</v>
      </c>
      <c r="M4" s="239"/>
      <c r="N4" s="21"/>
      <c r="O4" s="185"/>
      <c r="P4" s="238" t="b">
        <f aca="false">TRUE()</f>
        <v>1</v>
      </c>
      <c r="Q4" s="240"/>
      <c r="R4" s="180" t="str">
        <f aca="false">IFERROR(HYPERLINK("#'DL11. Buổi học'!A"&amp;MATCH("NV006",'DL01. Nhân viên'!A:A,0),"NV006"),"NV006")</f>
        <v>NV006</v>
      </c>
      <c r="S4" s="21"/>
      <c r="T4" s="187" t="str">
        <f aca="true" t="array" ref="T4:T4">IF(ISNUMBER(SEARCH("missing",L4)),INDEX('CH4. Thông điệp nhắc việc'!$G:$G,MATCH("NA029",'CH4. Thông điệp nhắc việc'!$A:$A,0)),IF(AND(ISNUMBER(SEARCH("submitted",L4)),M4=""),IF((NOW()-N(J4))*24&gt;slaHomeworkGrading_hours,INDEX('CH4. Thông điệp nhắc việc'!$G:$G,MATCH("NA071",'CH4. Thông điệp nhắc việc'!$A:$A,0)),INDEX('CH4. Thông điệp nhắc việc'!$G:$G,MATCH("NA072",'CH4. Thông điệp nhắc việc'!$A:$A,0))),IF(ISNUMBER(SEARCH("assigned",L4)),INDEX('CH4. Thông điệp nhắc việc'!$G:$G,MATCH("NA073",'CH4. Thông điệp nhắc việc'!$A:$A,0)),IF(M4&lt;&gt;"",INDEX('CH4. Thông điệp nhắc việc'!$G:$G,MATCH("NA030",'CH4. Thông điệp nhắc việc'!$A:$A,0)),""))))</f>
        <v>HV chưa nộp bài tập. Việc cần làm: kiểm tra chuỗi bài thiếu (có thể thành nguy cơ học thuật) và nhắc HV nộp.</v>
      </c>
      <c r="U4" s="181" t="str">
        <f aca="false">IFERROR(VLOOKUP(C4,'DL10. Lớp học'!$A:$B,2,FALSE()),"")</f>
        <v>IELTS 7.0+ Tối T3-T5 (02/2026)</v>
      </c>
      <c r="V4" s="181" t="str">
        <f aca="false">IFERROR(VLOOKUP(R4,'DL01. Nhân viên'!$A:$B,2,FALSE()),"")</f>
        <v>Phạm Tấn Phát</v>
      </c>
    </row>
    <row r="5" customFormat="false" ht="45.75" hidden="false" customHeight="true" outlineLevel="0" collapsed="false">
      <c r="A5" s="21" t="s">
        <v>3384</v>
      </c>
      <c r="B5" s="180" t="str">
        <f aca="false">IFERROR(HYPERLINK("#'DL11. Buổi học'!A"&amp;MATCH("SES-006",'DL11. Buổi học'!A:A,0),"SES-006"),"SES-006")</f>
        <v>SES-006</v>
      </c>
      <c r="C5" s="180" t="str">
        <f aca="false">IFERROR(HYPERLINK("#'DL11. Buổi học'!A"&amp;MATCH("LOP-IELTS-7.0-02",'DL10. Lớp học'!A:A,0),"LOP-IELTS-7.0-02"),"LOP-IELTS-7.0-02")</f>
        <v>LOP-IELTS-7.0-02</v>
      </c>
      <c r="D5" s="180" t="str">
        <f aca="false">IFERROR(HYPERLINK("#'DL11. Buổi học'!A"&amp;MATCH("HV004",'DL09. Học viên'!A:A,0),"HV004"),"HV004")</f>
        <v>HV004</v>
      </c>
      <c r="E5" s="21" t="s">
        <v>2560</v>
      </c>
      <c r="F5" s="21" t="s">
        <v>3385</v>
      </c>
      <c r="G5" s="21" t="s">
        <v>1197</v>
      </c>
      <c r="H5" s="185" t="n">
        <v>46201.8333333333</v>
      </c>
      <c r="I5" s="178" t="n">
        <v>46204.375</v>
      </c>
      <c r="J5" s="185"/>
      <c r="K5" s="238" t="b">
        <f aca="false">FALSE()</f>
        <v>0</v>
      </c>
      <c r="L5" s="21" t="s">
        <v>1192</v>
      </c>
      <c r="M5" s="239"/>
      <c r="N5" s="21"/>
      <c r="O5" s="185"/>
      <c r="P5" s="238" t="b">
        <f aca="false">TRUE()</f>
        <v>1</v>
      </c>
      <c r="Q5" s="240"/>
      <c r="R5" s="180" t="str">
        <f aca="false">IFERROR(HYPERLINK("#'DL11. Buổi học'!A"&amp;MATCH("NV006",'DL01. Nhân viên'!A:A,0),"NV006"),"NV006")</f>
        <v>NV006</v>
      </c>
      <c r="S5" s="21"/>
      <c r="T5" s="187" t="str">
        <f aca="true" t="array" ref="T5:T5">IF(ISNUMBER(SEARCH("missing",L5)),INDEX('CH4. Thông điệp nhắc việc'!$G:$G,MATCH("NA029",'CH4. Thông điệp nhắc việc'!$A:$A,0)),IF(AND(ISNUMBER(SEARCH("submitted",L5)),M5=""),IF((NOW()-N(J5))*24&gt;slaHomeworkGrading_hours,INDEX('CH4. Thông điệp nhắc việc'!$G:$G,MATCH("NA071",'CH4. Thông điệp nhắc việc'!$A:$A,0)),INDEX('CH4. Thông điệp nhắc việc'!$G:$G,MATCH("NA072",'CH4. Thông điệp nhắc việc'!$A:$A,0))),IF(ISNUMBER(SEARCH("assigned",L5)),INDEX('CH4. Thông điệp nhắc việc'!$G:$G,MATCH("NA073",'CH4. Thông điệp nhắc việc'!$A:$A,0)),IF(M5&lt;&gt;"",INDEX('CH4. Thông điệp nhắc việc'!$G:$G,MATCH("NA030",'CH4. Thông điệp nhắc việc'!$A:$A,0)),""))))</f>
        <v>HV chưa nộp bài tập. Việc cần làm: kiểm tra chuỗi bài thiếu (có thể thành nguy cơ học thuật) và nhắc HV nộp.</v>
      </c>
      <c r="U5" s="181" t="str">
        <f aca="false">IFERROR(VLOOKUP(C5,'DL10. Lớp học'!$A:$B,2,FALSE()),"")</f>
        <v>IELTS 7.0+ Tối T3-T5 (02/2026)</v>
      </c>
      <c r="V5" s="181" t="str">
        <f aca="false">IFERROR(VLOOKUP(R5,'DL01. Nhân viên'!$A:$B,2,FALSE()),"")</f>
        <v>Phạm Tấn Phát</v>
      </c>
    </row>
    <row r="6" customFormat="false" ht="45.75" hidden="false" customHeight="true" outlineLevel="0" collapsed="false">
      <c r="A6" s="21" t="s">
        <v>3386</v>
      </c>
      <c r="B6" s="180" t="str">
        <f aca="false">IFERROR(HYPERLINK("#'DL11. Buổi học'!A"&amp;MATCH("SES-014",'DL11. Buổi học'!A:A,0),"SES-014"),"SES-014")</f>
        <v>SES-014</v>
      </c>
      <c r="C6" s="180" t="str">
        <f aca="false">IFERROR(HYPERLINK("#'DL11. Buổi học'!A"&amp;MATCH("LOP-IELTS-7.0-02",'DL10. Lớp học'!A:A,0),"LOP-IELTS-7.0-02"),"LOP-IELTS-7.0-02")</f>
        <v>LOP-IELTS-7.0-02</v>
      </c>
      <c r="D6" s="180" t="str">
        <f aca="false">IFERROR(HYPERLINK("#'DL11. Buổi học'!A"&amp;MATCH("HV004",'DL09. Học viên'!A:A,0),"HV004"),"HV004")</f>
        <v>HV004</v>
      </c>
      <c r="E6" s="21" t="s">
        <v>2560</v>
      </c>
      <c r="F6" s="21" t="s">
        <v>3387</v>
      </c>
      <c r="G6" s="21" t="s">
        <v>1199</v>
      </c>
      <c r="H6" s="185" t="n">
        <v>46204.8333333333</v>
      </c>
      <c r="I6" s="178" t="n">
        <v>46207.375</v>
      </c>
      <c r="J6" s="185"/>
      <c r="K6" s="238" t="b">
        <f aca="false">FALSE()</f>
        <v>0</v>
      </c>
      <c r="L6" s="21" t="s">
        <v>1192</v>
      </c>
      <c r="M6" s="239"/>
      <c r="N6" s="21"/>
      <c r="O6" s="185"/>
      <c r="P6" s="238" t="b">
        <f aca="false">TRUE()</f>
        <v>1</v>
      </c>
      <c r="Q6" s="240"/>
      <c r="R6" s="180" t="str">
        <f aca="false">IFERROR(HYPERLINK("#'DL11. Buổi học'!A"&amp;MATCH("NV006",'DL01. Nhân viên'!A:A,0),"NV006"),"NV006")</f>
        <v>NV006</v>
      </c>
      <c r="S6" s="21"/>
      <c r="T6" s="187" t="str">
        <f aca="true" t="array" ref="T6:T6">IF(ISNUMBER(SEARCH("missing",L6)),INDEX('CH4. Thông điệp nhắc việc'!$G:$G,MATCH("NA029",'CH4. Thông điệp nhắc việc'!$A:$A,0)),IF(AND(ISNUMBER(SEARCH("submitted",L6)),M6=""),IF((NOW()-N(J6))*24&gt;slaHomeworkGrading_hours,INDEX('CH4. Thông điệp nhắc việc'!$G:$G,MATCH("NA071",'CH4. Thông điệp nhắc việc'!$A:$A,0)),INDEX('CH4. Thông điệp nhắc việc'!$G:$G,MATCH("NA072",'CH4. Thông điệp nhắc việc'!$A:$A,0))),IF(ISNUMBER(SEARCH("assigned",L6)),INDEX('CH4. Thông điệp nhắc việc'!$G:$G,MATCH("NA073",'CH4. Thông điệp nhắc việc'!$A:$A,0)),IF(M6&lt;&gt;"",INDEX('CH4. Thông điệp nhắc việc'!$G:$G,MATCH("NA030",'CH4. Thông điệp nhắc việc'!$A:$A,0)),""))))</f>
        <v>HV chưa nộp bài tập. Việc cần làm: kiểm tra chuỗi bài thiếu (có thể thành nguy cơ học thuật) và nhắc HV nộp.</v>
      </c>
      <c r="U6" s="181" t="str">
        <f aca="false">IFERROR(VLOOKUP(C6,'DL10. Lớp học'!$A:$B,2,FALSE()),"")</f>
        <v>IELTS 7.0+ Tối T3-T5 (02/2026)</v>
      </c>
      <c r="V6" s="181" t="str">
        <f aca="false">IFERROR(VLOOKUP(R6,'DL01. Nhân viên'!$A:$B,2,FALSE()),"")</f>
        <v>Phạm Tấn Phát</v>
      </c>
    </row>
    <row r="7" customFormat="false" ht="45.75" hidden="false" customHeight="true" outlineLevel="0" collapsed="false">
      <c r="A7" s="21" t="s">
        <v>3388</v>
      </c>
      <c r="B7" s="180" t="str">
        <f aca="false">IFERROR(HYPERLINK("#'DL11. Buổi học'!A"&amp;MATCH("SES-007",'DL11. Buổi học'!A:A,0),"SES-007"),"SES-007")</f>
        <v>SES-007</v>
      </c>
      <c r="C7" s="180" t="str">
        <f aca="false">IFERROR(HYPERLINK("#'DL11. Buổi học'!A"&amp;MATCH("LOP-IELTS-6.5-03",'DL10. Lớp học'!A:A,0),"LOP-IELTS-6.5-03"),"LOP-IELTS-6.5-03")</f>
        <v>LOP-IELTS-6.5-03</v>
      </c>
      <c r="D7" s="180" t="str">
        <f aca="false">IFERROR(HYPERLINK("#'DL11. Buổi học'!A"&amp;MATCH("HV005",'DL09. Học viên'!A:A,0),"HV005"),"HV005")</f>
        <v>HV005</v>
      </c>
      <c r="E7" s="21" t="s">
        <v>2563</v>
      </c>
      <c r="F7" s="21" t="s">
        <v>3389</v>
      </c>
      <c r="G7" s="21" t="s">
        <v>1199</v>
      </c>
      <c r="H7" s="185" t="n">
        <v>46197.875</v>
      </c>
      <c r="I7" s="178" t="n">
        <v>46200.375</v>
      </c>
      <c r="J7" s="185"/>
      <c r="K7" s="238" t="b">
        <f aca="false">FALSE()</f>
        <v>0</v>
      </c>
      <c r="L7" s="21" t="s">
        <v>1192</v>
      </c>
      <c r="M7" s="239"/>
      <c r="N7" s="21"/>
      <c r="O7" s="185"/>
      <c r="P7" s="238" t="b">
        <f aca="false">TRUE()</f>
        <v>1</v>
      </c>
      <c r="Q7" s="240"/>
      <c r="R7" s="180" t="str">
        <f aca="false">IFERROR(HYPERLINK("#'DL11. Buổi học'!A"&amp;MATCH("NV006",'DL01. Nhân viên'!A:A,0),"NV006"),"NV006")</f>
        <v>NV006</v>
      </c>
      <c r="S7" s="21"/>
      <c r="T7" s="187" t="str">
        <f aca="true" t="array" ref="T7:T7">IF(ISNUMBER(SEARCH("missing",L7)),INDEX('CH4. Thông điệp nhắc việc'!$G:$G,MATCH("NA029",'CH4. Thông điệp nhắc việc'!$A:$A,0)),IF(AND(ISNUMBER(SEARCH("submitted",L7)),M7=""),IF((NOW()-N(J7))*24&gt;slaHomeworkGrading_hours,INDEX('CH4. Thông điệp nhắc việc'!$G:$G,MATCH("NA071",'CH4. Thông điệp nhắc việc'!$A:$A,0)),INDEX('CH4. Thông điệp nhắc việc'!$G:$G,MATCH("NA072",'CH4. Thông điệp nhắc việc'!$A:$A,0))),IF(ISNUMBER(SEARCH("assigned",L7)),INDEX('CH4. Thông điệp nhắc việc'!$G:$G,MATCH("NA073",'CH4. Thông điệp nhắc việc'!$A:$A,0)),IF(M7&lt;&gt;"",INDEX('CH4. Thông điệp nhắc việc'!$G:$G,MATCH("NA030",'CH4. Thông điệp nhắc việc'!$A:$A,0)),""))))</f>
        <v>HV chưa nộp bài tập. Việc cần làm: kiểm tra chuỗi bài thiếu (có thể thành nguy cơ học thuật) và nhắc HV nộp.</v>
      </c>
      <c r="U7" s="181" t="str">
        <f aca="false">IFERROR(VLOOKUP(C7,'DL10. Lớp học'!$A:$B,2,FALSE()),"")</f>
        <v>IELTS 6.5 Tối (05/2025)</v>
      </c>
      <c r="V7" s="181" t="str">
        <f aca="false">IFERROR(VLOOKUP(R7,'DL01. Nhân viên'!$A:$B,2,FALSE()),"")</f>
        <v>Phạm Tấn Phát</v>
      </c>
    </row>
    <row r="8" customFormat="false" ht="45.75" hidden="false" customHeight="true" outlineLevel="0" collapsed="false">
      <c r="A8" s="21" t="s">
        <v>3390</v>
      </c>
      <c r="B8" s="180" t="str">
        <f aca="false">IFERROR(HYPERLINK("#'DL11. Buổi học'!A"&amp;MATCH("SES-012",'DL11. Buổi học'!A:A,0),"SES-012"),"SES-012")</f>
        <v>SES-012</v>
      </c>
      <c r="C8" s="180" t="str">
        <f aca="false">IFERROR(HYPERLINK("#'DL11. Buổi học'!A"&amp;MATCH("LOP-IELTS-6.5-03",'DL10. Lớp học'!A:A,0),"LOP-IELTS-6.5-03"),"LOP-IELTS-6.5-03")</f>
        <v>LOP-IELTS-6.5-03</v>
      </c>
      <c r="D8" s="180" t="str">
        <f aca="false">IFERROR(HYPERLINK("#'DL11. Buổi học'!A"&amp;MATCH("HV005",'DL09. Học viên'!A:A,0),"HV005"),"HV005")</f>
        <v>HV005</v>
      </c>
      <c r="E8" s="21" t="s">
        <v>2563</v>
      </c>
      <c r="F8" s="21" t="s">
        <v>1194</v>
      </c>
      <c r="G8" s="21" t="s">
        <v>1195</v>
      </c>
      <c r="H8" s="185" t="n">
        <v>46200.875</v>
      </c>
      <c r="I8" s="178" t="n">
        <v>46203.375</v>
      </c>
      <c r="J8" s="185"/>
      <c r="K8" s="238" t="b">
        <f aca="false">FALSE()</f>
        <v>0</v>
      </c>
      <c r="L8" s="21" t="s">
        <v>1192</v>
      </c>
      <c r="M8" s="239"/>
      <c r="N8" s="21"/>
      <c r="O8" s="185"/>
      <c r="P8" s="238" t="b">
        <f aca="false">TRUE()</f>
        <v>1</v>
      </c>
      <c r="Q8" s="240"/>
      <c r="R8" s="180" t="str">
        <f aca="false">IFERROR(HYPERLINK("#'DL11. Buổi học'!A"&amp;MATCH("NV006",'DL01. Nhân viên'!A:A,0),"NV006"),"NV006")</f>
        <v>NV006</v>
      </c>
      <c r="S8" s="21"/>
      <c r="T8" s="187" t="str">
        <f aca="true" t="array" ref="T8:T8">IF(ISNUMBER(SEARCH("missing",L8)),INDEX('CH4. Thông điệp nhắc việc'!$G:$G,MATCH("NA029",'CH4. Thông điệp nhắc việc'!$A:$A,0)),IF(AND(ISNUMBER(SEARCH("submitted",L8)),M8=""),IF((NOW()-N(J8))*24&gt;slaHomeworkGrading_hours,INDEX('CH4. Thông điệp nhắc việc'!$G:$G,MATCH("NA071",'CH4. Thông điệp nhắc việc'!$A:$A,0)),INDEX('CH4. Thông điệp nhắc việc'!$G:$G,MATCH("NA072",'CH4. Thông điệp nhắc việc'!$A:$A,0))),IF(ISNUMBER(SEARCH("assigned",L8)),INDEX('CH4. Thông điệp nhắc việc'!$G:$G,MATCH("NA073",'CH4. Thông điệp nhắc việc'!$A:$A,0)),IF(M8&lt;&gt;"",INDEX('CH4. Thông điệp nhắc việc'!$G:$G,MATCH("NA030",'CH4. Thông điệp nhắc việc'!$A:$A,0)),""))))</f>
        <v>HV chưa nộp bài tập. Việc cần làm: kiểm tra chuỗi bài thiếu (có thể thành nguy cơ học thuật) và nhắc HV nộp.</v>
      </c>
      <c r="U8" s="181" t="str">
        <f aca="false">IFERROR(VLOOKUP(C8,'DL10. Lớp học'!$A:$B,2,FALSE()),"")</f>
        <v>IELTS 6.5 Tối (05/2025)</v>
      </c>
      <c r="V8" s="181" t="str">
        <f aca="false">IFERROR(VLOOKUP(R8,'DL01. Nhân viên'!$A:$B,2,FALSE()),"")</f>
        <v>Phạm Tấn Phát</v>
      </c>
    </row>
    <row r="9" customFormat="false" ht="45.75" hidden="false" customHeight="true" outlineLevel="0" collapsed="false">
      <c r="A9" s="21" t="s">
        <v>3391</v>
      </c>
      <c r="B9" s="180" t="str">
        <f aca="false">IFERROR(HYPERLINK("#'DL11. Buổi học'!A"&amp;MATCH("SES-013",'DL11. Buổi học'!A:A,0),"SES-013"),"SES-013")</f>
        <v>SES-013</v>
      </c>
      <c r="C9" s="180" t="str">
        <f aca="false">IFERROR(HYPERLINK("#'DL11. Buổi học'!A"&amp;MATCH("LOP-IELTS-6.5-03",'DL10. Lớp học'!A:A,0),"LOP-IELTS-6.5-03"),"LOP-IELTS-6.5-03")</f>
        <v>LOP-IELTS-6.5-03</v>
      </c>
      <c r="D9" s="180" t="str">
        <f aca="false">IFERROR(HYPERLINK("#'DL11. Buổi học'!A"&amp;MATCH("HV005",'DL09. Học viên'!A:A,0),"HV005"),"HV005")</f>
        <v>HV005</v>
      </c>
      <c r="E9" s="21" t="s">
        <v>2563</v>
      </c>
      <c r="F9" s="21" t="s">
        <v>1196</v>
      </c>
      <c r="G9" s="21" t="s">
        <v>1197</v>
      </c>
      <c r="H9" s="185" t="n">
        <v>46203.875</v>
      </c>
      <c r="I9" s="178" t="n">
        <v>46206.375</v>
      </c>
      <c r="J9" s="185"/>
      <c r="K9" s="238" t="b">
        <f aca="false">FALSE()</f>
        <v>0</v>
      </c>
      <c r="L9" s="21" t="s">
        <v>1192</v>
      </c>
      <c r="M9" s="239"/>
      <c r="N9" s="21"/>
      <c r="O9" s="185"/>
      <c r="P9" s="238" t="b">
        <f aca="false">TRUE()</f>
        <v>1</v>
      </c>
      <c r="Q9" s="240"/>
      <c r="R9" s="180" t="str">
        <f aca="false">IFERROR(HYPERLINK("#'DL11. Buổi học'!A"&amp;MATCH("NV006",'DL01. Nhân viên'!A:A,0),"NV006"),"NV006")</f>
        <v>NV006</v>
      </c>
      <c r="S9" s="21"/>
      <c r="T9" s="187" t="str">
        <f aca="true" t="array" ref="T9:T9">IF(ISNUMBER(SEARCH("missing",L9)),INDEX('CH4. Thông điệp nhắc việc'!$G:$G,MATCH("NA029",'CH4. Thông điệp nhắc việc'!$A:$A,0)),IF(AND(ISNUMBER(SEARCH("submitted",L9)),M9=""),IF((NOW()-N(J9))*24&gt;slaHomeworkGrading_hours,INDEX('CH4. Thông điệp nhắc việc'!$G:$G,MATCH("NA071",'CH4. Thông điệp nhắc việc'!$A:$A,0)),INDEX('CH4. Thông điệp nhắc việc'!$G:$G,MATCH("NA072",'CH4. Thông điệp nhắc việc'!$A:$A,0))),IF(ISNUMBER(SEARCH("assigned",L9)),INDEX('CH4. Thông điệp nhắc việc'!$G:$G,MATCH("NA073",'CH4. Thông điệp nhắc việc'!$A:$A,0)),IF(M9&lt;&gt;"",INDEX('CH4. Thông điệp nhắc việc'!$G:$G,MATCH("NA030",'CH4. Thông điệp nhắc việc'!$A:$A,0)),""))))</f>
        <v>HV chưa nộp bài tập. Việc cần làm: kiểm tra chuỗi bài thiếu (có thể thành nguy cơ học thuật) và nhắc HV nộp.</v>
      </c>
      <c r="U9" s="181" t="str">
        <f aca="false">IFERROR(VLOOKUP(C9,'DL10. Lớp học'!$A:$B,2,FALSE()),"")</f>
        <v>IELTS 6.5 Tối (05/2025)</v>
      </c>
      <c r="V9" s="181" t="str">
        <f aca="false">IFERROR(VLOOKUP(R9,'DL01. Nhân viên'!$A:$B,2,FALSE()),"")</f>
        <v>Phạm Tấn Phát</v>
      </c>
    </row>
    <row r="10" customFormat="false" ht="45.75" hidden="false" customHeight="true" outlineLevel="0" collapsed="false">
      <c r="A10" s="21" t="s">
        <v>3392</v>
      </c>
      <c r="B10" s="180" t="str">
        <f aca="false">IFERROR(HYPERLINK("#'DL11. Buổi học'!A"&amp;MATCH("SES-015",'DL11. Buổi học'!A:A,0),"SES-015"),"SES-015")</f>
        <v>SES-015</v>
      </c>
      <c r="C10" s="180" t="str">
        <f aca="false">IFERROR(HYPERLINK("#'DL11. Buổi học'!A"&amp;MATCH("LOP-IELTS-6.5-03",'DL10. Lớp học'!A:A,0),"LOP-IELTS-6.5-03"),"LOP-IELTS-6.5-03")</f>
        <v>LOP-IELTS-6.5-03</v>
      </c>
      <c r="D10" s="180" t="str">
        <f aca="false">IFERROR(HYPERLINK("#'DL11. Buổi học'!A"&amp;MATCH("HV005",'DL09. Học viên'!A:A,0),"HV005"),"HV005")</f>
        <v>HV005</v>
      </c>
      <c r="E10" s="21" t="s">
        <v>2563</v>
      </c>
      <c r="F10" s="21" t="s">
        <v>3393</v>
      </c>
      <c r="G10" s="21" t="s">
        <v>1201</v>
      </c>
      <c r="H10" s="185" t="n">
        <v>46205.875</v>
      </c>
      <c r="I10" s="178" t="n">
        <v>46208.375</v>
      </c>
      <c r="J10" s="185"/>
      <c r="K10" s="238" t="b">
        <f aca="false">FALSE()</f>
        <v>0</v>
      </c>
      <c r="L10" s="21" t="s">
        <v>1192</v>
      </c>
      <c r="M10" s="239"/>
      <c r="N10" s="21"/>
      <c r="O10" s="185"/>
      <c r="P10" s="238" t="b">
        <f aca="false">TRUE()</f>
        <v>1</v>
      </c>
      <c r="Q10" s="240"/>
      <c r="R10" s="180" t="str">
        <f aca="false">IFERROR(HYPERLINK("#'DL11. Buổi học'!A"&amp;MATCH("NV006",'DL01. Nhân viên'!A:A,0),"NV006"),"NV006")</f>
        <v>NV006</v>
      </c>
      <c r="S10" s="21"/>
      <c r="T10" s="187" t="str">
        <f aca="true" t="array" ref="T10:T10">IF(ISNUMBER(SEARCH("missing",L10)),INDEX('CH4. Thông điệp nhắc việc'!$G:$G,MATCH("NA029",'CH4. Thông điệp nhắc việc'!$A:$A,0)),IF(AND(ISNUMBER(SEARCH("submitted",L10)),M10=""),IF((NOW()-N(J10))*24&gt;slaHomeworkGrading_hours,INDEX('CH4. Thông điệp nhắc việc'!$G:$G,MATCH("NA071",'CH4. Thông điệp nhắc việc'!$A:$A,0)),INDEX('CH4. Thông điệp nhắc việc'!$G:$G,MATCH("NA072",'CH4. Thông điệp nhắc việc'!$A:$A,0))),IF(ISNUMBER(SEARCH("assigned",L10)),INDEX('CH4. Thông điệp nhắc việc'!$G:$G,MATCH("NA073",'CH4. Thông điệp nhắc việc'!$A:$A,0)),IF(M10&lt;&gt;"",INDEX('CH4. Thông điệp nhắc việc'!$G:$G,MATCH("NA030",'CH4. Thông điệp nhắc việc'!$A:$A,0)),""))))</f>
        <v>HV chưa nộp bài tập. Việc cần làm: kiểm tra chuỗi bài thiếu (có thể thành nguy cơ học thuật) và nhắc HV nộp.</v>
      </c>
      <c r="U10" s="181" t="str">
        <f aca="false">IFERROR(VLOOKUP(C10,'DL10. Lớp học'!$A:$B,2,FALSE()),"")</f>
        <v>IELTS 6.5 Tối (05/2025)</v>
      </c>
      <c r="V10" s="181" t="str">
        <f aca="false">IFERROR(VLOOKUP(R10,'DL01. Nhân viên'!$A:$B,2,FALSE()),"")</f>
        <v>Phạm Tấn Phát</v>
      </c>
    </row>
    <row r="11" customFormat="false" ht="45.75" hidden="false" customHeight="true" outlineLevel="0" collapsed="false">
      <c r="A11" s="21" t="s">
        <v>3394</v>
      </c>
      <c r="B11" s="180" t="str">
        <f aca="false">IFERROR(HYPERLINK("#'DL11. Buổi học'!A"&amp;MATCH("SES-001",'DL11. Buổi học'!A:A,0),"SES-001"),"SES-001")</f>
        <v>SES-001</v>
      </c>
      <c r="C11" s="180" t="str">
        <f aca="false">IFERROR(HYPERLINK("#'DL11. Buổi học'!A"&amp;MATCH("LOP-FOUND-PLA-01",'DL10. Lớp học'!A:A,0),"LOP-FOUND-PLA-01"),"LOP-FOUND-PLA-01")</f>
        <v>LOP-FOUND-PLA-01</v>
      </c>
      <c r="D11" s="180" t="str">
        <f aca="false">IFERROR(HYPERLINK("#'DL11. Buổi học'!A"&amp;MATCH("HV001",'DL09. Học viên'!A:A,0),"HV001"),"HV001")</f>
        <v>HV001</v>
      </c>
      <c r="E11" s="21" t="s">
        <v>2548</v>
      </c>
      <c r="F11" s="21" t="s">
        <v>3395</v>
      </c>
      <c r="G11" s="21" t="s">
        <v>1199</v>
      </c>
      <c r="H11" s="185" t="n">
        <v>46198.8333333333</v>
      </c>
      <c r="I11" s="178" t="n">
        <v>46200.375</v>
      </c>
      <c r="J11" s="185" t="n">
        <v>46199.4166666667</v>
      </c>
      <c r="K11" s="238" t="b">
        <f aca="false">FALSE()</f>
        <v>0</v>
      </c>
      <c r="L11" s="21" t="s">
        <v>1188</v>
      </c>
      <c r="M11" s="239" t="n">
        <v>6</v>
      </c>
      <c r="N11" s="21" t="s">
        <v>3396</v>
      </c>
      <c r="O11" s="185" t="n">
        <v>46200.4166666667</v>
      </c>
      <c r="P11" s="238" t="b">
        <f aca="false">TRUE()</f>
        <v>1</v>
      </c>
      <c r="Q11" s="240" t="s">
        <v>3397</v>
      </c>
      <c r="R11" s="180" t="str">
        <f aca="false">IFERROR(HYPERLINK("#'DL11. Buổi học'!A"&amp;MATCH("NV005",'DL01. Nhân viên'!A:A,0),"NV005"),"NV005")</f>
        <v>NV005</v>
      </c>
      <c r="S11" s="21"/>
      <c r="T11" s="187" t="str">
        <f aca="true" t="array" ref="T11:T11">IF(ISNUMBER(SEARCH("missing",L11)),INDEX('CH4. Thông điệp nhắc việc'!$G:$G,MATCH("NA029",'CH4. Thông điệp nhắc việc'!$A:$A,0)),IF(AND(ISNUMBER(SEARCH("submitted",L11)),M11=""),IF((NOW()-N(J11))*24&gt;slaHomeworkGrading_hours,INDEX('CH4. Thông điệp nhắc việc'!$G:$G,MATCH("NA071",'CH4. Thông điệp nhắc việc'!$A:$A,0)),INDEX('CH4. Thông điệp nhắc việc'!$G:$G,MATCH("NA072",'CH4. Thông điệp nhắc việc'!$A:$A,0))),IF(ISNUMBER(SEARCH("assigned",L11)),INDEX('CH4. Thông điệp nhắc việc'!$G:$G,MATCH("NA073",'CH4. Thông điệp nhắc việc'!$A:$A,0)),IF(M11&lt;&gt;"",INDEX('CH4. Thông điệp nhắc việc'!$G:$G,MATCH("NA030",'CH4. Thông điệp nhắc việc'!$A:$A,0)),""))))</f>
        <v>Đã chấm bài xong cho HV. Không cần làm gì thêm.</v>
      </c>
      <c r="U11" s="181" t="str">
        <f aca="false">IFERROR(VLOOKUP(C11,'DL10. Lớp học'!$A:$B,2,FALSE()),"")</f>
        <v>Foundation PLA T7-CN sáng (06/2026)</v>
      </c>
      <c r="V11" s="181" t="str">
        <f aca="false">IFERROR(VLOOKUP(R11,'DL01. Nhân viên'!$A:$B,2,FALSE()),"")</f>
        <v>Phan Trung Chính</v>
      </c>
    </row>
    <row r="12" customFormat="false" ht="45.75" hidden="false" customHeight="true" outlineLevel="0" collapsed="false">
      <c r="A12" s="21" t="s">
        <v>3398</v>
      </c>
      <c r="B12" s="180" t="str">
        <f aca="false">IFERROR(HYPERLINK("#'DL11. Buổi học'!A"&amp;MATCH("SES-009",'DL11. Buổi học'!A:A,0),"SES-009"),"SES-009")</f>
        <v>SES-009</v>
      </c>
      <c r="C12" s="180" t="str">
        <f aca="false">IFERROR(HYPERLINK("#'DL11. Buổi học'!A"&amp;MATCH("LOP-FOUND-PLA-01",'DL10. Lớp học'!A:A,0),"LOP-FOUND-PLA-01"),"LOP-FOUND-PLA-01")</f>
        <v>LOP-FOUND-PLA-01</v>
      </c>
      <c r="D12" s="180" t="str">
        <f aca="false">IFERROR(HYPERLINK("#'DL11. Buổi học'!A"&amp;MATCH("HV001",'DL09. Học viên'!A:A,0),"HV001"),"HV001")</f>
        <v>HV001</v>
      </c>
      <c r="E12" s="21" t="s">
        <v>2548</v>
      </c>
      <c r="F12" s="21" t="s">
        <v>1204</v>
      </c>
      <c r="G12" s="21" t="s">
        <v>1199</v>
      </c>
      <c r="H12" s="185" t="n">
        <v>46206.8333333333</v>
      </c>
      <c r="I12" s="178" t="n">
        <v>46207.375</v>
      </c>
      <c r="J12" s="185" t="n">
        <v>46206.9166666667</v>
      </c>
      <c r="K12" s="238" t="b">
        <f aca="false">FALSE()</f>
        <v>0</v>
      </c>
      <c r="L12" s="21" t="s">
        <v>1188</v>
      </c>
      <c r="M12" s="239"/>
      <c r="N12" s="21"/>
      <c r="O12" s="185"/>
      <c r="P12" s="238" t="b">
        <f aca="false">TRUE()</f>
        <v>1</v>
      </c>
      <c r="Q12" s="240"/>
      <c r="R12" s="180" t="str">
        <f aca="false">IFERROR(HYPERLINK("#'DL11. Buổi học'!A"&amp;MATCH("NV005",'DL01. Nhân viên'!A:A,0),"NV005"),"NV005")</f>
        <v>NV005</v>
      </c>
      <c r="S12" s="21"/>
      <c r="T12" s="187" t="str">
        <f aca="true" t="array" ref="T12:T12">IF(ISNUMBER(SEARCH("missing",L12)),INDEX('CH4. Thông điệp nhắc việc'!$G:$G,MATCH("NA029",'CH4. Thông điệp nhắc việc'!$A:$A,0)),IF(AND(ISNUMBER(SEARCH("submitted",L12)),M12=""),IF((NOW()-N(J12))*24&gt;slaHomeworkGrading_hours,INDEX('CH4. Thông điệp nhắc việc'!$G:$G,MATCH("NA071",'CH4. Thông điệp nhắc việc'!$A:$A,0)),INDEX('CH4. Thông điệp nhắc việc'!$G:$G,MATCH("NA072",'CH4. Thông điệp nhắc việc'!$A:$A,0))),IF(ISNUMBER(SEARCH("assigned",L12)),INDEX('CH4. Thông điệp nhắc việc'!$G:$G,MATCH("NA073",'CH4. Thông điệp nhắc việc'!$A:$A,0)),IF(M12&lt;&gt;"",INDEX('CH4. Thông điệp nhắc việc'!$G:$G,MATCH("NA030",'CH4. Thông điệp nhắc việc'!$A:$A,0)),""))))</f>
        <v>HV đã nộp bài nhưng quá 48 giờ (cấu hình slaHomeworkGrading_hours) chưa chấm. Việc cần làm: chấm bài ngay.</v>
      </c>
      <c r="U12" s="181" t="str">
        <f aca="false">IFERROR(VLOOKUP(C12,'DL10. Lớp học'!$A:$B,2,FALSE()),"")</f>
        <v>Foundation PLA T7-CN sáng (06/2026)</v>
      </c>
      <c r="V12" s="181" t="str">
        <f aca="false">IFERROR(VLOOKUP(R12,'DL01. Nhân viên'!$A:$B,2,FALSE()),"")</f>
        <v>Phan Trung Chính</v>
      </c>
    </row>
    <row r="13" customFormat="false" ht="45.75" hidden="false" customHeight="true" outlineLevel="0" collapsed="false">
      <c r="A13" s="21" t="s">
        <v>3399</v>
      </c>
      <c r="B13" s="180" t="str">
        <f aca="false">IFERROR(HYPERLINK("#'DL11. Buổi học'!A"&amp;MATCH("SES-008",'DL11. Buổi học'!A:A,0),"SES-008"),"SES-008")</f>
        <v>SES-008</v>
      </c>
      <c r="C13" s="180" t="str">
        <f aca="false">IFERROR(HYPERLINK("#'DL11. Buổi học'!A"&amp;MATCH("LOP-IELTS-6.5-04",'DL10. Lớp học'!A:A,0),"LOP-IELTS-6.5-04"),"LOP-IELTS-6.5-04")</f>
        <v>LOP-IELTS-6.5-04</v>
      </c>
      <c r="D13" s="180" t="str">
        <f aca="false">IFERROR(HYPERLINK("#'DL11. Buổi học'!A"&amp;MATCH("HV002",'DL09. Học viên'!A:A,0),"HV002"),"HV002")</f>
        <v>HV002</v>
      </c>
      <c r="E13" s="21" t="s">
        <v>2552</v>
      </c>
      <c r="F13" s="21" t="s">
        <v>3400</v>
      </c>
      <c r="G13" s="21" t="s">
        <v>1197</v>
      </c>
      <c r="H13" s="185" t="n">
        <v>46194.8333333333</v>
      </c>
      <c r="I13" s="178" t="n">
        <v>46196.375</v>
      </c>
      <c r="J13" s="185" t="n">
        <v>46195.4166666667</v>
      </c>
      <c r="K13" s="238" t="b">
        <f aca="false">FALSE()</f>
        <v>0</v>
      </c>
      <c r="L13" s="21" t="s">
        <v>1188</v>
      </c>
      <c r="M13" s="239" t="n">
        <v>6.5</v>
      </c>
      <c r="N13" s="21" t="s">
        <v>3396</v>
      </c>
      <c r="O13" s="185" t="n">
        <v>46196.4166666667</v>
      </c>
      <c r="P13" s="238" t="b">
        <f aca="false">TRUE()</f>
        <v>1</v>
      </c>
      <c r="Q13" s="240" t="s">
        <v>3401</v>
      </c>
      <c r="R13" s="180" t="str">
        <f aca="false">IFERROR(HYPERLINK("#'DL11. Buổi học'!A"&amp;MATCH("NV006",'DL01. Nhân viên'!A:A,0),"NV006"),"NV006")</f>
        <v>NV006</v>
      </c>
      <c r="S13" s="21"/>
      <c r="T13" s="187" t="str">
        <f aca="true" t="array" ref="T13:T13">IF(ISNUMBER(SEARCH("missing",L13)),INDEX('CH4. Thông điệp nhắc việc'!$G:$G,MATCH("NA029",'CH4. Thông điệp nhắc việc'!$A:$A,0)),IF(AND(ISNUMBER(SEARCH("submitted",L13)),M13=""),IF((NOW()-N(J13))*24&gt;slaHomeworkGrading_hours,INDEX('CH4. Thông điệp nhắc việc'!$G:$G,MATCH("NA071",'CH4. Thông điệp nhắc việc'!$A:$A,0)),INDEX('CH4. Thông điệp nhắc việc'!$G:$G,MATCH("NA072",'CH4. Thông điệp nhắc việc'!$A:$A,0))),IF(ISNUMBER(SEARCH("assigned",L13)),INDEX('CH4. Thông điệp nhắc việc'!$G:$G,MATCH("NA073",'CH4. Thông điệp nhắc việc'!$A:$A,0)),IF(M13&lt;&gt;"",INDEX('CH4. Thông điệp nhắc việc'!$G:$G,MATCH("NA030",'CH4. Thông điệp nhắc việc'!$A:$A,0)),""))))</f>
        <v>Đã chấm bài xong cho HV. Không cần làm gì thêm.</v>
      </c>
      <c r="U13" s="181" t="str">
        <f aca="false">IFERROR(VLOOKUP(C13,'DL10. Lớp học'!$A:$B,2,FALSE()),"")</f>
        <v>IELTS 6.5 Tối T2-T4-T6 (10/2025)</v>
      </c>
      <c r="V13" s="181" t="str">
        <f aca="false">IFERROR(VLOOKUP(R13,'DL01. Nhân viên'!$A:$B,2,FALSE()),"")</f>
        <v>Phạm Tấn Phát</v>
      </c>
    </row>
    <row r="14" customFormat="false" ht="45.75" hidden="false" customHeight="true" outlineLevel="0" collapsed="false">
      <c r="A14" s="21" t="s">
        <v>3402</v>
      </c>
      <c r="B14" s="180" t="str">
        <f aca="false">IFERROR(HYPERLINK("#'DL11. Buổi học'!A"&amp;MATCH("SES-010",'DL11. Buổi học'!A:A,0),"SES-010"),"SES-010")</f>
        <v>SES-010</v>
      </c>
      <c r="C14" s="180" t="str">
        <f aca="false">IFERROR(HYPERLINK("#'DL11. Buổi học'!A"&amp;MATCH("LOP-IELTS-7.0-02",'DL10. Lớp học'!A:A,0),"LOP-IELTS-7.0-02"),"LOP-IELTS-7.0-02")</f>
        <v>LOP-IELTS-7.0-02</v>
      </c>
      <c r="D14" s="180" t="str">
        <f aca="false">IFERROR(HYPERLINK("#'DL11. Buổi học'!A"&amp;MATCH("HV004",'DL09. Học viên'!A:A,0),"HV004"),"HV004")</f>
        <v>HV004</v>
      </c>
      <c r="E14" s="21" t="s">
        <v>2560</v>
      </c>
      <c r="F14" s="21" t="s">
        <v>3403</v>
      </c>
      <c r="G14" s="21" t="s">
        <v>1199</v>
      </c>
      <c r="H14" s="185" t="n">
        <v>46208.5715277778</v>
      </c>
      <c r="I14" s="178" t="n">
        <v>46211.375</v>
      </c>
      <c r="J14" s="185"/>
      <c r="K14" s="238" t="b">
        <f aca="false">FALSE()</f>
        <v>0</v>
      </c>
      <c r="L14" s="21" t="s">
        <v>1186</v>
      </c>
      <c r="M14" s="239"/>
      <c r="N14" s="21"/>
      <c r="O14" s="185"/>
      <c r="P14" s="238" t="b">
        <f aca="false">TRUE()</f>
        <v>1</v>
      </c>
      <c r="Q14" s="240"/>
      <c r="R14" s="180" t="str">
        <f aca="false">IFERROR(HYPERLINK("#'DL11. Buổi học'!A"&amp;MATCH("NV006",'DL01. Nhân viên'!A:A,0),"NV006"),"NV006")</f>
        <v>NV006</v>
      </c>
      <c r="S14" s="21"/>
      <c r="T14" s="187" t="str">
        <f aca="true" t="array" ref="T14:T14">IF(ISNUMBER(SEARCH("missing",L14)),INDEX('CH4. Thông điệp nhắc việc'!$G:$G,MATCH("NA029",'CH4. Thông điệp nhắc việc'!$A:$A,0)),IF(AND(ISNUMBER(SEARCH("submitted",L14)),M14=""),IF((NOW()-N(J14))*24&gt;slaHomeworkGrading_hours,INDEX('CH4. Thông điệp nhắc việc'!$G:$G,MATCH("NA071",'CH4. Thông điệp nhắc việc'!$A:$A,0)),INDEX('CH4. Thông điệp nhắc việc'!$G:$G,MATCH("NA072",'CH4. Thông điệp nhắc việc'!$A:$A,0))),IF(ISNUMBER(SEARCH("assigned",L14)),INDEX('CH4. Thông điệp nhắc việc'!$G:$G,MATCH("NA073",'CH4. Thông điệp nhắc việc'!$A:$A,0)),IF(M14&lt;&gt;"",INDEX('CH4. Thông điệp nhắc việc'!$G:$G,MATCH("NA030",'CH4. Thông điệp nhắc việc'!$A:$A,0)),""))))</f>
        <v>Đã giao bài, HV chưa tới hạn nộp. Chờ HV nộp bài.</v>
      </c>
      <c r="U14" s="181" t="str">
        <f aca="false">IFERROR(VLOOKUP(C14,'DL10. Lớp học'!$A:$B,2,FALSE()),"")</f>
        <v>IELTS 7.0+ Tối T3-T5 (02/2026)</v>
      </c>
      <c r="V14" s="181" t="str">
        <f aca="false">IFERROR(VLOOKUP(R14,'DL01. Nhân viên'!$A:$B,2,FALSE()),"")</f>
        <v>Phạm Tấn Phát</v>
      </c>
    </row>
    <row r="15" customFormat="false" ht="45.75" hidden="false" customHeight="true" outlineLevel="0" collapsed="false">
      <c r="A15" s="21" t="s">
        <v>3404</v>
      </c>
      <c r="B15" s="180" t="str">
        <f aca="false">IFERROR(HYPERLINK("#'DL11. Buổi học'!A"&amp;MATCH("SES-016",'DL11. Buổi học'!A:A,0),"SES-016"),"SES-016")</f>
        <v>SES-016</v>
      </c>
      <c r="C15" s="180" t="str">
        <f aca="false">IFERROR(HYPERLINK("#'DL11. Buổi học'!A"&amp;MATCH("LOP-FOUND-PLA-01",'DL10. Lớp học'!A:A,0),"LOP-FOUND-PLA-01"),"LOP-FOUND-PLA-01")</f>
        <v>LOP-FOUND-PLA-01</v>
      </c>
      <c r="D15" s="180" t="str">
        <f aca="false">IFERROR(HYPERLINK("#'DL11. Buổi học'!A"&amp;MATCH("HV001",'DL09. Học viên'!A:A,0),"HV001"),"HV001")</f>
        <v>HV001</v>
      </c>
      <c r="E15" s="21" t="s">
        <v>2548</v>
      </c>
      <c r="F15" s="21" t="s">
        <v>3405</v>
      </c>
      <c r="G15" s="21" t="s">
        <v>1199</v>
      </c>
      <c r="H15" s="185" t="n">
        <v>46204.8333333333</v>
      </c>
      <c r="I15" s="178" t="n">
        <v>46206.375</v>
      </c>
      <c r="J15" s="185" t="n">
        <v>46205.375</v>
      </c>
      <c r="K15" s="238" t="b">
        <f aca="false">FALSE()</f>
        <v>0</v>
      </c>
      <c r="L15" s="21" t="s">
        <v>1188</v>
      </c>
      <c r="M15" s="239" t="n">
        <v>6.5</v>
      </c>
      <c r="N15" s="21" t="s">
        <v>3396</v>
      </c>
      <c r="O15" s="185" t="n">
        <v>46206.4166666667</v>
      </c>
      <c r="P15" s="238" t="b">
        <f aca="false">TRUE()</f>
        <v>1</v>
      </c>
      <c r="Q15" s="240" t="s">
        <v>3397</v>
      </c>
      <c r="R15" s="180" t="str">
        <f aca="false">IFERROR(HYPERLINK("#'DL11. Buổi học'!A"&amp;MATCH("NV005",'DL01. Nhân viên'!A:A,0),"NV005"),"NV005")</f>
        <v>NV005</v>
      </c>
      <c r="S15" s="21"/>
      <c r="T15" s="187" t="str">
        <f aca="true" t="array" ref="T15:T15">IF(ISNUMBER(SEARCH("missing",L15)),INDEX('CH4. Thông điệp nhắc việc'!$G:$G,MATCH("NA029",'CH4. Thông điệp nhắc việc'!$A:$A,0)),IF(AND(ISNUMBER(SEARCH("submitted",L15)),M15=""),IF((NOW()-N(J15))*24&gt;slaHomeworkGrading_hours,INDEX('CH4. Thông điệp nhắc việc'!$G:$G,MATCH("NA071",'CH4. Thông điệp nhắc việc'!$A:$A,0)),INDEX('CH4. Thông điệp nhắc việc'!$G:$G,MATCH("NA072",'CH4. Thông điệp nhắc việc'!$A:$A,0))),IF(ISNUMBER(SEARCH("assigned",L15)),INDEX('CH4. Thông điệp nhắc việc'!$G:$G,MATCH("NA073",'CH4. Thông điệp nhắc việc'!$A:$A,0)),IF(M15&lt;&gt;"",INDEX('CH4. Thông điệp nhắc việc'!$G:$G,MATCH("NA030",'CH4. Thông điệp nhắc việc'!$A:$A,0)),""))))</f>
        <v>Đã chấm bài xong cho HV. Không cần làm gì thêm.</v>
      </c>
      <c r="U15" s="181" t="str">
        <f aca="false">IFERROR(VLOOKUP(C15,'DL10. Lớp học'!$A:$B,2,FALSE()),"")</f>
        <v>Foundation PLA T7-CN sáng (06/2026)</v>
      </c>
      <c r="V15" s="181" t="str">
        <f aca="false">IFERROR(VLOOKUP(R15,'DL01. Nhân viên'!$A:$B,2,FALSE()),"")</f>
        <v>Phan Trung Chính</v>
      </c>
    </row>
    <row r="16" customFormat="false" ht="45.75" hidden="false" customHeight="true" outlineLevel="0" collapsed="false">
      <c r="A16" s="21" t="s">
        <v>3406</v>
      </c>
      <c r="B16" s="180" t="str">
        <f aca="false">IFERROR(HYPERLINK("#'DL11. Buổi học'!A"&amp;MATCH("SES-016",'DL11. Buổi học'!A:A,0),"SES-016"),"SES-016")</f>
        <v>SES-016</v>
      </c>
      <c r="C16" s="180" t="str">
        <f aca="false">IFERROR(HYPERLINK("#'DL11. Buổi học'!A"&amp;MATCH("LOP-FOUND-PLA-01",'DL10. Lớp học'!A:A,0),"LOP-FOUND-PLA-01"),"LOP-FOUND-PLA-01")</f>
        <v>LOP-FOUND-PLA-01</v>
      </c>
      <c r="D16" s="180" t="str">
        <f aca="false">IFERROR(HYPERLINK("#'DL11. Buổi học'!A"&amp;MATCH("HV009",'DL09. Học viên'!A:A,0),"HV009"),"HV009")</f>
        <v>HV009</v>
      </c>
      <c r="E16" s="21" t="s">
        <v>2571</v>
      </c>
      <c r="F16" s="21" t="s">
        <v>3405</v>
      </c>
      <c r="G16" s="21" t="s">
        <v>1199</v>
      </c>
      <c r="H16" s="185" t="n">
        <v>46204.8333333333</v>
      </c>
      <c r="I16" s="178" t="n">
        <v>46206.375</v>
      </c>
      <c r="J16" s="185" t="n">
        <v>46205.4583333333</v>
      </c>
      <c r="K16" s="238" t="b">
        <f aca="false">FALSE()</f>
        <v>0</v>
      </c>
      <c r="L16" s="21" t="s">
        <v>1188</v>
      </c>
      <c r="M16" s="239" t="n">
        <v>5.5</v>
      </c>
      <c r="N16" s="21" t="s">
        <v>3396</v>
      </c>
      <c r="O16" s="185" t="n">
        <v>46206.4166666667</v>
      </c>
      <c r="P16" s="238" t="b">
        <f aca="false">TRUE()</f>
        <v>1</v>
      </c>
      <c r="Q16" s="240" t="s">
        <v>3407</v>
      </c>
      <c r="R16" s="180" t="str">
        <f aca="false">IFERROR(HYPERLINK("#'DL11. Buổi học'!A"&amp;MATCH("NV005",'DL01. Nhân viên'!A:A,0),"NV005"),"NV005")</f>
        <v>NV005</v>
      </c>
      <c r="S16" s="21"/>
      <c r="T16" s="187" t="str">
        <f aca="true" t="array" ref="T16:T16">IF(ISNUMBER(SEARCH("missing",L16)),INDEX('CH4. Thông điệp nhắc việc'!$G:$G,MATCH("NA029",'CH4. Thông điệp nhắc việc'!$A:$A,0)),IF(AND(ISNUMBER(SEARCH("submitted",L16)),M16=""),IF((NOW()-N(J16))*24&gt;slaHomeworkGrading_hours,INDEX('CH4. Thông điệp nhắc việc'!$G:$G,MATCH("NA071",'CH4. Thông điệp nhắc việc'!$A:$A,0)),INDEX('CH4. Thông điệp nhắc việc'!$G:$G,MATCH("NA072",'CH4. Thông điệp nhắc việc'!$A:$A,0))),IF(ISNUMBER(SEARCH("assigned",L16)),INDEX('CH4. Thông điệp nhắc việc'!$G:$G,MATCH("NA073",'CH4. Thông điệp nhắc việc'!$A:$A,0)),IF(M16&lt;&gt;"",INDEX('CH4. Thông điệp nhắc việc'!$G:$G,MATCH("NA030",'CH4. Thông điệp nhắc việc'!$A:$A,0)),""))))</f>
        <v>Đã chấm bài xong cho HV. Không cần làm gì thêm.</v>
      </c>
      <c r="U16" s="181" t="str">
        <f aca="false">IFERROR(VLOOKUP(C16,'DL10. Lớp học'!$A:$B,2,FALSE()),"")</f>
        <v>Foundation PLA T7-CN sáng (06/2026)</v>
      </c>
      <c r="V16" s="181" t="str">
        <f aca="false">IFERROR(VLOOKUP(R16,'DL01. Nhân viên'!$A:$B,2,FALSE()),"")</f>
        <v>Phan Trung Chính</v>
      </c>
    </row>
    <row r="17" customFormat="false" ht="45.75" hidden="false" customHeight="true" outlineLevel="0" collapsed="false">
      <c r="A17" s="21" t="s">
        <v>3408</v>
      </c>
      <c r="B17" s="180" t="str">
        <f aca="false">IFERROR(HYPERLINK("#'DL11. Buổi học'!A"&amp;MATCH("SES-016",'DL11. Buổi học'!A:A,0),"SES-016"),"SES-016")</f>
        <v>SES-016</v>
      </c>
      <c r="C17" s="180" t="str">
        <f aca="false">IFERROR(HYPERLINK("#'DL11. Buổi học'!A"&amp;MATCH("LOP-FOUND-PLA-01",'DL10. Lớp học'!A:A,0),"LOP-FOUND-PLA-01"),"LOP-FOUND-PLA-01")</f>
        <v>LOP-FOUND-PLA-01</v>
      </c>
      <c r="D17" s="180" t="str">
        <f aca="false">IFERROR(HYPERLINK("#'DL11. Buổi học'!A"&amp;MATCH("HV010",'DL09. Học viên'!A:A,0),"HV010"),"HV010")</f>
        <v>HV010</v>
      </c>
      <c r="E17" s="21" t="s">
        <v>2575</v>
      </c>
      <c r="F17" s="21" t="s">
        <v>3405</v>
      </c>
      <c r="G17" s="21" t="s">
        <v>1199</v>
      </c>
      <c r="H17" s="185" t="n">
        <v>46204.8333333333</v>
      </c>
      <c r="I17" s="178" t="n">
        <v>46206.375</v>
      </c>
      <c r="J17" s="185" t="n">
        <v>46207.375</v>
      </c>
      <c r="K17" s="238" t="b">
        <f aca="false">FALSE()</f>
        <v>0</v>
      </c>
      <c r="L17" s="21" t="s">
        <v>1190</v>
      </c>
      <c r="M17" s="239" t="n">
        <v>5</v>
      </c>
      <c r="N17" s="21" t="s">
        <v>3396</v>
      </c>
      <c r="O17" s="185" t="n">
        <v>46207.625</v>
      </c>
      <c r="P17" s="238" t="b">
        <f aca="false">TRUE()</f>
        <v>1</v>
      </c>
      <c r="Q17" s="240" t="s">
        <v>3409</v>
      </c>
      <c r="R17" s="180" t="str">
        <f aca="false">IFERROR(HYPERLINK("#'DL11. Buổi học'!A"&amp;MATCH("NV005",'DL01. Nhân viên'!A:A,0),"NV005"),"NV005")</f>
        <v>NV005</v>
      </c>
      <c r="S17" s="21"/>
      <c r="T17" s="187" t="str">
        <f aca="true" t="array" ref="T17:T17">IF(ISNUMBER(SEARCH("missing",L17)),INDEX('CH4. Thông điệp nhắc việc'!$G:$G,MATCH("NA029",'CH4. Thông điệp nhắc việc'!$A:$A,0)),IF(AND(ISNUMBER(SEARCH("submitted",L17)),M17=""),IF((NOW()-N(J17))*24&gt;slaHomeworkGrading_hours,INDEX('CH4. Thông điệp nhắc việc'!$G:$G,MATCH("NA071",'CH4. Thông điệp nhắc việc'!$A:$A,0)),INDEX('CH4. Thông điệp nhắc việc'!$G:$G,MATCH("NA072",'CH4. Thông điệp nhắc việc'!$A:$A,0))),IF(ISNUMBER(SEARCH("assigned",L17)),INDEX('CH4. Thông điệp nhắc việc'!$G:$G,MATCH("NA073",'CH4. Thông điệp nhắc việc'!$A:$A,0)),IF(M17&lt;&gt;"",INDEX('CH4. Thông điệp nhắc việc'!$G:$G,MATCH("NA030",'CH4. Thông điệp nhắc việc'!$A:$A,0)),""))))</f>
        <v>Đã chấm bài xong cho HV. Không cần làm gì thêm.</v>
      </c>
      <c r="U17" s="181" t="str">
        <f aca="false">IFERROR(VLOOKUP(C17,'DL10. Lớp học'!$A:$B,2,FALSE()),"")</f>
        <v>Foundation PLA T7-CN sáng (06/2026)</v>
      </c>
      <c r="V17" s="181" t="str">
        <f aca="false">IFERROR(VLOOKUP(R17,'DL01. Nhân viên'!$A:$B,2,FALSE()),"")</f>
        <v>Phan Trung Chính</v>
      </c>
    </row>
    <row r="18" customFormat="false" ht="45.75" hidden="false" customHeight="true" outlineLevel="0" collapsed="false">
      <c r="A18" s="21" t="s">
        <v>3410</v>
      </c>
      <c r="B18" s="180" t="str">
        <f aca="false">IFERROR(HYPERLINK("#'DL11. Buổi học'!A"&amp;MATCH("SES-018",'DL11. Buổi học'!A:A,0),"SES-018"),"SES-018")</f>
        <v>SES-018</v>
      </c>
      <c r="C18" s="180" t="str">
        <f aca="false">IFERROR(HYPERLINK("#'DL11. Buổi học'!A"&amp;MATCH("LOP-IELTS-6.5-04",'DL10. Lớp học'!A:A,0),"LOP-IELTS-6.5-04"),"LOP-IELTS-6.5-04")</f>
        <v>LOP-IELTS-6.5-04</v>
      </c>
      <c r="D18" s="180" t="str">
        <f aca="false">IFERROR(HYPERLINK("#'DL11. Buổi học'!A"&amp;MATCH("HV011",'DL09. Học viên'!A:A,0),"HV011"),"HV011")</f>
        <v>HV011</v>
      </c>
      <c r="E18" s="21" t="s">
        <v>2578</v>
      </c>
      <c r="F18" s="21" t="s">
        <v>3411</v>
      </c>
      <c r="G18" s="21" t="s">
        <v>1197</v>
      </c>
      <c r="H18" s="185" t="n">
        <v>46201.8333333333</v>
      </c>
      <c r="I18" s="178" t="n">
        <v>46203.375</v>
      </c>
      <c r="J18" s="185" t="n">
        <v>46202.375</v>
      </c>
      <c r="K18" s="238" t="b">
        <f aca="false">FALSE()</f>
        <v>0</v>
      </c>
      <c r="L18" s="21" t="s">
        <v>1188</v>
      </c>
      <c r="M18" s="239" t="n">
        <v>6</v>
      </c>
      <c r="N18" s="21" t="s">
        <v>3396</v>
      </c>
      <c r="O18" s="185" t="n">
        <v>46203.4166666667</v>
      </c>
      <c r="P18" s="238" t="b">
        <f aca="false">TRUE()</f>
        <v>1</v>
      </c>
      <c r="Q18" s="240" t="s">
        <v>3412</v>
      </c>
      <c r="R18" s="180" t="str">
        <f aca="false">IFERROR(HYPERLINK("#'DL11. Buổi học'!A"&amp;MATCH("NV006",'DL01. Nhân viên'!A:A,0),"NV006"),"NV006")</f>
        <v>NV006</v>
      </c>
      <c r="S18" s="21"/>
      <c r="T18" s="187" t="str">
        <f aca="true" t="array" ref="T18:T18">IF(ISNUMBER(SEARCH("missing",L18)),INDEX('CH4. Thông điệp nhắc việc'!$G:$G,MATCH("NA029",'CH4. Thông điệp nhắc việc'!$A:$A,0)),IF(AND(ISNUMBER(SEARCH("submitted",L18)),M18=""),IF((NOW()-N(J18))*24&gt;slaHomeworkGrading_hours,INDEX('CH4. Thông điệp nhắc việc'!$G:$G,MATCH("NA071",'CH4. Thông điệp nhắc việc'!$A:$A,0)),INDEX('CH4. Thông điệp nhắc việc'!$G:$G,MATCH("NA072",'CH4. Thông điệp nhắc việc'!$A:$A,0))),IF(ISNUMBER(SEARCH("assigned",L18)),INDEX('CH4. Thông điệp nhắc việc'!$G:$G,MATCH("NA073",'CH4. Thông điệp nhắc việc'!$A:$A,0)),IF(M18&lt;&gt;"",INDEX('CH4. Thông điệp nhắc việc'!$G:$G,MATCH("NA030",'CH4. Thông điệp nhắc việc'!$A:$A,0)),""))))</f>
        <v>Đã chấm bài xong cho HV. Không cần làm gì thêm.</v>
      </c>
      <c r="U18" s="181" t="str">
        <f aca="false">IFERROR(VLOOKUP(C18,'DL10. Lớp học'!$A:$B,2,FALSE()),"")</f>
        <v>IELTS 6.5 Tối T2-T4-T6 (10/2025)</v>
      </c>
      <c r="V18" s="181" t="str">
        <f aca="false">IFERROR(VLOOKUP(R18,'DL01. Nhân viên'!$A:$B,2,FALSE()),"")</f>
        <v>Phạm Tấn Phát</v>
      </c>
    </row>
    <row r="19" customFormat="false" ht="45.75" hidden="false" customHeight="true" outlineLevel="0" collapsed="false">
      <c r="A19" s="21" t="s">
        <v>3413</v>
      </c>
      <c r="B19" s="180" t="str">
        <f aca="false">IFERROR(HYPERLINK("#'DL11. Buổi học'!A"&amp;MATCH("SES-019",'DL11. Buổi học'!A:A,0),"SES-019"),"SES-019")</f>
        <v>SES-019</v>
      </c>
      <c r="C19" s="180" t="str">
        <f aca="false">IFERROR(HYPERLINK("#'DL11. Buổi học'!A"&amp;MATCH("LOP-IELTS-6.5-04",'DL10. Lớp học'!A:A,0),"LOP-IELTS-6.5-04"),"LOP-IELTS-6.5-04")</f>
        <v>LOP-IELTS-6.5-04</v>
      </c>
      <c r="D19" s="180" t="str">
        <f aca="false">IFERROR(HYPERLINK("#'DL11. Buổi học'!A"&amp;MATCH("HV002",'DL09. Học viên'!A:A,0),"HV002"),"HV002")</f>
        <v>HV002</v>
      </c>
      <c r="E19" s="21" t="s">
        <v>2552</v>
      </c>
      <c r="F19" s="21" t="s">
        <v>3414</v>
      </c>
      <c r="G19" s="21" t="s">
        <v>1197</v>
      </c>
      <c r="H19" s="185" t="n">
        <v>46205.8333333333</v>
      </c>
      <c r="I19" s="178" t="n">
        <v>46207.375</v>
      </c>
      <c r="J19" s="185" t="n">
        <v>46206.375</v>
      </c>
      <c r="K19" s="238" t="b">
        <f aca="false">FALSE()</f>
        <v>0</v>
      </c>
      <c r="L19" s="21" t="s">
        <v>1188</v>
      </c>
      <c r="M19" s="239" t="n">
        <v>7</v>
      </c>
      <c r="N19" s="21" t="s">
        <v>3396</v>
      </c>
      <c r="O19" s="185" t="n">
        <v>46207.4166666667</v>
      </c>
      <c r="P19" s="238" t="b">
        <f aca="false">TRUE()</f>
        <v>1</v>
      </c>
      <c r="Q19" s="240" t="s">
        <v>3401</v>
      </c>
      <c r="R19" s="180" t="str">
        <f aca="false">IFERROR(HYPERLINK("#'DL11. Buổi học'!A"&amp;MATCH("NV006",'DL01. Nhân viên'!A:A,0),"NV006"),"NV006")</f>
        <v>NV006</v>
      </c>
      <c r="S19" s="21"/>
      <c r="T19" s="187" t="str">
        <f aca="true" t="array" ref="T19:T19">IF(ISNUMBER(SEARCH("missing",L19)),INDEX('CH4. Thông điệp nhắc việc'!$G:$G,MATCH("NA029",'CH4. Thông điệp nhắc việc'!$A:$A,0)),IF(AND(ISNUMBER(SEARCH("submitted",L19)),M19=""),IF((NOW()-N(J19))*24&gt;slaHomeworkGrading_hours,INDEX('CH4. Thông điệp nhắc việc'!$G:$G,MATCH("NA071",'CH4. Thông điệp nhắc việc'!$A:$A,0)),INDEX('CH4. Thông điệp nhắc việc'!$G:$G,MATCH("NA072",'CH4. Thông điệp nhắc việc'!$A:$A,0))),IF(ISNUMBER(SEARCH("assigned",L19)),INDEX('CH4. Thông điệp nhắc việc'!$G:$G,MATCH("NA073",'CH4. Thông điệp nhắc việc'!$A:$A,0)),IF(M19&lt;&gt;"",INDEX('CH4. Thông điệp nhắc việc'!$G:$G,MATCH("NA030",'CH4. Thông điệp nhắc việc'!$A:$A,0)),""))))</f>
        <v>Đã chấm bài xong cho HV. Không cần làm gì thêm.</v>
      </c>
      <c r="U19" s="181" t="str">
        <f aca="false">IFERROR(VLOOKUP(C19,'DL10. Lớp học'!$A:$B,2,FALSE()),"")</f>
        <v>IELTS 6.5 Tối T2-T4-T6 (10/2025)</v>
      </c>
      <c r="V19" s="181" t="str">
        <f aca="false">IFERROR(VLOOKUP(R19,'DL01. Nhân viên'!$A:$B,2,FALSE()),"")</f>
        <v>Phạm Tấn Phát</v>
      </c>
    </row>
    <row r="20" customFormat="false" ht="45.75" hidden="false" customHeight="true" outlineLevel="0" collapsed="false">
      <c r="A20" s="21" t="s">
        <v>3415</v>
      </c>
      <c r="B20" s="180" t="str">
        <f aca="false">IFERROR(HYPERLINK("#'DL11. Buổi học'!A"&amp;MATCH("SES-020",'DL11. Buổi học'!A:A,0),"SES-020"),"SES-020")</f>
        <v>SES-020</v>
      </c>
      <c r="C20" s="180" t="str">
        <f aca="false">IFERROR(HYPERLINK("#'DL11. Buổi học'!A"&amp;MATCH("LOP-IELTS-6.0-12",'DL10. Lớp học'!A:A,0),"LOP-IELTS-6.0-12"),"LOP-IELTS-6.0-12")</f>
        <v>LOP-IELTS-6.0-12</v>
      </c>
      <c r="D20" s="180" t="str">
        <f aca="false">IFERROR(HYPERLINK("#'DL11. Buổi học'!A"&amp;MATCH("HV012",'DL09. Học viên'!A:A,0),"HV012"),"HV012")</f>
        <v>HV012</v>
      </c>
      <c r="E20" s="21" t="s">
        <v>2581</v>
      </c>
      <c r="F20" s="21" t="s">
        <v>3416</v>
      </c>
      <c r="G20" s="21" t="s">
        <v>1195</v>
      </c>
      <c r="H20" s="185" t="n">
        <v>46206.8333333333</v>
      </c>
      <c r="I20" s="178" t="n">
        <v>46208.375</v>
      </c>
      <c r="J20" s="185" t="n">
        <v>46207.375</v>
      </c>
      <c r="K20" s="238" t="b">
        <f aca="false">FALSE()</f>
        <v>0</v>
      </c>
      <c r="L20" s="21" t="s">
        <v>1188</v>
      </c>
      <c r="M20" s="239" t="n">
        <v>5.5</v>
      </c>
      <c r="N20" s="21" t="s">
        <v>3396</v>
      </c>
      <c r="O20" s="185" t="n">
        <v>46208.4166666667</v>
      </c>
      <c r="P20" s="238" t="b">
        <f aca="false">TRUE()</f>
        <v>1</v>
      </c>
      <c r="Q20" s="240" t="s">
        <v>3407</v>
      </c>
      <c r="R20" s="180" t="str">
        <f aca="false">IFERROR(HYPERLINK("#'DL11. Buổi học'!A"&amp;MATCH("NV031",'DL01. Nhân viên'!A:A,0),"NV031"),"NV031")</f>
        <v>NV031</v>
      </c>
      <c r="S20" s="21"/>
      <c r="T20" s="187" t="str">
        <f aca="true" t="array" ref="T20:T20">IF(ISNUMBER(SEARCH("missing",L20)),INDEX('CH4. Thông điệp nhắc việc'!$G:$G,MATCH("NA029",'CH4. Thông điệp nhắc việc'!$A:$A,0)),IF(AND(ISNUMBER(SEARCH("submitted",L20)),M20=""),IF((NOW()-N(J20))*24&gt;slaHomeworkGrading_hours,INDEX('CH4. Thông điệp nhắc việc'!$G:$G,MATCH("NA071",'CH4. Thông điệp nhắc việc'!$A:$A,0)),INDEX('CH4. Thông điệp nhắc việc'!$G:$G,MATCH("NA072",'CH4. Thông điệp nhắc việc'!$A:$A,0))),IF(ISNUMBER(SEARCH("assigned",L20)),INDEX('CH4. Thông điệp nhắc việc'!$G:$G,MATCH("NA073",'CH4. Thông điệp nhắc việc'!$A:$A,0)),IF(M20&lt;&gt;"",INDEX('CH4. Thông điệp nhắc việc'!$G:$G,MATCH("NA030",'CH4. Thông điệp nhắc việc'!$A:$A,0)),""))))</f>
        <v>Đã chấm bài xong cho HV. Không cần làm gì thêm.</v>
      </c>
      <c r="U20" s="181" t="str">
        <f aca="false">IFERROR(VLOOKUP(C20,'DL10. Lớp học'!$A:$B,2,FALSE()),"")</f>
        <v>IELTS 6.0 Cuối tuần (01/2026)</v>
      </c>
      <c r="V20" s="181" t="str">
        <f aca="false">IFERROR(VLOOKUP(R20,'DL01. Nhân viên'!$A:$B,2,FALSE()),"")</f>
        <v>Trần Thanh Minh</v>
      </c>
    </row>
    <row r="21" customFormat="false" ht="45.75" hidden="false" customHeight="true" outlineLevel="0" collapsed="false">
      <c r="A21" s="21" t="s">
        <v>3417</v>
      </c>
      <c r="B21" s="180" t="str">
        <f aca="false">IFERROR(HYPERLINK("#'DL11. Buổi học'!A"&amp;MATCH("SES-021",'DL11. Buổi học'!A:A,0),"SES-021"),"SES-021")</f>
        <v>SES-021</v>
      </c>
      <c r="C21" s="180" t="str">
        <f aca="false">IFERROR(HYPERLINK("#'DL11. Buổi học'!A"&amp;MATCH("LOP-IELTS-6.5-03",'DL10. Lớp học'!A:A,0),"LOP-IELTS-6.5-03"),"LOP-IELTS-6.5-03")</f>
        <v>LOP-IELTS-6.5-03</v>
      </c>
      <c r="D21" s="180" t="str">
        <f aca="false">IFERROR(HYPERLINK("#'DL11. Buổi học'!A"&amp;MATCH("HV014",'DL09. Học viên'!A:A,0),"HV014"),"HV014")</f>
        <v>HV014</v>
      </c>
      <c r="E21" s="21" t="s">
        <v>2587</v>
      </c>
      <c r="F21" s="21" t="s">
        <v>3418</v>
      </c>
      <c r="G21" s="21" t="s">
        <v>1199</v>
      </c>
      <c r="H21" s="185" t="n">
        <v>46207.875</v>
      </c>
      <c r="I21" s="178" t="n">
        <v>46209.375</v>
      </c>
      <c r="J21" s="185" t="n">
        <v>46208.375</v>
      </c>
      <c r="K21" s="238" t="b">
        <f aca="false">FALSE()</f>
        <v>0</v>
      </c>
      <c r="L21" s="21" t="s">
        <v>1188</v>
      </c>
      <c r="M21" s="239" t="n">
        <v>6</v>
      </c>
      <c r="N21" s="21" t="s">
        <v>3396</v>
      </c>
      <c r="O21" s="185" t="n">
        <v>46208.5</v>
      </c>
      <c r="P21" s="238" t="b">
        <f aca="false">TRUE()</f>
        <v>1</v>
      </c>
      <c r="Q21" s="240" t="s">
        <v>3397</v>
      </c>
      <c r="R21" s="180" t="str">
        <f aca="false">IFERROR(HYPERLINK("#'DL11. Buổi học'!A"&amp;MATCH("NV006",'DL01. Nhân viên'!A:A,0),"NV006"),"NV006")</f>
        <v>NV006</v>
      </c>
      <c r="S21" s="21"/>
      <c r="T21" s="187" t="str">
        <f aca="true" t="array" ref="T21:T21">IF(ISNUMBER(SEARCH("missing",L21)),INDEX('CH4. Thông điệp nhắc việc'!$G:$G,MATCH("NA029",'CH4. Thông điệp nhắc việc'!$A:$A,0)),IF(AND(ISNUMBER(SEARCH("submitted",L21)),M21=""),IF((NOW()-N(J21))*24&gt;slaHomeworkGrading_hours,INDEX('CH4. Thông điệp nhắc việc'!$G:$G,MATCH("NA071",'CH4. Thông điệp nhắc việc'!$A:$A,0)),INDEX('CH4. Thông điệp nhắc việc'!$G:$G,MATCH("NA072",'CH4. Thông điệp nhắc việc'!$A:$A,0))),IF(ISNUMBER(SEARCH("assigned",L21)),INDEX('CH4. Thông điệp nhắc việc'!$G:$G,MATCH("NA073",'CH4. Thông điệp nhắc việc'!$A:$A,0)),IF(M21&lt;&gt;"",INDEX('CH4. Thông điệp nhắc việc'!$G:$G,MATCH("NA030",'CH4. Thông điệp nhắc việc'!$A:$A,0)),""))))</f>
        <v>Đã chấm bài xong cho HV. Không cần làm gì thêm.</v>
      </c>
      <c r="U21" s="181" t="str">
        <f aca="false">IFERROR(VLOOKUP(C21,'DL10. Lớp học'!$A:$B,2,FALSE()),"")</f>
        <v>IELTS 6.5 Tối (05/2025)</v>
      </c>
      <c r="V21" s="181" t="str">
        <f aca="false">IFERROR(VLOOKUP(R21,'DL01. Nhân viên'!$A:$B,2,FALSE()),"")</f>
        <v>Phạm Tấn Phát</v>
      </c>
    </row>
    <row r="22" customFormat="false" ht="45.75" hidden="false" customHeight="true" outlineLevel="0" collapsed="false">
      <c r="A22" s="21" t="s">
        <v>3419</v>
      </c>
      <c r="B22" s="180" t="str">
        <f aca="false">IFERROR(HYPERLINK("#'DL11. Buổi học'!A"&amp;MATCH("SES-014",'DL11. Buổi học'!A:A,0),"SES-014"),"SES-014")</f>
        <v>SES-014</v>
      </c>
      <c r="C22" s="180" t="str">
        <f aca="false">IFERROR(HYPERLINK("#'DL11. Buổi học'!A"&amp;MATCH("LOP-IELTS-7.0-02",'DL10. Lớp học'!A:A,0),"LOP-IELTS-7.0-02"),"LOP-IELTS-7.0-02")</f>
        <v>LOP-IELTS-7.0-02</v>
      </c>
      <c r="D22" s="180" t="str">
        <f aca="false">IFERROR(HYPERLINK("#'DL11. Buổi học'!A"&amp;MATCH("HV013",'DL09. Học viên'!A:A,0),"HV013"),"HV013")</f>
        <v>HV013</v>
      </c>
      <c r="E22" s="21" t="s">
        <v>2584</v>
      </c>
      <c r="F22" s="21" t="s">
        <v>3383</v>
      </c>
      <c r="G22" s="21" t="s">
        <v>1199</v>
      </c>
      <c r="H22" s="185" t="n">
        <v>46204.8333333333</v>
      </c>
      <c r="I22" s="178" t="n">
        <v>46206.375</v>
      </c>
      <c r="J22" s="185" t="n">
        <v>46205.4166666667</v>
      </c>
      <c r="K22" s="238" t="b">
        <f aca="false">FALSE()</f>
        <v>0</v>
      </c>
      <c r="L22" s="21" t="s">
        <v>1188</v>
      </c>
      <c r="M22" s="239" t="n">
        <v>6</v>
      </c>
      <c r="N22" s="21" t="s">
        <v>3396</v>
      </c>
      <c r="O22" s="185" t="n">
        <v>46206.4583333333</v>
      </c>
      <c r="P22" s="238" t="b">
        <f aca="false">TRUE()</f>
        <v>1</v>
      </c>
      <c r="Q22" s="240" t="s">
        <v>3407</v>
      </c>
      <c r="R22" s="180" t="str">
        <f aca="false">IFERROR(HYPERLINK("#'DL11. Buổi học'!A"&amp;MATCH("NV006",'DL01. Nhân viên'!A:A,0),"NV006"),"NV006")</f>
        <v>NV006</v>
      </c>
      <c r="S22" s="21"/>
      <c r="T22" s="187" t="str">
        <f aca="true" t="array" ref="T22:T22">IF(ISNUMBER(SEARCH("missing",L22)),INDEX('CH4. Thông điệp nhắc việc'!$G:$G,MATCH("NA029",'CH4. Thông điệp nhắc việc'!$A:$A,0)),IF(AND(ISNUMBER(SEARCH("submitted",L22)),M22=""),IF((NOW()-N(J22))*24&gt;slaHomeworkGrading_hours,INDEX('CH4. Thông điệp nhắc việc'!$G:$G,MATCH("NA071",'CH4. Thông điệp nhắc việc'!$A:$A,0)),INDEX('CH4. Thông điệp nhắc việc'!$G:$G,MATCH("NA072",'CH4. Thông điệp nhắc việc'!$A:$A,0))),IF(ISNUMBER(SEARCH("assigned",L22)),INDEX('CH4. Thông điệp nhắc việc'!$G:$G,MATCH("NA073",'CH4. Thông điệp nhắc việc'!$A:$A,0)),IF(M22&lt;&gt;"",INDEX('CH4. Thông điệp nhắc việc'!$G:$G,MATCH("NA030",'CH4. Thông điệp nhắc việc'!$A:$A,0)),""))))</f>
        <v>Đã chấm bài xong cho HV. Không cần làm gì thêm.</v>
      </c>
      <c r="U22" s="181" t="str">
        <f aca="false">IFERROR(VLOOKUP(C22,'DL10. Lớp học'!$A:$B,2,FALSE()),"")</f>
        <v>IELTS 7.0+ Tối T3-T5 (02/2026)</v>
      </c>
      <c r="V22" s="181" t="str">
        <f aca="false">IFERROR(VLOOKUP(R22,'DL01. Nhân viên'!$A:$B,2,FALSE()),"")</f>
        <v>Phạm Tấn Phát</v>
      </c>
    </row>
    <row r="23" customFormat="false" ht="15.75" hidden="false" customHeight="true" outlineLevel="0" collapsed="false">
      <c r="A23" s="135"/>
      <c r="B23" s="135"/>
      <c r="C23" s="135"/>
      <c r="D23" s="135"/>
      <c r="E23" s="135"/>
      <c r="F23" s="135"/>
      <c r="G23" s="135"/>
      <c r="H23" s="189"/>
      <c r="I23" s="182"/>
      <c r="J23" s="189"/>
      <c r="K23" s="135"/>
      <c r="L23" s="135"/>
      <c r="M23" s="135"/>
      <c r="N23" s="135"/>
      <c r="O23" s="189"/>
      <c r="P23" s="135"/>
      <c r="Q23" s="229"/>
      <c r="R23" s="135"/>
      <c r="S23" s="135"/>
      <c r="T23" s="135"/>
      <c r="U23" s="135"/>
      <c r="V23" s="135"/>
    </row>
    <row r="24" customFormat="false" ht="15.75" hidden="false" customHeight="true" outlineLevel="0" collapsed="false">
      <c r="A24" s="135"/>
      <c r="B24" s="135"/>
      <c r="C24" s="135"/>
      <c r="D24" s="135"/>
      <c r="E24" s="135"/>
      <c r="F24" s="135"/>
      <c r="G24" s="135"/>
      <c r="H24" s="189"/>
      <c r="I24" s="182"/>
      <c r="J24" s="189"/>
      <c r="K24" s="135"/>
      <c r="L24" s="135"/>
      <c r="M24" s="135"/>
      <c r="N24" s="135"/>
      <c r="O24" s="189"/>
      <c r="P24" s="135"/>
      <c r="Q24" s="229"/>
      <c r="R24" s="135"/>
      <c r="S24" s="135"/>
      <c r="T24" s="135"/>
      <c r="U24" s="135"/>
      <c r="V24" s="135"/>
    </row>
    <row r="25" customFormat="false" ht="15.75" hidden="false" customHeight="true" outlineLevel="0" collapsed="false">
      <c r="A25" s="135"/>
      <c r="B25" s="135"/>
      <c r="C25" s="135"/>
      <c r="D25" s="135"/>
      <c r="E25" s="135"/>
      <c r="F25" s="135"/>
      <c r="G25" s="135"/>
      <c r="H25" s="189"/>
      <c r="I25" s="182"/>
      <c r="J25" s="189"/>
      <c r="K25" s="135"/>
      <c r="L25" s="135"/>
      <c r="M25" s="135"/>
      <c r="N25" s="135"/>
      <c r="O25" s="189"/>
      <c r="P25" s="135"/>
      <c r="Q25" s="229"/>
      <c r="R25" s="135"/>
      <c r="S25" s="135"/>
      <c r="T25" s="135"/>
      <c r="U25" s="135"/>
      <c r="V25" s="135"/>
    </row>
    <row r="26" customFormat="false" ht="15.75" hidden="false" customHeight="true" outlineLevel="0" collapsed="false">
      <c r="A26" s="135"/>
      <c r="B26" s="135"/>
      <c r="C26" s="135"/>
      <c r="D26" s="135"/>
      <c r="E26" s="135"/>
      <c r="F26" s="135"/>
      <c r="G26" s="135"/>
      <c r="H26" s="189"/>
      <c r="I26" s="182"/>
      <c r="J26" s="189"/>
      <c r="K26" s="135"/>
      <c r="L26" s="135"/>
      <c r="M26" s="135"/>
      <c r="N26" s="135"/>
      <c r="O26" s="189"/>
      <c r="P26" s="135"/>
      <c r="Q26" s="229"/>
      <c r="R26" s="135"/>
      <c r="S26" s="135"/>
      <c r="T26" s="135"/>
      <c r="U26" s="135"/>
      <c r="V26" s="135"/>
    </row>
    <row r="27" customFormat="false" ht="15.75" hidden="false" customHeight="true" outlineLevel="0" collapsed="false">
      <c r="A27" s="135"/>
      <c r="B27" s="135"/>
      <c r="C27" s="135"/>
      <c r="D27" s="135"/>
      <c r="E27" s="135"/>
      <c r="F27" s="135"/>
      <c r="G27" s="135"/>
      <c r="H27" s="189"/>
      <c r="I27" s="182"/>
      <c r="J27" s="189"/>
      <c r="K27" s="135"/>
      <c r="L27" s="135"/>
      <c r="M27" s="135"/>
      <c r="N27" s="135"/>
      <c r="O27" s="189"/>
      <c r="P27" s="135"/>
      <c r="Q27" s="229"/>
      <c r="R27" s="135"/>
      <c r="S27" s="135"/>
      <c r="T27" s="135"/>
      <c r="U27" s="135"/>
      <c r="V27" s="135"/>
    </row>
    <row r="28" customFormat="false" ht="15.75" hidden="false" customHeight="true" outlineLevel="0" collapsed="false">
      <c r="A28" s="135"/>
      <c r="B28" s="135"/>
      <c r="C28" s="135"/>
      <c r="D28" s="135"/>
      <c r="E28" s="135"/>
      <c r="F28" s="135"/>
      <c r="G28" s="135"/>
      <c r="H28" s="189"/>
      <c r="I28" s="182"/>
      <c r="J28" s="189"/>
      <c r="K28" s="135"/>
      <c r="L28" s="135"/>
      <c r="M28" s="135"/>
      <c r="N28" s="135"/>
      <c r="O28" s="189"/>
      <c r="P28" s="135"/>
      <c r="Q28" s="229"/>
      <c r="R28" s="135"/>
      <c r="S28" s="135"/>
      <c r="T28" s="135"/>
      <c r="U28" s="135"/>
      <c r="V28" s="135"/>
    </row>
    <row r="29" customFormat="false" ht="15.75" hidden="false" customHeight="true" outlineLevel="0" collapsed="false">
      <c r="A29" s="135"/>
      <c r="B29" s="135"/>
      <c r="C29" s="135"/>
      <c r="D29" s="135"/>
      <c r="E29" s="135"/>
      <c r="F29" s="135"/>
      <c r="G29" s="135"/>
      <c r="H29" s="189"/>
      <c r="I29" s="182"/>
      <c r="J29" s="189"/>
      <c r="K29" s="135"/>
      <c r="L29" s="135"/>
      <c r="M29" s="135"/>
      <c r="N29" s="135"/>
      <c r="O29" s="189"/>
      <c r="P29" s="135"/>
      <c r="Q29" s="229"/>
      <c r="R29" s="135"/>
      <c r="S29" s="135"/>
      <c r="T29" s="135"/>
      <c r="U29" s="135"/>
      <c r="V29" s="135"/>
    </row>
    <row r="30" customFormat="false" ht="15.75" hidden="false" customHeight="true" outlineLevel="0" collapsed="false">
      <c r="A30" s="135"/>
      <c r="B30" s="135"/>
      <c r="C30" s="135"/>
      <c r="D30" s="135"/>
      <c r="E30" s="135"/>
      <c r="F30" s="135"/>
      <c r="G30" s="135"/>
      <c r="H30" s="189"/>
      <c r="I30" s="182"/>
      <c r="J30" s="189"/>
      <c r="K30" s="135"/>
      <c r="L30" s="135"/>
      <c r="M30" s="135"/>
      <c r="N30" s="135"/>
      <c r="O30" s="189"/>
      <c r="P30" s="135"/>
      <c r="Q30" s="229"/>
      <c r="R30" s="135"/>
      <c r="S30" s="135"/>
      <c r="T30" s="135"/>
      <c r="U30" s="135"/>
      <c r="V30" s="135"/>
    </row>
    <row r="31" customFormat="false" ht="15.75" hidden="false" customHeight="true" outlineLevel="0" collapsed="false">
      <c r="A31" s="135"/>
      <c r="B31" s="135"/>
      <c r="C31" s="135"/>
      <c r="D31" s="135"/>
      <c r="E31" s="135"/>
      <c r="F31" s="135"/>
      <c r="G31" s="135"/>
      <c r="H31" s="189"/>
      <c r="I31" s="182"/>
      <c r="J31" s="189"/>
      <c r="K31" s="135"/>
      <c r="L31" s="135"/>
      <c r="M31" s="135"/>
      <c r="N31" s="135"/>
      <c r="O31" s="189"/>
      <c r="P31" s="135"/>
      <c r="Q31" s="229"/>
      <c r="R31" s="135"/>
      <c r="S31" s="135"/>
      <c r="T31" s="135"/>
      <c r="U31" s="135"/>
      <c r="V31" s="135"/>
    </row>
    <row r="32" customFormat="false" ht="15.75" hidden="false" customHeight="true" outlineLevel="0" collapsed="false">
      <c r="A32" s="135"/>
      <c r="B32" s="135"/>
      <c r="C32" s="135"/>
      <c r="D32" s="135"/>
      <c r="E32" s="135"/>
      <c r="F32" s="135"/>
      <c r="G32" s="135"/>
      <c r="H32" s="189"/>
      <c r="I32" s="182"/>
      <c r="J32" s="189"/>
      <c r="K32" s="135"/>
      <c r="L32" s="135"/>
      <c r="M32" s="135"/>
      <c r="N32" s="135"/>
      <c r="O32" s="189"/>
      <c r="P32" s="135"/>
      <c r="Q32" s="229"/>
      <c r="R32" s="135"/>
      <c r="S32" s="135"/>
      <c r="T32" s="135"/>
      <c r="U32" s="135"/>
      <c r="V32" s="135"/>
    </row>
    <row r="33" customFormat="false" ht="15.75" hidden="false" customHeight="true" outlineLevel="0" collapsed="false">
      <c r="A33" s="135"/>
      <c r="B33" s="135"/>
      <c r="C33" s="135"/>
      <c r="D33" s="135"/>
      <c r="E33" s="135"/>
      <c r="F33" s="135"/>
      <c r="G33" s="135"/>
      <c r="H33" s="189"/>
      <c r="I33" s="182"/>
      <c r="J33" s="189"/>
      <c r="K33" s="135"/>
      <c r="L33" s="135"/>
      <c r="M33" s="135"/>
      <c r="N33" s="135"/>
      <c r="O33" s="189"/>
      <c r="P33" s="135"/>
      <c r="Q33" s="229"/>
      <c r="R33" s="135"/>
      <c r="S33" s="135"/>
      <c r="T33" s="135"/>
      <c r="U33" s="135"/>
      <c r="V33" s="135"/>
    </row>
    <row r="34" customFormat="false" ht="15.75" hidden="false" customHeight="true" outlineLevel="0" collapsed="false">
      <c r="A34" s="135"/>
      <c r="B34" s="135"/>
      <c r="C34" s="135"/>
      <c r="D34" s="135"/>
      <c r="E34" s="135"/>
      <c r="F34" s="135"/>
      <c r="G34" s="135"/>
      <c r="H34" s="189"/>
      <c r="I34" s="182"/>
      <c r="J34" s="189"/>
      <c r="K34" s="135"/>
      <c r="L34" s="135"/>
      <c r="M34" s="135"/>
      <c r="N34" s="135"/>
      <c r="O34" s="189"/>
      <c r="P34" s="135"/>
      <c r="Q34" s="229"/>
      <c r="R34" s="135"/>
      <c r="S34" s="135"/>
      <c r="T34" s="135"/>
      <c r="U34" s="135"/>
      <c r="V34" s="135"/>
    </row>
    <row r="35" customFormat="false" ht="15.75" hidden="false" customHeight="true" outlineLevel="0" collapsed="false">
      <c r="A35" s="135"/>
      <c r="B35" s="135"/>
      <c r="C35" s="135"/>
      <c r="D35" s="135"/>
      <c r="E35" s="135"/>
      <c r="F35" s="135"/>
      <c r="G35" s="135"/>
      <c r="H35" s="189"/>
      <c r="I35" s="182"/>
      <c r="J35" s="189"/>
      <c r="K35" s="135"/>
      <c r="L35" s="135"/>
      <c r="M35" s="135"/>
      <c r="N35" s="135"/>
      <c r="O35" s="189"/>
      <c r="P35" s="135"/>
      <c r="Q35" s="229"/>
      <c r="R35" s="135"/>
      <c r="S35" s="135"/>
      <c r="T35" s="135"/>
      <c r="U35" s="135"/>
      <c r="V35" s="135"/>
    </row>
    <row r="36" customFormat="false" ht="15.75" hidden="false" customHeight="true" outlineLevel="0" collapsed="false">
      <c r="A36" s="135"/>
      <c r="B36" s="135"/>
      <c r="C36" s="135"/>
      <c r="D36" s="135"/>
      <c r="E36" s="135"/>
      <c r="F36" s="135"/>
      <c r="G36" s="135"/>
      <c r="H36" s="189"/>
      <c r="I36" s="182"/>
      <c r="J36" s="189"/>
      <c r="K36" s="135"/>
      <c r="L36" s="135"/>
      <c r="M36" s="135"/>
      <c r="N36" s="135"/>
      <c r="O36" s="189"/>
      <c r="P36" s="135"/>
      <c r="Q36" s="229"/>
      <c r="R36" s="135"/>
      <c r="S36" s="135"/>
      <c r="T36" s="135"/>
      <c r="U36" s="135"/>
      <c r="V36" s="135"/>
    </row>
    <row r="37" customFormat="false" ht="15.75" hidden="false" customHeight="true" outlineLevel="0" collapsed="false">
      <c r="A37" s="135"/>
      <c r="B37" s="135"/>
      <c r="C37" s="135"/>
      <c r="D37" s="135"/>
      <c r="E37" s="135"/>
      <c r="F37" s="135"/>
      <c r="G37" s="135"/>
      <c r="H37" s="189"/>
      <c r="I37" s="182"/>
      <c r="J37" s="189"/>
      <c r="K37" s="135"/>
      <c r="L37" s="135"/>
      <c r="M37" s="135"/>
      <c r="N37" s="135"/>
      <c r="O37" s="189"/>
      <c r="P37" s="135"/>
      <c r="Q37" s="229"/>
      <c r="R37" s="135"/>
      <c r="S37" s="135"/>
      <c r="T37" s="135"/>
      <c r="U37" s="135"/>
      <c r="V37" s="135"/>
    </row>
    <row r="38" customFormat="false" ht="15.75" hidden="false" customHeight="true" outlineLevel="0" collapsed="false">
      <c r="A38" s="135"/>
      <c r="B38" s="135"/>
      <c r="C38" s="135"/>
      <c r="D38" s="135"/>
      <c r="E38" s="135"/>
      <c r="F38" s="135"/>
      <c r="G38" s="135"/>
      <c r="H38" s="189"/>
      <c r="I38" s="182"/>
      <c r="J38" s="189"/>
      <c r="K38" s="135"/>
      <c r="L38" s="135"/>
      <c r="M38" s="135"/>
      <c r="N38" s="135"/>
      <c r="O38" s="189"/>
      <c r="P38" s="135"/>
      <c r="Q38" s="229"/>
      <c r="R38" s="135"/>
      <c r="S38" s="135"/>
      <c r="T38" s="135"/>
      <c r="U38" s="135"/>
      <c r="V38" s="135"/>
    </row>
    <row r="39" customFormat="false" ht="15.75" hidden="false" customHeight="true" outlineLevel="0" collapsed="false">
      <c r="A39" s="135"/>
      <c r="B39" s="135"/>
      <c r="C39" s="135"/>
      <c r="D39" s="135"/>
      <c r="E39" s="135"/>
      <c r="F39" s="135"/>
      <c r="G39" s="135"/>
      <c r="H39" s="189"/>
      <c r="I39" s="182"/>
      <c r="J39" s="189"/>
      <c r="K39" s="135"/>
      <c r="L39" s="135"/>
      <c r="M39" s="135"/>
      <c r="N39" s="135"/>
      <c r="O39" s="189"/>
      <c r="P39" s="135"/>
      <c r="Q39" s="229"/>
      <c r="R39" s="135"/>
      <c r="S39" s="135"/>
      <c r="T39" s="135"/>
      <c r="U39" s="135"/>
      <c r="V39" s="135"/>
    </row>
    <row r="40" customFormat="false" ht="15.75" hidden="false" customHeight="true" outlineLevel="0" collapsed="false">
      <c r="A40" s="135"/>
      <c r="B40" s="135"/>
      <c r="C40" s="135"/>
      <c r="D40" s="135"/>
      <c r="E40" s="135"/>
      <c r="F40" s="135"/>
      <c r="G40" s="135"/>
      <c r="H40" s="189"/>
      <c r="I40" s="182"/>
      <c r="J40" s="189"/>
      <c r="K40" s="135"/>
      <c r="L40" s="135"/>
      <c r="M40" s="135"/>
      <c r="N40" s="135"/>
      <c r="O40" s="189"/>
      <c r="P40" s="135"/>
      <c r="Q40" s="229"/>
      <c r="R40" s="135"/>
      <c r="S40" s="135"/>
      <c r="T40" s="135"/>
      <c r="U40" s="135"/>
      <c r="V40" s="135"/>
    </row>
    <row r="41" customFormat="false" ht="15.75" hidden="false" customHeight="true" outlineLevel="0" collapsed="false">
      <c r="A41" s="135"/>
      <c r="B41" s="135"/>
      <c r="C41" s="135"/>
      <c r="D41" s="135"/>
      <c r="E41" s="135"/>
      <c r="F41" s="135"/>
      <c r="G41" s="135"/>
      <c r="H41" s="189"/>
      <c r="I41" s="182"/>
      <c r="J41" s="189"/>
      <c r="K41" s="135"/>
      <c r="L41" s="135"/>
      <c r="M41" s="135"/>
      <c r="N41" s="135"/>
      <c r="O41" s="189"/>
      <c r="P41" s="135"/>
      <c r="Q41" s="229"/>
      <c r="R41" s="135"/>
      <c r="S41" s="135"/>
      <c r="T41" s="135"/>
      <c r="U41" s="135"/>
      <c r="V41" s="135"/>
    </row>
    <row r="42" customFormat="false" ht="15.75" hidden="false" customHeight="true" outlineLevel="0" collapsed="false">
      <c r="A42" s="135"/>
      <c r="B42" s="135"/>
      <c r="C42" s="135"/>
      <c r="D42" s="135"/>
      <c r="E42" s="135"/>
      <c r="F42" s="135"/>
      <c r="G42" s="135"/>
      <c r="H42" s="189"/>
      <c r="I42" s="182"/>
      <c r="J42" s="189"/>
      <c r="K42" s="135"/>
      <c r="L42" s="135"/>
      <c r="M42" s="135"/>
      <c r="N42" s="135"/>
      <c r="O42" s="189"/>
      <c r="P42" s="135"/>
      <c r="Q42" s="229"/>
      <c r="R42" s="135"/>
      <c r="S42" s="135"/>
      <c r="T42" s="135"/>
      <c r="U42" s="135"/>
      <c r="V42" s="135"/>
    </row>
    <row r="43" customFormat="false" ht="15.75" hidden="false" customHeight="true" outlineLevel="0" collapsed="false">
      <c r="A43" s="135"/>
      <c r="B43" s="135"/>
      <c r="C43" s="135"/>
      <c r="D43" s="135"/>
      <c r="E43" s="135"/>
      <c r="F43" s="135"/>
      <c r="G43" s="135"/>
      <c r="H43" s="189"/>
      <c r="I43" s="182"/>
      <c r="J43" s="189"/>
      <c r="K43" s="135"/>
      <c r="L43" s="135"/>
      <c r="M43" s="135"/>
      <c r="N43" s="135"/>
      <c r="O43" s="189"/>
      <c r="P43" s="135"/>
      <c r="Q43" s="229"/>
      <c r="R43" s="135"/>
      <c r="S43" s="135"/>
      <c r="T43" s="135"/>
      <c r="U43" s="135"/>
      <c r="V43" s="135"/>
    </row>
    <row r="44" customFormat="false" ht="15.75" hidden="false" customHeight="true" outlineLevel="0" collapsed="false">
      <c r="A44" s="135"/>
      <c r="B44" s="135"/>
      <c r="C44" s="135"/>
      <c r="D44" s="135"/>
      <c r="E44" s="135"/>
      <c r="F44" s="135"/>
      <c r="G44" s="135"/>
      <c r="H44" s="189"/>
      <c r="I44" s="182"/>
      <c r="J44" s="189"/>
      <c r="K44" s="135"/>
      <c r="L44" s="135"/>
      <c r="M44" s="135"/>
      <c r="N44" s="135"/>
      <c r="O44" s="189"/>
      <c r="P44" s="135"/>
      <c r="Q44" s="229"/>
      <c r="R44" s="135"/>
      <c r="S44" s="135"/>
      <c r="T44" s="135"/>
      <c r="U44" s="135"/>
      <c r="V44" s="135"/>
    </row>
    <row r="45" customFormat="false" ht="15.75" hidden="false" customHeight="true" outlineLevel="0" collapsed="false">
      <c r="A45" s="135"/>
      <c r="B45" s="135"/>
      <c r="C45" s="135"/>
      <c r="D45" s="135"/>
      <c r="E45" s="135"/>
      <c r="F45" s="135"/>
      <c r="G45" s="135"/>
      <c r="H45" s="189"/>
      <c r="I45" s="182"/>
      <c r="J45" s="189"/>
      <c r="K45" s="135"/>
      <c r="L45" s="135"/>
      <c r="M45" s="135"/>
      <c r="N45" s="135"/>
      <c r="O45" s="189"/>
      <c r="P45" s="135"/>
      <c r="Q45" s="229"/>
      <c r="R45" s="135"/>
      <c r="S45" s="135"/>
      <c r="T45" s="135"/>
      <c r="U45" s="135"/>
      <c r="V45" s="135"/>
    </row>
    <row r="46" customFormat="false" ht="15.75" hidden="false" customHeight="true" outlineLevel="0" collapsed="false">
      <c r="A46" s="135"/>
      <c r="B46" s="135"/>
      <c r="C46" s="135"/>
      <c r="D46" s="135"/>
      <c r="E46" s="135"/>
      <c r="F46" s="135"/>
      <c r="G46" s="135"/>
      <c r="H46" s="189"/>
      <c r="I46" s="182"/>
      <c r="J46" s="189"/>
      <c r="K46" s="135"/>
      <c r="L46" s="135"/>
      <c r="M46" s="135"/>
      <c r="N46" s="135"/>
      <c r="O46" s="189"/>
      <c r="P46" s="135"/>
      <c r="Q46" s="229"/>
      <c r="R46" s="135"/>
      <c r="S46" s="135"/>
      <c r="T46" s="135"/>
      <c r="U46" s="135"/>
      <c r="V46" s="135"/>
    </row>
    <row r="47" customFormat="false" ht="15.75" hidden="false" customHeight="true" outlineLevel="0" collapsed="false">
      <c r="A47" s="135"/>
      <c r="B47" s="135"/>
      <c r="C47" s="135"/>
      <c r="D47" s="135"/>
      <c r="E47" s="135"/>
      <c r="F47" s="135"/>
      <c r="G47" s="135"/>
      <c r="H47" s="189"/>
      <c r="I47" s="182"/>
      <c r="J47" s="189"/>
      <c r="K47" s="135"/>
      <c r="L47" s="135"/>
      <c r="M47" s="135"/>
      <c r="N47" s="135"/>
      <c r="O47" s="189"/>
      <c r="P47" s="135"/>
      <c r="Q47" s="229"/>
      <c r="R47" s="135"/>
      <c r="S47" s="135"/>
      <c r="T47" s="135"/>
      <c r="U47" s="135"/>
      <c r="V47" s="135"/>
    </row>
    <row r="48" customFormat="false" ht="15.75" hidden="false" customHeight="true" outlineLevel="0" collapsed="false">
      <c r="A48" s="135"/>
      <c r="B48" s="135"/>
      <c r="C48" s="135"/>
      <c r="D48" s="135"/>
      <c r="E48" s="135"/>
      <c r="F48" s="135"/>
      <c r="G48" s="135"/>
      <c r="H48" s="189"/>
      <c r="I48" s="182"/>
      <c r="J48" s="189"/>
      <c r="K48" s="135"/>
      <c r="L48" s="135"/>
      <c r="M48" s="135"/>
      <c r="N48" s="135"/>
      <c r="O48" s="189"/>
      <c r="P48" s="135"/>
      <c r="Q48" s="229"/>
      <c r="R48" s="135"/>
      <c r="S48" s="135"/>
      <c r="T48" s="135"/>
      <c r="U48" s="135"/>
      <c r="V48" s="135"/>
    </row>
    <row r="49" customFormat="false" ht="15.75" hidden="false" customHeight="true" outlineLevel="0" collapsed="false">
      <c r="A49" s="135"/>
      <c r="B49" s="135"/>
      <c r="C49" s="135"/>
      <c r="D49" s="135"/>
      <c r="E49" s="135"/>
      <c r="F49" s="135"/>
      <c r="G49" s="135"/>
      <c r="H49" s="189"/>
      <c r="I49" s="182"/>
      <c r="J49" s="189"/>
      <c r="K49" s="135"/>
      <c r="L49" s="135"/>
      <c r="M49" s="135"/>
      <c r="N49" s="135"/>
      <c r="O49" s="189"/>
      <c r="P49" s="135"/>
      <c r="Q49" s="229"/>
      <c r="R49" s="135"/>
      <c r="S49" s="135"/>
      <c r="T49" s="135"/>
      <c r="U49" s="135"/>
      <c r="V49" s="135"/>
    </row>
    <row r="50" customFormat="false" ht="15.75" hidden="false" customHeight="true" outlineLevel="0" collapsed="false">
      <c r="A50" s="135"/>
      <c r="B50" s="135"/>
      <c r="C50" s="135"/>
      <c r="D50" s="135"/>
      <c r="E50" s="135"/>
      <c r="F50" s="135"/>
      <c r="G50" s="135"/>
      <c r="H50" s="189"/>
      <c r="I50" s="182"/>
      <c r="J50" s="189"/>
      <c r="K50" s="135"/>
      <c r="L50" s="135"/>
      <c r="M50" s="135"/>
      <c r="N50" s="135"/>
      <c r="O50" s="189"/>
      <c r="P50" s="135"/>
      <c r="Q50" s="229"/>
      <c r="R50" s="135"/>
      <c r="S50" s="135"/>
      <c r="T50" s="135"/>
      <c r="U50" s="135"/>
      <c r="V50" s="135"/>
    </row>
    <row r="51" customFormat="false" ht="15.75" hidden="false" customHeight="true" outlineLevel="0" collapsed="false">
      <c r="A51" s="135"/>
      <c r="B51" s="135"/>
      <c r="C51" s="135"/>
      <c r="D51" s="135"/>
      <c r="E51" s="135"/>
      <c r="F51" s="135"/>
      <c r="G51" s="135"/>
      <c r="H51" s="189"/>
      <c r="I51" s="182"/>
      <c r="J51" s="189"/>
      <c r="K51" s="135"/>
      <c r="L51" s="135"/>
      <c r="M51" s="135"/>
      <c r="N51" s="135"/>
      <c r="O51" s="189"/>
      <c r="P51" s="135"/>
      <c r="Q51" s="229"/>
      <c r="R51" s="135"/>
      <c r="S51" s="135"/>
      <c r="T51" s="135"/>
      <c r="U51" s="135"/>
      <c r="V51" s="135"/>
    </row>
    <row r="52" customFormat="false" ht="15.75" hidden="false" customHeight="true" outlineLevel="0" collapsed="false">
      <c r="A52" s="135"/>
      <c r="B52" s="135"/>
      <c r="C52" s="135"/>
      <c r="D52" s="135"/>
      <c r="E52" s="135"/>
      <c r="F52" s="135"/>
      <c r="G52" s="135"/>
      <c r="H52" s="189"/>
      <c r="I52" s="182"/>
      <c r="J52" s="189"/>
      <c r="K52" s="135"/>
      <c r="L52" s="135"/>
      <c r="M52" s="135"/>
      <c r="N52" s="135"/>
      <c r="O52" s="189"/>
      <c r="P52" s="135"/>
      <c r="Q52" s="229"/>
      <c r="R52" s="135"/>
      <c r="S52" s="135"/>
      <c r="T52" s="135"/>
      <c r="U52" s="135"/>
      <c r="V52" s="135"/>
    </row>
    <row r="53" customFormat="false" ht="15.75" hidden="false" customHeight="true" outlineLevel="0" collapsed="false">
      <c r="A53" s="135"/>
      <c r="B53" s="135"/>
      <c r="C53" s="135"/>
      <c r="D53" s="135"/>
      <c r="E53" s="135"/>
      <c r="F53" s="135"/>
      <c r="G53" s="135"/>
      <c r="H53" s="189"/>
      <c r="I53" s="182"/>
      <c r="J53" s="189"/>
      <c r="K53" s="135"/>
      <c r="L53" s="135"/>
      <c r="M53" s="135"/>
      <c r="N53" s="135"/>
      <c r="O53" s="189"/>
      <c r="P53" s="135"/>
      <c r="Q53" s="229"/>
      <c r="R53" s="135"/>
      <c r="S53" s="135"/>
      <c r="T53" s="135"/>
      <c r="U53" s="135"/>
      <c r="V53" s="135"/>
    </row>
    <row r="54" customFormat="false" ht="15.75" hidden="false" customHeight="true" outlineLevel="0" collapsed="false">
      <c r="A54" s="135"/>
      <c r="B54" s="135"/>
      <c r="C54" s="135"/>
      <c r="D54" s="135"/>
      <c r="E54" s="135"/>
      <c r="F54" s="135"/>
      <c r="G54" s="135"/>
      <c r="H54" s="189"/>
      <c r="I54" s="182"/>
      <c r="J54" s="189"/>
      <c r="K54" s="135"/>
      <c r="L54" s="135"/>
      <c r="M54" s="135"/>
      <c r="N54" s="135"/>
      <c r="O54" s="189"/>
      <c r="P54" s="135"/>
      <c r="Q54" s="229"/>
      <c r="R54" s="135"/>
      <c r="S54" s="135"/>
      <c r="T54" s="135"/>
      <c r="U54" s="135"/>
      <c r="V54" s="135"/>
    </row>
    <row r="55" customFormat="false" ht="15.75" hidden="false" customHeight="true" outlineLevel="0" collapsed="false">
      <c r="A55" s="135"/>
      <c r="B55" s="135"/>
      <c r="C55" s="135"/>
      <c r="D55" s="135"/>
      <c r="E55" s="135"/>
      <c r="F55" s="135"/>
      <c r="G55" s="135"/>
      <c r="H55" s="189"/>
      <c r="I55" s="182"/>
      <c r="J55" s="189"/>
      <c r="K55" s="135"/>
      <c r="L55" s="135"/>
      <c r="M55" s="135"/>
      <c r="N55" s="135"/>
      <c r="O55" s="189"/>
      <c r="P55" s="135"/>
      <c r="Q55" s="229"/>
      <c r="R55" s="135"/>
      <c r="S55" s="135"/>
      <c r="T55" s="135"/>
      <c r="U55" s="135"/>
      <c r="V55" s="135"/>
    </row>
    <row r="56" customFormat="false" ht="15.75" hidden="false" customHeight="true" outlineLevel="0" collapsed="false">
      <c r="A56" s="135"/>
      <c r="B56" s="135"/>
      <c r="C56" s="135"/>
      <c r="D56" s="135"/>
      <c r="E56" s="135"/>
      <c r="F56" s="135"/>
      <c r="G56" s="135"/>
      <c r="H56" s="189"/>
      <c r="I56" s="182"/>
      <c r="J56" s="189"/>
      <c r="K56" s="135"/>
      <c r="L56" s="135"/>
      <c r="M56" s="135"/>
      <c r="N56" s="135"/>
      <c r="O56" s="189"/>
      <c r="P56" s="135"/>
      <c r="Q56" s="229"/>
      <c r="R56" s="135"/>
      <c r="S56" s="135"/>
      <c r="T56" s="135"/>
      <c r="U56" s="135"/>
      <c r="V56" s="135"/>
    </row>
    <row r="57" customFormat="false" ht="15.75" hidden="false" customHeight="true" outlineLevel="0" collapsed="false">
      <c r="A57" s="135"/>
      <c r="B57" s="135"/>
      <c r="C57" s="135"/>
      <c r="D57" s="135"/>
      <c r="E57" s="135"/>
      <c r="F57" s="135"/>
      <c r="G57" s="135"/>
      <c r="H57" s="189"/>
      <c r="I57" s="182"/>
      <c r="J57" s="189"/>
      <c r="K57" s="135"/>
      <c r="L57" s="135"/>
      <c r="M57" s="135"/>
      <c r="N57" s="135"/>
      <c r="O57" s="189"/>
      <c r="P57" s="135"/>
      <c r="Q57" s="229"/>
      <c r="R57" s="135"/>
      <c r="S57" s="135"/>
      <c r="T57" s="135"/>
      <c r="U57" s="135"/>
      <c r="V57" s="135"/>
    </row>
    <row r="58" customFormat="false" ht="15.75" hidden="false" customHeight="true" outlineLevel="0" collapsed="false">
      <c r="A58" s="135"/>
      <c r="B58" s="135"/>
      <c r="C58" s="135"/>
      <c r="D58" s="135"/>
      <c r="E58" s="135"/>
      <c r="F58" s="135"/>
      <c r="G58" s="135"/>
      <c r="H58" s="189"/>
      <c r="I58" s="182"/>
      <c r="J58" s="189"/>
      <c r="K58" s="135"/>
      <c r="L58" s="135"/>
      <c r="M58" s="135"/>
      <c r="N58" s="135"/>
      <c r="O58" s="189"/>
      <c r="P58" s="135"/>
      <c r="Q58" s="229"/>
      <c r="R58" s="135"/>
      <c r="S58" s="135"/>
      <c r="T58" s="135"/>
      <c r="U58" s="135"/>
      <c r="V58" s="135"/>
    </row>
    <row r="59" customFormat="false" ht="15.75" hidden="false" customHeight="true" outlineLevel="0" collapsed="false">
      <c r="A59" s="135"/>
      <c r="B59" s="135"/>
      <c r="C59" s="135"/>
      <c r="D59" s="135"/>
      <c r="E59" s="135"/>
      <c r="F59" s="135"/>
      <c r="G59" s="135"/>
      <c r="H59" s="189"/>
      <c r="I59" s="182"/>
      <c r="J59" s="189"/>
      <c r="K59" s="135"/>
      <c r="L59" s="135"/>
      <c r="M59" s="135"/>
      <c r="N59" s="135"/>
      <c r="O59" s="189"/>
      <c r="P59" s="135"/>
      <c r="Q59" s="229"/>
      <c r="R59" s="135"/>
      <c r="S59" s="135"/>
      <c r="T59" s="135"/>
      <c r="U59" s="135"/>
      <c r="V59" s="135"/>
    </row>
    <row r="60" customFormat="false" ht="15.75" hidden="false" customHeight="true" outlineLevel="0" collapsed="false">
      <c r="A60" s="135"/>
      <c r="B60" s="135"/>
      <c r="C60" s="135"/>
      <c r="D60" s="135"/>
      <c r="E60" s="135"/>
      <c r="F60" s="135"/>
      <c r="G60" s="135"/>
      <c r="H60" s="189"/>
      <c r="I60" s="182"/>
      <c r="J60" s="189"/>
      <c r="K60" s="135"/>
      <c r="L60" s="135"/>
      <c r="M60" s="135"/>
      <c r="N60" s="135"/>
      <c r="O60" s="189"/>
      <c r="P60" s="135"/>
      <c r="Q60" s="229"/>
      <c r="R60" s="135"/>
      <c r="S60" s="135"/>
      <c r="T60" s="135"/>
      <c r="U60" s="135"/>
      <c r="V60" s="135"/>
    </row>
    <row r="61" customFormat="false" ht="15.75" hidden="false" customHeight="true" outlineLevel="0" collapsed="false">
      <c r="A61" s="135"/>
      <c r="B61" s="135"/>
      <c r="C61" s="135"/>
      <c r="D61" s="135"/>
      <c r="E61" s="135"/>
      <c r="F61" s="135"/>
      <c r="G61" s="135"/>
      <c r="H61" s="189"/>
      <c r="I61" s="182"/>
      <c r="J61" s="189"/>
      <c r="K61" s="135"/>
      <c r="L61" s="135"/>
      <c r="M61" s="135"/>
      <c r="N61" s="135"/>
      <c r="O61" s="189"/>
      <c r="P61" s="135"/>
      <c r="Q61" s="229"/>
      <c r="R61" s="135"/>
      <c r="S61" s="135"/>
      <c r="T61" s="135"/>
      <c r="U61" s="135"/>
      <c r="V61" s="135"/>
    </row>
    <row r="62" customFormat="false" ht="15.75" hidden="false" customHeight="true" outlineLevel="0" collapsed="false">
      <c r="A62" s="135"/>
      <c r="B62" s="135"/>
      <c r="C62" s="135"/>
      <c r="D62" s="135"/>
      <c r="E62" s="135"/>
      <c r="F62" s="135"/>
      <c r="G62" s="135"/>
      <c r="H62" s="189"/>
      <c r="I62" s="182"/>
      <c r="J62" s="189"/>
      <c r="K62" s="135"/>
      <c r="L62" s="135"/>
      <c r="M62" s="135"/>
      <c r="N62" s="135"/>
      <c r="O62" s="189"/>
      <c r="P62" s="135"/>
      <c r="Q62" s="229"/>
      <c r="R62" s="135"/>
      <c r="S62" s="135"/>
      <c r="T62" s="135"/>
      <c r="U62" s="135"/>
      <c r="V62" s="135"/>
    </row>
    <row r="63" customFormat="false" ht="15.75" hidden="false" customHeight="true" outlineLevel="0" collapsed="false">
      <c r="A63" s="135"/>
      <c r="B63" s="135"/>
      <c r="C63" s="135"/>
      <c r="D63" s="135"/>
      <c r="E63" s="135"/>
      <c r="F63" s="135"/>
      <c r="G63" s="135"/>
      <c r="H63" s="189"/>
      <c r="I63" s="182"/>
      <c r="J63" s="189"/>
      <c r="K63" s="135"/>
      <c r="L63" s="135"/>
      <c r="M63" s="135"/>
      <c r="N63" s="135"/>
      <c r="O63" s="189"/>
      <c r="P63" s="135"/>
      <c r="Q63" s="229"/>
      <c r="R63" s="135"/>
      <c r="S63" s="135"/>
      <c r="T63" s="135"/>
      <c r="U63" s="135"/>
      <c r="V63" s="135"/>
    </row>
    <row r="64" customFormat="false" ht="15.75" hidden="false" customHeight="true" outlineLevel="0" collapsed="false">
      <c r="A64" s="135"/>
      <c r="B64" s="135"/>
      <c r="C64" s="135"/>
      <c r="D64" s="135"/>
      <c r="E64" s="135"/>
      <c r="F64" s="135"/>
      <c r="G64" s="135"/>
      <c r="H64" s="189"/>
      <c r="I64" s="182"/>
      <c r="J64" s="189"/>
      <c r="K64" s="135"/>
      <c r="L64" s="135"/>
      <c r="M64" s="135"/>
      <c r="N64" s="135"/>
      <c r="O64" s="189"/>
      <c r="P64" s="135"/>
      <c r="Q64" s="229"/>
      <c r="R64" s="135"/>
      <c r="S64" s="135"/>
      <c r="T64" s="135"/>
      <c r="U64" s="135"/>
      <c r="V64" s="135"/>
    </row>
    <row r="65" customFormat="false" ht="15.75" hidden="false" customHeight="true" outlineLevel="0" collapsed="false">
      <c r="A65" s="135"/>
      <c r="B65" s="135"/>
      <c r="C65" s="135"/>
      <c r="D65" s="135"/>
      <c r="E65" s="135"/>
      <c r="F65" s="135"/>
      <c r="G65" s="135"/>
      <c r="H65" s="189"/>
      <c r="I65" s="182"/>
      <c r="J65" s="189"/>
      <c r="K65" s="135"/>
      <c r="L65" s="135"/>
      <c r="M65" s="135"/>
      <c r="N65" s="135"/>
      <c r="O65" s="189"/>
      <c r="P65" s="135"/>
      <c r="Q65" s="229"/>
      <c r="R65" s="135"/>
      <c r="S65" s="135"/>
      <c r="T65" s="135"/>
      <c r="U65" s="135"/>
      <c r="V65" s="135"/>
    </row>
    <row r="66" customFormat="false" ht="15.75" hidden="false" customHeight="true" outlineLevel="0" collapsed="false">
      <c r="A66" s="135"/>
      <c r="B66" s="135"/>
      <c r="C66" s="135"/>
      <c r="D66" s="135"/>
      <c r="E66" s="135"/>
      <c r="F66" s="135"/>
      <c r="G66" s="135"/>
      <c r="H66" s="189"/>
      <c r="I66" s="182"/>
      <c r="J66" s="189"/>
      <c r="K66" s="135"/>
      <c r="L66" s="135"/>
      <c r="M66" s="135"/>
      <c r="N66" s="135"/>
      <c r="O66" s="189"/>
      <c r="P66" s="135"/>
      <c r="Q66" s="229"/>
      <c r="R66" s="135"/>
      <c r="S66" s="135"/>
      <c r="T66" s="135"/>
      <c r="U66" s="135"/>
      <c r="V66" s="135"/>
    </row>
    <row r="67" customFormat="false" ht="15.75" hidden="false" customHeight="true" outlineLevel="0" collapsed="false">
      <c r="A67" s="135"/>
      <c r="B67" s="135"/>
      <c r="C67" s="135"/>
      <c r="D67" s="135"/>
      <c r="E67" s="135"/>
      <c r="F67" s="135"/>
      <c r="G67" s="135"/>
      <c r="H67" s="189"/>
      <c r="I67" s="182"/>
      <c r="J67" s="189"/>
      <c r="K67" s="135"/>
      <c r="L67" s="135"/>
      <c r="M67" s="135"/>
      <c r="N67" s="135"/>
      <c r="O67" s="189"/>
      <c r="P67" s="135"/>
      <c r="Q67" s="229"/>
      <c r="R67" s="135"/>
      <c r="S67" s="135"/>
      <c r="T67" s="135"/>
      <c r="U67" s="135"/>
      <c r="V67" s="135"/>
    </row>
    <row r="68" customFormat="false" ht="15.75" hidden="false" customHeight="true" outlineLevel="0" collapsed="false">
      <c r="A68" s="135"/>
      <c r="B68" s="135"/>
      <c r="C68" s="135"/>
      <c r="D68" s="135"/>
      <c r="E68" s="135"/>
      <c r="F68" s="135"/>
      <c r="G68" s="135"/>
      <c r="H68" s="189"/>
      <c r="I68" s="182"/>
      <c r="J68" s="189"/>
      <c r="K68" s="135"/>
      <c r="L68" s="135"/>
      <c r="M68" s="135"/>
      <c r="N68" s="135"/>
      <c r="O68" s="189"/>
      <c r="P68" s="135"/>
      <c r="Q68" s="229"/>
      <c r="R68" s="135"/>
      <c r="S68" s="135"/>
      <c r="T68" s="135"/>
      <c r="U68" s="135"/>
      <c r="V68" s="135"/>
    </row>
    <row r="69" customFormat="false" ht="15.75" hidden="false" customHeight="true" outlineLevel="0" collapsed="false">
      <c r="A69" s="135"/>
      <c r="B69" s="135"/>
      <c r="C69" s="135"/>
      <c r="D69" s="135"/>
      <c r="E69" s="135"/>
      <c r="F69" s="135"/>
      <c r="G69" s="135"/>
      <c r="H69" s="189"/>
      <c r="I69" s="182"/>
      <c r="J69" s="189"/>
      <c r="K69" s="135"/>
      <c r="L69" s="135"/>
      <c r="M69" s="135"/>
      <c r="N69" s="135"/>
      <c r="O69" s="189"/>
      <c r="P69" s="135"/>
      <c r="Q69" s="229"/>
      <c r="R69" s="135"/>
      <c r="S69" s="135"/>
      <c r="T69" s="135"/>
      <c r="U69" s="135"/>
      <c r="V69" s="135"/>
    </row>
    <row r="70" customFormat="false" ht="15.75" hidden="false" customHeight="true" outlineLevel="0" collapsed="false">
      <c r="A70" s="135"/>
      <c r="B70" s="135"/>
      <c r="C70" s="135"/>
      <c r="D70" s="135"/>
      <c r="E70" s="135"/>
      <c r="F70" s="135"/>
      <c r="G70" s="135"/>
      <c r="H70" s="189"/>
      <c r="I70" s="182"/>
      <c r="J70" s="189"/>
      <c r="K70" s="135"/>
      <c r="L70" s="135"/>
      <c r="M70" s="135"/>
      <c r="N70" s="135"/>
      <c r="O70" s="189"/>
      <c r="P70" s="135"/>
      <c r="Q70" s="229"/>
      <c r="R70" s="135"/>
      <c r="S70" s="135"/>
      <c r="T70" s="135"/>
      <c r="U70" s="135"/>
      <c r="V70" s="135"/>
    </row>
    <row r="71" customFormat="false" ht="15.75" hidden="false" customHeight="true" outlineLevel="0" collapsed="false">
      <c r="A71" s="135"/>
      <c r="B71" s="135"/>
      <c r="C71" s="135"/>
      <c r="D71" s="135"/>
      <c r="E71" s="135"/>
      <c r="F71" s="135"/>
      <c r="G71" s="135"/>
      <c r="H71" s="189"/>
      <c r="I71" s="182"/>
      <c r="J71" s="189"/>
      <c r="K71" s="135"/>
      <c r="L71" s="135"/>
      <c r="M71" s="135"/>
      <c r="N71" s="135"/>
      <c r="O71" s="189"/>
      <c r="P71" s="135"/>
      <c r="Q71" s="229"/>
      <c r="R71" s="135"/>
      <c r="S71" s="135"/>
      <c r="T71" s="135"/>
      <c r="U71" s="135"/>
      <c r="V71" s="135"/>
    </row>
    <row r="72" customFormat="false" ht="15.75" hidden="false" customHeight="true" outlineLevel="0" collapsed="false">
      <c r="A72" s="135"/>
      <c r="B72" s="135"/>
      <c r="C72" s="135"/>
      <c r="D72" s="135"/>
      <c r="E72" s="135"/>
      <c r="F72" s="135"/>
      <c r="G72" s="135"/>
      <c r="H72" s="189"/>
      <c r="I72" s="182"/>
      <c r="J72" s="189"/>
      <c r="K72" s="135"/>
      <c r="L72" s="135"/>
      <c r="M72" s="135"/>
      <c r="N72" s="135"/>
      <c r="O72" s="189"/>
      <c r="P72" s="135"/>
      <c r="Q72" s="229"/>
      <c r="R72" s="135"/>
      <c r="S72" s="135"/>
      <c r="T72" s="135"/>
      <c r="U72" s="135"/>
      <c r="V72" s="135"/>
    </row>
    <row r="73" customFormat="false" ht="15.75" hidden="false" customHeight="true" outlineLevel="0" collapsed="false">
      <c r="A73" s="135"/>
      <c r="B73" s="135"/>
      <c r="C73" s="135"/>
      <c r="D73" s="135"/>
      <c r="E73" s="135"/>
      <c r="F73" s="135"/>
      <c r="G73" s="135"/>
      <c r="H73" s="189"/>
      <c r="I73" s="182"/>
      <c r="J73" s="189"/>
      <c r="K73" s="135"/>
      <c r="L73" s="135"/>
      <c r="M73" s="135"/>
      <c r="N73" s="135"/>
      <c r="O73" s="189"/>
      <c r="P73" s="135"/>
      <c r="Q73" s="229"/>
      <c r="R73" s="135"/>
      <c r="S73" s="135"/>
      <c r="T73" s="135"/>
      <c r="U73" s="135"/>
      <c r="V73" s="135"/>
    </row>
    <row r="74" customFormat="false" ht="15.75" hidden="false" customHeight="true" outlineLevel="0" collapsed="false">
      <c r="A74" s="135"/>
      <c r="B74" s="135"/>
      <c r="C74" s="135"/>
      <c r="D74" s="135"/>
      <c r="E74" s="135"/>
      <c r="F74" s="135"/>
      <c r="G74" s="135"/>
      <c r="H74" s="189"/>
      <c r="I74" s="182"/>
      <c r="J74" s="189"/>
      <c r="K74" s="135"/>
      <c r="L74" s="135"/>
      <c r="M74" s="135"/>
      <c r="N74" s="135"/>
      <c r="O74" s="189"/>
      <c r="P74" s="135"/>
      <c r="Q74" s="229"/>
      <c r="R74" s="135"/>
      <c r="S74" s="135"/>
      <c r="T74" s="135"/>
      <c r="U74" s="135"/>
      <c r="V74" s="135"/>
    </row>
    <row r="75" customFormat="false" ht="15.75" hidden="false" customHeight="true" outlineLevel="0" collapsed="false">
      <c r="A75" s="135"/>
      <c r="B75" s="135"/>
      <c r="C75" s="135"/>
      <c r="D75" s="135"/>
      <c r="E75" s="135"/>
      <c r="F75" s="135"/>
      <c r="G75" s="135"/>
      <c r="H75" s="189"/>
      <c r="I75" s="182"/>
      <c r="J75" s="189"/>
      <c r="K75" s="135"/>
      <c r="L75" s="135"/>
      <c r="M75" s="135"/>
      <c r="N75" s="135"/>
      <c r="O75" s="189"/>
      <c r="P75" s="135"/>
      <c r="Q75" s="229"/>
      <c r="R75" s="135"/>
      <c r="S75" s="135"/>
      <c r="T75" s="135"/>
      <c r="U75" s="135"/>
      <c r="V75" s="135"/>
    </row>
    <row r="76" customFormat="false" ht="15.75" hidden="false" customHeight="true" outlineLevel="0" collapsed="false">
      <c r="A76" s="135"/>
      <c r="B76" s="135"/>
      <c r="C76" s="135"/>
      <c r="D76" s="135"/>
      <c r="E76" s="135"/>
      <c r="F76" s="135"/>
      <c r="G76" s="135"/>
      <c r="H76" s="189"/>
      <c r="I76" s="182"/>
      <c r="J76" s="189"/>
      <c r="K76" s="135"/>
      <c r="L76" s="135"/>
      <c r="M76" s="135"/>
      <c r="N76" s="135"/>
      <c r="O76" s="189"/>
      <c r="P76" s="135"/>
      <c r="Q76" s="229"/>
      <c r="R76" s="135"/>
      <c r="S76" s="135"/>
      <c r="T76" s="135"/>
      <c r="U76" s="135"/>
      <c r="V76" s="135"/>
    </row>
    <row r="77" customFormat="false" ht="15.75" hidden="false" customHeight="true" outlineLevel="0" collapsed="false">
      <c r="A77" s="135"/>
      <c r="B77" s="135"/>
      <c r="C77" s="135"/>
      <c r="D77" s="135"/>
      <c r="E77" s="135"/>
      <c r="F77" s="135"/>
      <c r="G77" s="135"/>
      <c r="H77" s="189"/>
      <c r="I77" s="182"/>
      <c r="J77" s="189"/>
      <c r="K77" s="135"/>
      <c r="L77" s="135"/>
      <c r="M77" s="135"/>
      <c r="N77" s="135"/>
      <c r="O77" s="189"/>
      <c r="P77" s="135"/>
      <c r="Q77" s="229"/>
      <c r="R77" s="135"/>
      <c r="S77" s="135"/>
      <c r="T77" s="135"/>
      <c r="U77" s="135"/>
      <c r="V77" s="135"/>
    </row>
    <row r="78" customFormat="false" ht="15.75" hidden="false" customHeight="true" outlineLevel="0" collapsed="false">
      <c r="A78" s="135"/>
      <c r="B78" s="135"/>
      <c r="C78" s="135"/>
      <c r="D78" s="135"/>
      <c r="E78" s="135"/>
      <c r="F78" s="135"/>
      <c r="G78" s="135"/>
      <c r="H78" s="189"/>
      <c r="I78" s="182"/>
      <c r="J78" s="189"/>
      <c r="K78" s="135"/>
      <c r="L78" s="135"/>
      <c r="M78" s="135"/>
      <c r="N78" s="135"/>
      <c r="O78" s="189"/>
      <c r="P78" s="135"/>
      <c r="Q78" s="229"/>
      <c r="R78" s="135"/>
      <c r="S78" s="135"/>
      <c r="T78" s="135"/>
      <c r="U78" s="135"/>
      <c r="V78" s="135"/>
    </row>
    <row r="79" customFormat="false" ht="15.75" hidden="false" customHeight="true" outlineLevel="0" collapsed="false">
      <c r="A79" s="135"/>
      <c r="B79" s="135"/>
      <c r="C79" s="135"/>
      <c r="D79" s="135"/>
      <c r="E79" s="135"/>
      <c r="F79" s="135"/>
      <c r="G79" s="135"/>
      <c r="H79" s="189"/>
      <c r="I79" s="182"/>
      <c r="J79" s="189"/>
      <c r="K79" s="135"/>
      <c r="L79" s="135"/>
      <c r="M79" s="135"/>
      <c r="N79" s="135"/>
      <c r="O79" s="189"/>
      <c r="P79" s="135"/>
      <c r="Q79" s="229"/>
      <c r="R79" s="135"/>
      <c r="S79" s="135"/>
      <c r="T79" s="135"/>
      <c r="U79" s="135"/>
      <c r="V79" s="135"/>
    </row>
    <row r="80" customFormat="false" ht="15.75" hidden="false" customHeight="true" outlineLevel="0" collapsed="false">
      <c r="A80" s="135"/>
      <c r="B80" s="135"/>
      <c r="C80" s="135"/>
      <c r="D80" s="135"/>
      <c r="E80" s="135"/>
      <c r="F80" s="135"/>
      <c r="G80" s="135"/>
      <c r="H80" s="189"/>
      <c r="I80" s="182"/>
      <c r="J80" s="189"/>
      <c r="K80" s="135"/>
      <c r="L80" s="135"/>
      <c r="M80" s="135"/>
      <c r="N80" s="135"/>
      <c r="O80" s="189"/>
      <c r="P80" s="135"/>
      <c r="Q80" s="229"/>
      <c r="R80" s="135"/>
      <c r="S80" s="135"/>
      <c r="T80" s="135"/>
      <c r="U80" s="135"/>
      <c r="V80" s="135"/>
    </row>
    <row r="81" customFormat="false" ht="15.75" hidden="false" customHeight="true" outlineLevel="0" collapsed="false">
      <c r="A81" s="135"/>
      <c r="B81" s="135"/>
      <c r="C81" s="135"/>
      <c r="D81" s="135"/>
      <c r="E81" s="135"/>
      <c r="F81" s="135"/>
      <c r="G81" s="135"/>
      <c r="H81" s="189"/>
      <c r="I81" s="182"/>
      <c r="J81" s="189"/>
      <c r="K81" s="135"/>
      <c r="L81" s="135"/>
      <c r="M81" s="135"/>
      <c r="N81" s="135"/>
      <c r="O81" s="189"/>
      <c r="P81" s="135"/>
      <c r="Q81" s="229"/>
      <c r="R81" s="135"/>
      <c r="S81" s="135"/>
      <c r="T81" s="135"/>
      <c r="U81" s="135"/>
      <c r="V81" s="135"/>
    </row>
    <row r="82" customFormat="false" ht="15.75" hidden="false" customHeight="true" outlineLevel="0" collapsed="false">
      <c r="A82" s="135"/>
      <c r="B82" s="135"/>
      <c r="C82" s="135"/>
      <c r="D82" s="135"/>
      <c r="E82" s="135"/>
      <c r="F82" s="135"/>
      <c r="G82" s="135"/>
      <c r="H82" s="189"/>
      <c r="I82" s="182"/>
      <c r="J82" s="189"/>
      <c r="K82" s="135"/>
      <c r="L82" s="135"/>
      <c r="M82" s="135"/>
      <c r="N82" s="135"/>
      <c r="O82" s="189"/>
      <c r="P82" s="135"/>
      <c r="Q82" s="229"/>
      <c r="R82" s="135"/>
      <c r="S82" s="135"/>
      <c r="T82" s="135"/>
      <c r="U82" s="135"/>
      <c r="V82" s="135"/>
    </row>
    <row r="83" customFormat="false" ht="15.75" hidden="false" customHeight="true" outlineLevel="0" collapsed="false">
      <c r="A83" s="135"/>
      <c r="B83" s="135"/>
      <c r="C83" s="135"/>
      <c r="D83" s="135"/>
      <c r="E83" s="135"/>
      <c r="F83" s="135"/>
      <c r="G83" s="135"/>
      <c r="H83" s="189"/>
      <c r="I83" s="182"/>
      <c r="J83" s="189"/>
      <c r="K83" s="135"/>
      <c r="L83" s="135"/>
      <c r="M83" s="135"/>
      <c r="N83" s="135"/>
      <c r="O83" s="189"/>
      <c r="P83" s="135"/>
      <c r="Q83" s="229"/>
      <c r="R83" s="135"/>
      <c r="S83" s="135"/>
      <c r="T83" s="135"/>
      <c r="U83" s="135"/>
      <c r="V83" s="135"/>
    </row>
    <row r="84" customFormat="false" ht="15.75" hidden="false" customHeight="true" outlineLevel="0" collapsed="false">
      <c r="A84" s="135"/>
      <c r="B84" s="135"/>
      <c r="C84" s="135"/>
      <c r="D84" s="135"/>
      <c r="E84" s="135"/>
      <c r="F84" s="135"/>
      <c r="G84" s="135"/>
      <c r="H84" s="189"/>
      <c r="I84" s="182"/>
      <c r="J84" s="189"/>
      <c r="K84" s="135"/>
      <c r="L84" s="135"/>
      <c r="M84" s="135"/>
      <c r="N84" s="135"/>
      <c r="O84" s="189"/>
      <c r="P84" s="135"/>
      <c r="Q84" s="229"/>
      <c r="R84" s="135"/>
      <c r="S84" s="135"/>
      <c r="T84" s="135"/>
      <c r="U84" s="135"/>
      <c r="V84" s="135"/>
    </row>
    <row r="85" customFormat="false" ht="15.75" hidden="false" customHeight="true" outlineLevel="0" collapsed="false">
      <c r="A85" s="135"/>
      <c r="B85" s="135"/>
      <c r="C85" s="135"/>
      <c r="D85" s="135"/>
      <c r="E85" s="135"/>
      <c r="F85" s="135"/>
      <c r="G85" s="135"/>
      <c r="H85" s="189"/>
      <c r="I85" s="182"/>
      <c r="J85" s="189"/>
      <c r="K85" s="135"/>
      <c r="L85" s="135"/>
      <c r="M85" s="135"/>
      <c r="N85" s="135"/>
      <c r="O85" s="189"/>
      <c r="P85" s="135"/>
      <c r="Q85" s="229"/>
      <c r="R85" s="135"/>
      <c r="S85" s="135"/>
      <c r="T85" s="135"/>
      <c r="U85" s="135"/>
      <c r="V85" s="135"/>
    </row>
    <row r="86" customFormat="false" ht="15.75" hidden="false" customHeight="true" outlineLevel="0" collapsed="false">
      <c r="A86" s="135"/>
      <c r="B86" s="135"/>
      <c r="C86" s="135"/>
      <c r="D86" s="135"/>
      <c r="E86" s="135"/>
      <c r="F86" s="135"/>
      <c r="G86" s="135"/>
      <c r="H86" s="189"/>
      <c r="I86" s="182"/>
      <c r="J86" s="189"/>
      <c r="K86" s="135"/>
      <c r="L86" s="135"/>
      <c r="M86" s="135"/>
      <c r="N86" s="135"/>
      <c r="O86" s="189"/>
      <c r="P86" s="135"/>
      <c r="Q86" s="229"/>
      <c r="R86" s="135"/>
      <c r="S86" s="135"/>
      <c r="T86" s="135"/>
      <c r="U86" s="135"/>
      <c r="V86" s="135"/>
    </row>
    <row r="87" customFormat="false" ht="15.75" hidden="false" customHeight="true" outlineLevel="0" collapsed="false">
      <c r="A87" s="135"/>
      <c r="B87" s="135"/>
      <c r="C87" s="135"/>
      <c r="D87" s="135"/>
      <c r="E87" s="135"/>
      <c r="F87" s="135"/>
      <c r="G87" s="135"/>
      <c r="H87" s="189"/>
      <c r="I87" s="182"/>
      <c r="J87" s="189"/>
      <c r="K87" s="135"/>
      <c r="L87" s="135"/>
      <c r="M87" s="135"/>
      <c r="N87" s="135"/>
      <c r="O87" s="189"/>
      <c r="P87" s="135"/>
      <c r="Q87" s="229"/>
      <c r="R87" s="135"/>
      <c r="S87" s="135"/>
      <c r="T87" s="135"/>
      <c r="U87" s="135"/>
      <c r="V87" s="135"/>
    </row>
    <row r="88" customFormat="false" ht="15.75" hidden="false" customHeight="true" outlineLevel="0" collapsed="false">
      <c r="A88" s="135"/>
      <c r="B88" s="135"/>
      <c r="C88" s="135"/>
      <c r="D88" s="135"/>
      <c r="E88" s="135"/>
      <c r="F88" s="135"/>
      <c r="G88" s="135"/>
      <c r="H88" s="189"/>
      <c r="I88" s="182"/>
      <c r="J88" s="189"/>
      <c r="K88" s="135"/>
      <c r="L88" s="135"/>
      <c r="M88" s="135"/>
      <c r="N88" s="135"/>
      <c r="O88" s="189"/>
      <c r="P88" s="135"/>
      <c r="Q88" s="229"/>
      <c r="R88" s="135"/>
      <c r="S88" s="135"/>
      <c r="T88" s="135"/>
      <c r="U88" s="135"/>
      <c r="V88" s="135"/>
    </row>
    <row r="89" customFormat="false" ht="15.75" hidden="false" customHeight="true" outlineLevel="0" collapsed="false">
      <c r="A89" s="135"/>
      <c r="B89" s="135"/>
      <c r="C89" s="135"/>
      <c r="D89" s="135"/>
      <c r="E89" s="135"/>
      <c r="F89" s="135"/>
      <c r="G89" s="135"/>
      <c r="H89" s="189"/>
      <c r="I89" s="182"/>
      <c r="J89" s="189"/>
      <c r="K89" s="135"/>
      <c r="L89" s="135"/>
      <c r="M89" s="135"/>
      <c r="N89" s="135"/>
      <c r="O89" s="189"/>
      <c r="P89" s="135"/>
      <c r="Q89" s="229"/>
      <c r="R89" s="135"/>
      <c r="S89" s="135"/>
      <c r="T89" s="135"/>
      <c r="U89" s="135"/>
      <c r="V89" s="135"/>
    </row>
    <row r="90" customFormat="false" ht="15.75" hidden="false" customHeight="true" outlineLevel="0" collapsed="false">
      <c r="A90" s="135"/>
      <c r="B90" s="135"/>
      <c r="C90" s="135"/>
      <c r="D90" s="135"/>
      <c r="E90" s="135"/>
      <c r="F90" s="135"/>
      <c r="G90" s="135"/>
      <c r="H90" s="189"/>
      <c r="I90" s="182"/>
      <c r="J90" s="189"/>
      <c r="K90" s="135"/>
      <c r="L90" s="135"/>
      <c r="M90" s="135"/>
      <c r="N90" s="135"/>
      <c r="O90" s="189"/>
      <c r="P90" s="135"/>
      <c r="Q90" s="229"/>
      <c r="R90" s="135"/>
      <c r="S90" s="135"/>
      <c r="T90" s="135"/>
      <c r="U90" s="135"/>
      <c r="V90" s="135"/>
    </row>
    <row r="91" customFormat="false" ht="15.75" hidden="false" customHeight="true" outlineLevel="0" collapsed="false">
      <c r="A91" s="135"/>
      <c r="B91" s="135"/>
      <c r="C91" s="135"/>
      <c r="D91" s="135"/>
      <c r="E91" s="135"/>
      <c r="F91" s="135"/>
      <c r="G91" s="135"/>
      <c r="H91" s="189"/>
      <c r="I91" s="182"/>
      <c r="J91" s="189"/>
      <c r="K91" s="135"/>
      <c r="L91" s="135"/>
      <c r="M91" s="135"/>
      <c r="N91" s="135"/>
      <c r="O91" s="189"/>
      <c r="P91" s="135"/>
      <c r="Q91" s="229"/>
      <c r="R91" s="135"/>
      <c r="S91" s="135"/>
      <c r="T91" s="135"/>
      <c r="U91" s="135"/>
      <c r="V91" s="135"/>
    </row>
    <row r="92" customFormat="false" ht="15.75" hidden="false" customHeight="true" outlineLevel="0" collapsed="false">
      <c r="A92" s="135"/>
      <c r="B92" s="135"/>
      <c r="C92" s="135"/>
      <c r="D92" s="135"/>
      <c r="E92" s="135"/>
      <c r="F92" s="135"/>
      <c r="G92" s="135"/>
      <c r="H92" s="189"/>
      <c r="I92" s="182"/>
      <c r="J92" s="189"/>
      <c r="K92" s="135"/>
      <c r="L92" s="135"/>
      <c r="M92" s="135"/>
      <c r="N92" s="135"/>
      <c r="O92" s="189"/>
      <c r="P92" s="135"/>
      <c r="Q92" s="229"/>
      <c r="R92" s="135"/>
      <c r="S92" s="135"/>
      <c r="T92" s="135"/>
      <c r="U92" s="135"/>
      <c r="V92" s="135"/>
    </row>
    <row r="93" customFormat="false" ht="15.75" hidden="false" customHeight="true" outlineLevel="0" collapsed="false">
      <c r="A93" s="135"/>
      <c r="B93" s="135"/>
      <c r="C93" s="135"/>
      <c r="D93" s="135"/>
      <c r="E93" s="135"/>
      <c r="F93" s="135"/>
      <c r="G93" s="135"/>
      <c r="H93" s="189"/>
      <c r="I93" s="182"/>
      <c r="J93" s="189"/>
      <c r="K93" s="135"/>
      <c r="L93" s="135"/>
      <c r="M93" s="135"/>
      <c r="N93" s="135"/>
      <c r="O93" s="189"/>
      <c r="P93" s="135"/>
      <c r="Q93" s="229"/>
      <c r="R93" s="135"/>
      <c r="S93" s="135"/>
      <c r="T93" s="135"/>
      <c r="U93" s="135"/>
      <c r="V93" s="135"/>
    </row>
    <row r="94" customFormat="false" ht="15.75" hidden="false" customHeight="true" outlineLevel="0" collapsed="false">
      <c r="A94" s="135"/>
      <c r="B94" s="135"/>
      <c r="C94" s="135"/>
      <c r="D94" s="135"/>
      <c r="E94" s="135"/>
      <c r="F94" s="135"/>
      <c r="G94" s="135"/>
      <c r="H94" s="189"/>
      <c r="I94" s="182"/>
      <c r="J94" s="189"/>
      <c r="K94" s="135"/>
      <c r="L94" s="135"/>
      <c r="M94" s="135"/>
      <c r="N94" s="135"/>
      <c r="O94" s="189"/>
      <c r="P94" s="135"/>
      <c r="Q94" s="229"/>
      <c r="R94" s="135"/>
      <c r="S94" s="135"/>
      <c r="T94" s="135"/>
      <c r="U94" s="135"/>
      <c r="V94" s="135"/>
    </row>
    <row r="95" customFormat="false" ht="15.75" hidden="false" customHeight="true" outlineLevel="0" collapsed="false">
      <c r="A95" s="135"/>
      <c r="B95" s="135"/>
      <c r="C95" s="135"/>
      <c r="D95" s="135"/>
      <c r="E95" s="135"/>
      <c r="F95" s="135"/>
      <c r="G95" s="135"/>
      <c r="H95" s="189"/>
      <c r="I95" s="182"/>
      <c r="J95" s="189"/>
      <c r="K95" s="135"/>
      <c r="L95" s="135"/>
      <c r="M95" s="135"/>
      <c r="N95" s="135"/>
      <c r="O95" s="189"/>
      <c r="P95" s="135"/>
      <c r="Q95" s="229"/>
      <c r="R95" s="135"/>
      <c r="S95" s="135"/>
      <c r="T95" s="135"/>
      <c r="U95" s="135"/>
      <c r="V95" s="135"/>
    </row>
    <row r="96" customFormat="false" ht="15.75" hidden="false" customHeight="true" outlineLevel="0" collapsed="false">
      <c r="A96" s="135"/>
      <c r="B96" s="135"/>
      <c r="C96" s="135"/>
      <c r="D96" s="135"/>
      <c r="E96" s="135"/>
      <c r="F96" s="135"/>
      <c r="G96" s="135"/>
      <c r="H96" s="189"/>
      <c r="I96" s="182"/>
      <c r="J96" s="189"/>
      <c r="K96" s="135"/>
      <c r="L96" s="135"/>
      <c r="M96" s="135"/>
      <c r="N96" s="135"/>
      <c r="O96" s="189"/>
      <c r="P96" s="135"/>
      <c r="Q96" s="229"/>
      <c r="R96" s="135"/>
      <c r="S96" s="135"/>
      <c r="T96" s="135"/>
      <c r="U96" s="135"/>
      <c r="V96" s="135"/>
    </row>
    <row r="97" customFormat="false" ht="15.75" hidden="false" customHeight="true" outlineLevel="0" collapsed="false">
      <c r="A97" s="135"/>
      <c r="B97" s="135"/>
      <c r="C97" s="135"/>
      <c r="D97" s="135"/>
      <c r="E97" s="135"/>
      <c r="F97" s="135"/>
      <c r="G97" s="135"/>
      <c r="H97" s="189"/>
      <c r="I97" s="182"/>
      <c r="J97" s="189"/>
      <c r="K97" s="135"/>
      <c r="L97" s="135"/>
      <c r="M97" s="135"/>
      <c r="N97" s="135"/>
      <c r="O97" s="189"/>
      <c r="P97" s="135"/>
      <c r="Q97" s="229"/>
      <c r="R97" s="135"/>
      <c r="S97" s="135"/>
      <c r="T97" s="135"/>
      <c r="U97" s="135"/>
      <c r="V97" s="135"/>
    </row>
    <row r="98" customFormat="false" ht="15.75" hidden="false" customHeight="true" outlineLevel="0" collapsed="false">
      <c r="A98" s="135"/>
      <c r="B98" s="135"/>
      <c r="C98" s="135"/>
      <c r="D98" s="135"/>
      <c r="E98" s="135"/>
      <c r="F98" s="135"/>
      <c r="G98" s="135"/>
      <c r="H98" s="189"/>
      <c r="I98" s="182"/>
      <c r="J98" s="189"/>
      <c r="K98" s="135"/>
      <c r="L98" s="135"/>
      <c r="M98" s="135"/>
      <c r="N98" s="135"/>
      <c r="O98" s="189"/>
      <c r="P98" s="135"/>
      <c r="Q98" s="229"/>
      <c r="R98" s="135"/>
      <c r="S98" s="135"/>
      <c r="T98" s="135"/>
      <c r="U98" s="135"/>
      <c r="V98" s="135"/>
    </row>
    <row r="99" customFormat="false" ht="15.75" hidden="false" customHeight="true" outlineLevel="0" collapsed="false">
      <c r="A99" s="135"/>
      <c r="B99" s="135"/>
      <c r="C99" s="135"/>
      <c r="D99" s="135"/>
      <c r="E99" s="135"/>
      <c r="F99" s="135"/>
      <c r="G99" s="135"/>
      <c r="H99" s="189"/>
      <c r="I99" s="182"/>
      <c r="J99" s="189"/>
      <c r="K99" s="135"/>
      <c r="L99" s="135"/>
      <c r="M99" s="135"/>
      <c r="N99" s="135"/>
      <c r="O99" s="189"/>
      <c r="P99" s="135"/>
      <c r="Q99" s="229"/>
      <c r="R99" s="135"/>
      <c r="S99" s="135"/>
      <c r="T99" s="135"/>
      <c r="U99" s="135"/>
      <c r="V99" s="135"/>
    </row>
    <row r="100" customFormat="false" ht="15.75" hidden="false" customHeight="true" outlineLevel="0" collapsed="false">
      <c r="A100" s="135"/>
      <c r="B100" s="135"/>
      <c r="C100" s="135"/>
      <c r="D100" s="135"/>
      <c r="E100" s="135"/>
      <c r="F100" s="135"/>
      <c r="G100" s="135"/>
      <c r="H100" s="189"/>
      <c r="I100" s="182"/>
      <c r="J100" s="189"/>
      <c r="K100" s="135"/>
      <c r="L100" s="135"/>
      <c r="M100" s="135"/>
      <c r="N100" s="135"/>
      <c r="O100" s="189"/>
      <c r="P100" s="135"/>
      <c r="Q100" s="229"/>
      <c r="R100" s="135"/>
      <c r="S100" s="135"/>
      <c r="T100" s="135"/>
      <c r="U100" s="135"/>
      <c r="V100" s="135"/>
    </row>
    <row r="101" customFormat="false" ht="15.75" hidden="false" customHeight="true" outlineLevel="0" collapsed="false">
      <c r="A101" s="135"/>
      <c r="B101" s="135"/>
      <c r="C101" s="135"/>
      <c r="D101" s="135"/>
      <c r="E101" s="135"/>
      <c r="F101" s="135"/>
      <c r="G101" s="135"/>
      <c r="H101" s="189"/>
      <c r="I101" s="182"/>
      <c r="J101" s="189"/>
      <c r="K101" s="135"/>
      <c r="L101" s="135"/>
      <c r="M101" s="135"/>
      <c r="N101" s="135"/>
      <c r="O101" s="189"/>
      <c r="P101" s="135"/>
      <c r="Q101" s="229"/>
      <c r="R101" s="135"/>
      <c r="S101" s="135"/>
      <c r="T101" s="135"/>
      <c r="U101" s="135"/>
      <c r="V101" s="135"/>
    </row>
    <row r="102" customFormat="false" ht="15.75" hidden="false" customHeight="true" outlineLevel="0" collapsed="false">
      <c r="A102" s="135"/>
      <c r="B102" s="135"/>
      <c r="C102" s="135"/>
      <c r="D102" s="135"/>
      <c r="E102" s="135"/>
      <c r="F102" s="135"/>
      <c r="G102" s="135"/>
      <c r="H102" s="189"/>
      <c r="I102" s="182"/>
      <c r="J102" s="189"/>
      <c r="K102" s="135"/>
      <c r="L102" s="135"/>
      <c r="M102" s="135"/>
      <c r="N102" s="135"/>
      <c r="O102" s="189"/>
      <c r="P102" s="135"/>
      <c r="Q102" s="229"/>
      <c r="R102" s="135"/>
      <c r="S102" s="135"/>
      <c r="T102" s="135"/>
      <c r="U102" s="135"/>
      <c r="V102" s="135"/>
    </row>
    <row r="103" customFormat="false" ht="15.75" hidden="false" customHeight="true" outlineLevel="0" collapsed="false">
      <c r="A103" s="135"/>
      <c r="B103" s="135"/>
      <c r="C103" s="135"/>
      <c r="D103" s="135"/>
      <c r="E103" s="135"/>
      <c r="F103" s="135"/>
      <c r="G103" s="135"/>
      <c r="H103" s="189"/>
      <c r="I103" s="182"/>
      <c r="J103" s="189"/>
      <c r="K103" s="135"/>
      <c r="L103" s="135"/>
      <c r="M103" s="135"/>
      <c r="N103" s="135"/>
      <c r="O103" s="189"/>
      <c r="P103" s="135"/>
      <c r="Q103" s="229"/>
      <c r="R103" s="135"/>
      <c r="S103" s="135"/>
      <c r="T103" s="135"/>
      <c r="U103" s="135"/>
      <c r="V103" s="135"/>
    </row>
    <row r="104" customFormat="false" ht="15.75" hidden="false" customHeight="true" outlineLevel="0" collapsed="false">
      <c r="A104" s="135"/>
      <c r="B104" s="135"/>
      <c r="C104" s="135"/>
      <c r="D104" s="135"/>
      <c r="E104" s="135"/>
      <c r="F104" s="135"/>
      <c r="G104" s="135"/>
      <c r="H104" s="189"/>
      <c r="I104" s="182"/>
      <c r="J104" s="189"/>
      <c r="K104" s="135"/>
      <c r="L104" s="135"/>
      <c r="M104" s="135"/>
      <c r="N104" s="135"/>
      <c r="O104" s="189"/>
      <c r="P104" s="135"/>
      <c r="Q104" s="229"/>
      <c r="R104" s="135"/>
      <c r="S104" s="135"/>
      <c r="T104" s="135"/>
      <c r="U104" s="135"/>
      <c r="V104" s="135"/>
    </row>
    <row r="105" customFormat="false" ht="15.75" hidden="false" customHeight="true" outlineLevel="0" collapsed="false">
      <c r="A105" s="135"/>
      <c r="B105" s="135"/>
      <c r="C105" s="135"/>
      <c r="D105" s="135"/>
      <c r="E105" s="135"/>
      <c r="F105" s="135"/>
      <c r="G105" s="135"/>
      <c r="H105" s="189"/>
      <c r="I105" s="182"/>
      <c r="J105" s="189"/>
      <c r="K105" s="135"/>
      <c r="L105" s="135"/>
      <c r="M105" s="135"/>
      <c r="N105" s="135"/>
      <c r="O105" s="189"/>
      <c r="P105" s="135"/>
      <c r="Q105" s="229"/>
      <c r="R105" s="135"/>
      <c r="S105" s="135"/>
      <c r="T105" s="135"/>
      <c r="U105" s="135"/>
      <c r="V105" s="135"/>
    </row>
    <row r="106" customFormat="false" ht="15.75" hidden="false" customHeight="true" outlineLevel="0" collapsed="false">
      <c r="A106" s="135"/>
      <c r="B106" s="135"/>
      <c r="C106" s="135"/>
      <c r="D106" s="135"/>
      <c r="E106" s="135"/>
      <c r="F106" s="135"/>
      <c r="G106" s="135"/>
      <c r="H106" s="189"/>
      <c r="I106" s="182"/>
      <c r="J106" s="189"/>
      <c r="K106" s="135"/>
      <c r="L106" s="135"/>
      <c r="M106" s="135"/>
      <c r="N106" s="135"/>
      <c r="O106" s="189"/>
      <c r="P106" s="135"/>
      <c r="Q106" s="229"/>
      <c r="R106" s="135"/>
      <c r="S106" s="135"/>
      <c r="T106" s="135"/>
      <c r="U106" s="135"/>
      <c r="V106" s="135"/>
    </row>
    <row r="107" customFormat="false" ht="15.75" hidden="false" customHeight="true" outlineLevel="0" collapsed="false">
      <c r="A107" s="135"/>
      <c r="B107" s="135"/>
      <c r="C107" s="135"/>
      <c r="D107" s="135"/>
      <c r="E107" s="135"/>
      <c r="F107" s="135"/>
      <c r="G107" s="135"/>
      <c r="H107" s="189"/>
      <c r="I107" s="182"/>
      <c r="J107" s="189"/>
      <c r="K107" s="135"/>
      <c r="L107" s="135"/>
      <c r="M107" s="135"/>
      <c r="N107" s="135"/>
      <c r="O107" s="189"/>
      <c r="P107" s="135"/>
      <c r="Q107" s="229"/>
      <c r="R107" s="135"/>
      <c r="S107" s="135"/>
      <c r="T107" s="135"/>
      <c r="U107" s="135"/>
      <c r="V107" s="135"/>
    </row>
    <row r="108" customFormat="false" ht="15.75" hidden="false" customHeight="true" outlineLevel="0" collapsed="false">
      <c r="A108" s="135"/>
      <c r="B108" s="135"/>
      <c r="C108" s="135"/>
      <c r="D108" s="135"/>
      <c r="E108" s="135"/>
      <c r="F108" s="135"/>
      <c r="G108" s="135"/>
      <c r="H108" s="189"/>
      <c r="I108" s="182"/>
      <c r="J108" s="189"/>
      <c r="K108" s="135"/>
      <c r="L108" s="135"/>
      <c r="M108" s="135"/>
      <c r="N108" s="135"/>
      <c r="O108" s="189"/>
      <c r="P108" s="135"/>
      <c r="Q108" s="229"/>
      <c r="R108" s="135"/>
      <c r="S108" s="135"/>
      <c r="T108" s="135"/>
      <c r="U108" s="135"/>
      <c r="V108" s="135"/>
    </row>
    <row r="109" customFormat="false" ht="15.75" hidden="false" customHeight="true" outlineLevel="0" collapsed="false">
      <c r="A109" s="135"/>
      <c r="B109" s="135"/>
      <c r="C109" s="135"/>
      <c r="D109" s="135"/>
      <c r="E109" s="135"/>
      <c r="F109" s="135"/>
      <c r="G109" s="135"/>
      <c r="H109" s="189"/>
      <c r="I109" s="182"/>
      <c r="J109" s="189"/>
      <c r="K109" s="135"/>
      <c r="L109" s="135"/>
      <c r="M109" s="135"/>
      <c r="N109" s="135"/>
      <c r="O109" s="189"/>
      <c r="P109" s="135"/>
      <c r="Q109" s="229"/>
      <c r="R109" s="135"/>
      <c r="S109" s="135"/>
      <c r="T109" s="135"/>
      <c r="U109" s="135"/>
      <c r="V109" s="135"/>
    </row>
    <row r="110" customFormat="false" ht="15.75" hidden="false" customHeight="true" outlineLevel="0" collapsed="false">
      <c r="A110" s="135"/>
      <c r="B110" s="135"/>
      <c r="C110" s="135"/>
      <c r="D110" s="135"/>
      <c r="E110" s="135"/>
      <c r="F110" s="135"/>
      <c r="G110" s="135"/>
      <c r="H110" s="189"/>
      <c r="I110" s="182"/>
      <c r="J110" s="189"/>
      <c r="K110" s="135"/>
      <c r="L110" s="135"/>
      <c r="M110" s="135"/>
      <c r="N110" s="135"/>
      <c r="O110" s="189"/>
      <c r="P110" s="135"/>
      <c r="Q110" s="229"/>
      <c r="R110" s="135"/>
      <c r="S110" s="135"/>
      <c r="T110" s="135"/>
      <c r="U110" s="135"/>
      <c r="V110" s="135"/>
    </row>
    <row r="111" customFormat="false" ht="15.75" hidden="false" customHeight="true" outlineLevel="0" collapsed="false">
      <c r="A111" s="135"/>
      <c r="B111" s="135"/>
      <c r="C111" s="135"/>
      <c r="D111" s="135"/>
      <c r="E111" s="135"/>
      <c r="F111" s="135"/>
      <c r="G111" s="135"/>
      <c r="H111" s="189"/>
      <c r="I111" s="182"/>
      <c r="J111" s="189"/>
      <c r="K111" s="135"/>
      <c r="L111" s="135"/>
      <c r="M111" s="135"/>
      <c r="N111" s="135"/>
      <c r="O111" s="189"/>
      <c r="P111" s="135"/>
      <c r="Q111" s="229"/>
      <c r="R111" s="135"/>
      <c r="S111" s="135"/>
      <c r="T111" s="135"/>
      <c r="U111" s="135"/>
      <c r="V111" s="135"/>
    </row>
    <row r="112" customFormat="false" ht="15.75" hidden="false" customHeight="true" outlineLevel="0" collapsed="false">
      <c r="A112" s="135"/>
      <c r="B112" s="135"/>
      <c r="C112" s="135"/>
      <c r="D112" s="135"/>
      <c r="E112" s="135"/>
      <c r="F112" s="135"/>
      <c r="G112" s="135"/>
      <c r="H112" s="189"/>
      <c r="I112" s="182"/>
      <c r="J112" s="189"/>
      <c r="K112" s="135"/>
      <c r="L112" s="135"/>
      <c r="M112" s="135"/>
      <c r="N112" s="135"/>
      <c r="O112" s="189"/>
      <c r="P112" s="135"/>
      <c r="Q112" s="229"/>
      <c r="R112" s="135"/>
      <c r="S112" s="135"/>
      <c r="T112" s="135"/>
      <c r="U112" s="135"/>
      <c r="V112" s="135"/>
    </row>
    <row r="113" customFormat="false" ht="15.75" hidden="false" customHeight="true" outlineLevel="0" collapsed="false">
      <c r="A113" s="135"/>
      <c r="B113" s="135"/>
      <c r="C113" s="135"/>
      <c r="D113" s="135"/>
      <c r="E113" s="135"/>
      <c r="F113" s="135"/>
      <c r="G113" s="135"/>
      <c r="H113" s="189"/>
      <c r="I113" s="182"/>
      <c r="J113" s="189"/>
      <c r="K113" s="135"/>
      <c r="L113" s="135"/>
      <c r="M113" s="135"/>
      <c r="N113" s="135"/>
      <c r="O113" s="189"/>
      <c r="P113" s="135"/>
      <c r="Q113" s="229"/>
      <c r="R113" s="135"/>
      <c r="S113" s="135"/>
      <c r="T113" s="135"/>
      <c r="U113" s="135"/>
      <c r="V113" s="135"/>
    </row>
    <row r="114" customFormat="false" ht="15.75" hidden="false" customHeight="true" outlineLevel="0" collapsed="false">
      <c r="A114" s="135"/>
      <c r="B114" s="135"/>
      <c r="C114" s="135"/>
      <c r="D114" s="135"/>
      <c r="E114" s="135"/>
      <c r="F114" s="135"/>
      <c r="G114" s="135"/>
      <c r="H114" s="189"/>
      <c r="I114" s="182"/>
      <c r="J114" s="189"/>
      <c r="K114" s="135"/>
      <c r="L114" s="135"/>
      <c r="M114" s="135"/>
      <c r="N114" s="135"/>
      <c r="O114" s="189"/>
      <c r="P114" s="135"/>
      <c r="Q114" s="229"/>
      <c r="R114" s="135"/>
      <c r="S114" s="135"/>
      <c r="T114" s="135"/>
      <c r="U114" s="135"/>
      <c r="V114" s="135"/>
    </row>
    <row r="115" customFormat="false" ht="15.75" hidden="false" customHeight="true" outlineLevel="0" collapsed="false">
      <c r="A115" s="135"/>
      <c r="B115" s="135"/>
      <c r="C115" s="135"/>
      <c r="D115" s="135"/>
      <c r="E115" s="135"/>
      <c r="F115" s="135"/>
      <c r="G115" s="135"/>
      <c r="H115" s="189"/>
      <c r="I115" s="182"/>
      <c r="J115" s="189"/>
      <c r="K115" s="135"/>
      <c r="L115" s="135"/>
      <c r="M115" s="135"/>
      <c r="N115" s="135"/>
      <c r="O115" s="189"/>
      <c r="P115" s="135"/>
      <c r="Q115" s="229"/>
      <c r="R115" s="135"/>
      <c r="S115" s="135"/>
      <c r="T115" s="135"/>
      <c r="U115" s="135"/>
      <c r="V115" s="135"/>
    </row>
    <row r="116" customFormat="false" ht="15.75" hidden="false" customHeight="true" outlineLevel="0" collapsed="false">
      <c r="A116" s="135"/>
      <c r="B116" s="135"/>
      <c r="C116" s="135"/>
      <c r="D116" s="135"/>
      <c r="E116" s="135"/>
      <c r="F116" s="135"/>
      <c r="G116" s="135"/>
      <c r="H116" s="189"/>
      <c r="I116" s="182"/>
      <c r="J116" s="189"/>
      <c r="K116" s="135"/>
      <c r="L116" s="135"/>
      <c r="M116" s="135"/>
      <c r="N116" s="135"/>
      <c r="O116" s="189"/>
      <c r="P116" s="135"/>
      <c r="Q116" s="229"/>
      <c r="R116" s="135"/>
      <c r="S116" s="135"/>
      <c r="T116" s="135"/>
      <c r="U116" s="135"/>
      <c r="V116" s="135"/>
    </row>
    <row r="117" customFormat="false" ht="15.75" hidden="false" customHeight="true" outlineLevel="0" collapsed="false">
      <c r="A117" s="135"/>
      <c r="B117" s="135"/>
      <c r="C117" s="135"/>
      <c r="D117" s="135"/>
      <c r="E117" s="135"/>
      <c r="F117" s="135"/>
      <c r="G117" s="135"/>
      <c r="H117" s="189"/>
      <c r="I117" s="182"/>
      <c r="J117" s="189"/>
      <c r="K117" s="135"/>
      <c r="L117" s="135"/>
      <c r="M117" s="135"/>
      <c r="N117" s="135"/>
      <c r="O117" s="189"/>
      <c r="P117" s="135"/>
      <c r="Q117" s="229"/>
      <c r="R117" s="135"/>
      <c r="S117" s="135"/>
      <c r="T117" s="135"/>
      <c r="U117" s="135"/>
      <c r="V117" s="135"/>
    </row>
    <row r="118" customFormat="false" ht="15.75" hidden="false" customHeight="true" outlineLevel="0" collapsed="false">
      <c r="A118" s="135"/>
      <c r="B118" s="135"/>
      <c r="C118" s="135"/>
      <c r="D118" s="135"/>
      <c r="E118" s="135"/>
      <c r="F118" s="135"/>
      <c r="G118" s="135"/>
      <c r="H118" s="189"/>
      <c r="I118" s="182"/>
      <c r="J118" s="189"/>
      <c r="K118" s="135"/>
      <c r="L118" s="135"/>
      <c r="M118" s="135"/>
      <c r="N118" s="135"/>
      <c r="O118" s="189"/>
      <c r="P118" s="135"/>
      <c r="Q118" s="229"/>
      <c r="R118" s="135"/>
      <c r="S118" s="135"/>
      <c r="T118" s="135"/>
      <c r="U118" s="135"/>
      <c r="V118" s="135"/>
    </row>
    <row r="119" customFormat="false" ht="15.75" hidden="false" customHeight="true" outlineLevel="0" collapsed="false">
      <c r="A119" s="135"/>
      <c r="B119" s="135"/>
      <c r="C119" s="135"/>
      <c r="D119" s="135"/>
      <c r="E119" s="135"/>
      <c r="F119" s="135"/>
      <c r="G119" s="135"/>
      <c r="H119" s="189"/>
      <c r="I119" s="182"/>
      <c r="J119" s="189"/>
      <c r="K119" s="135"/>
      <c r="L119" s="135"/>
      <c r="M119" s="135"/>
      <c r="N119" s="135"/>
      <c r="O119" s="189"/>
      <c r="P119" s="135"/>
      <c r="Q119" s="229"/>
      <c r="R119" s="135"/>
      <c r="S119" s="135"/>
      <c r="T119" s="135"/>
      <c r="U119" s="135"/>
      <c r="V119" s="135"/>
    </row>
    <row r="120" customFormat="false" ht="15.75" hidden="false" customHeight="true" outlineLevel="0" collapsed="false">
      <c r="A120" s="135"/>
      <c r="B120" s="135"/>
      <c r="C120" s="135"/>
      <c r="D120" s="135"/>
      <c r="E120" s="135"/>
      <c r="F120" s="135"/>
      <c r="G120" s="135"/>
      <c r="H120" s="189"/>
      <c r="I120" s="182"/>
      <c r="J120" s="189"/>
      <c r="K120" s="135"/>
      <c r="L120" s="135"/>
      <c r="M120" s="135"/>
      <c r="N120" s="135"/>
      <c r="O120" s="189"/>
      <c r="P120" s="135"/>
      <c r="Q120" s="229"/>
      <c r="R120" s="135"/>
      <c r="S120" s="135"/>
      <c r="T120" s="135"/>
      <c r="U120" s="135"/>
      <c r="V120" s="135"/>
    </row>
    <row r="121" customFormat="false" ht="15.75" hidden="false" customHeight="true" outlineLevel="0" collapsed="false">
      <c r="A121" s="135"/>
      <c r="B121" s="135"/>
      <c r="C121" s="135"/>
      <c r="D121" s="135"/>
      <c r="E121" s="135"/>
      <c r="F121" s="135"/>
      <c r="G121" s="135"/>
      <c r="H121" s="189"/>
      <c r="I121" s="182"/>
      <c r="J121" s="189"/>
      <c r="K121" s="135"/>
      <c r="L121" s="135"/>
      <c r="M121" s="135"/>
      <c r="N121" s="135"/>
      <c r="O121" s="189"/>
      <c r="P121" s="135"/>
      <c r="Q121" s="229"/>
      <c r="R121" s="135"/>
      <c r="S121" s="135"/>
      <c r="T121" s="135"/>
      <c r="U121" s="135"/>
      <c r="V121" s="135"/>
    </row>
    <row r="122" customFormat="false" ht="15.75" hidden="false" customHeight="true" outlineLevel="0" collapsed="false">
      <c r="A122" s="135"/>
      <c r="B122" s="135"/>
      <c r="C122" s="135"/>
      <c r="D122" s="135"/>
      <c r="E122" s="135"/>
      <c r="F122" s="135"/>
      <c r="G122" s="135"/>
      <c r="H122" s="189"/>
      <c r="I122" s="182"/>
      <c r="J122" s="189"/>
      <c r="K122" s="135"/>
      <c r="L122" s="135"/>
      <c r="M122" s="135"/>
      <c r="N122" s="135"/>
      <c r="O122" s="189"/>
      <c r="P122" s="135"/>
      <c r="Q122" s="229"/>
      <c r="R122" s="135"/>
      <c r="S122" s="135"/>
      <c r="T122" s="135"/>
      <c r="U122" s="135"/>
      <c r="V122" s="135"/>
    </row>
    <row r="123" customFormat="false" ht="15.75" hidden="false" customHeight="true" outlineLevel="0" collapsed="false">
      <c r="A123" s="135"/>
      <c r="B123" s="135"/>
      <c r="C123" s="135"/>
      <c r="D123" s="135"/>
      <c r="E123" s="135"/>
      <c r="F123" s="135"/>
      <c r="G123" s="135"/>
      <c r="H123" s="189"/>
      <c r="I123" s="182"/>
      <c r="J123" s="189"/>
      <c r="K123" s="135"/>
      <c r="L123" s="135"/>
      <c r="M123" s="135"/>
      <c r="N123" s="135"/>
      <c r="O123" s="189"/>
      <c r="P123" s="135"/>
      <c r="Q123" s="229"/>
      <c r="R123" s="135"/>
      <c r="S123" s="135"/>
      <c r="T123" s="135"/>
      <c r="U123" s="135"/>
      <c r="V123" s="135"/>
    </row>
    <row r="124" customFormat="false" ht="15.75" hidden="false" customHeight="true" outlineLevel="0" collapsed="false">
      <c r="A124" s="135"/>
      <c r="B124" s="135"/>
      <c r="C124" s="135"/>
      <c r="D124" s="135"/>
      <c r="E124" s="135"/>
      <c r="F124" s="135"/>
      <c r="G124" s="135"/>
      <c r="H124" s="189"/>
      <c r="I124" s="182"/>
      <c r="J124" s="189"/>
      <c r="K124" s="135"/>
      <c r="L124" s="135"/>
      <c r="M124" s="135"/>
      <c r="N124" s="135"/>
      <c r="O124" s="189"/>
      <c r="P124" s="135"/>
      <c r="Q124" s="229"/>
      <c r="R124" s="135"/>
      <c r="S124" s="135"/>
      <c r="T124" s="135"/>
      <c r="U124" s="135"/>
      <c r="V124" s="135"/>
    </row>
    <row r="125" customFormat="false" ht="15.75" hidden="false" customHeight="true" outlineLevel="0" collapsed="false">
      <c r="A125" s="135"/>
      <c r="B125" s="135"/>
      <c r="C125" s="135"/>
      <c r="D125" s="135"/>
      <c r="E125" s="135"/>
      <c r="F125" s="135"/>
      <c r="G125" s="135"/>
      <c r="H125" s="189"/>
      <c r="I125" s="182"/>
      <c r="J125" s="189"/>
      <c r="K125" s="135"/>
      <c r="L125" s="135"/>
      <c r="M125" s="135"/>
      <c r="N125" s="135"/>
      <c r="O125" s="189"/>
      <c r="P125" s="135"/>
      <c r="Q125" s="229"/>
      <c r="R125" s="135"/>
      <c r="S125" s="135"/>
      <c r="T125" s="135"/>
      <c r="U125" s="135"/>
      <c r="V125" s="135"/>
    </row>
    <row r="126" customFormat="false" ht="15.75" hidden="false" customHeight="true" outlineLevel="0" collapsed="false">
      <c r="A126" s="135"/>
      <c r="B126" s="135"/>
      <c r="C126" s="135"/>
      <c r="D126" s="135"/>
      <c r="E126" s="135"/>
      <c r="F126" s="135"/>
      <c r="G126" s="135"/>
      <c r="H126" s="189"/>
      <c r="I126" s="182"/>
      <c r="J126" s="189"/>
      <c r="K126" s="135"/>
      <c r="L126" s="135"/>
      <c r="M126" s="135"/>
      <c r="N126" s="135"/>
      <c r="O126" s="189"/>
      <c r="P126" s="135"/>
      <c r="Q126" s="229"/>
      <c r="R126" s="135"/>
      <c r="S126" s="135"/>
      <c r="T126" s="135"/>
      <c r="U126" s="135"/>
      <c r="V126" s="135"/>
    </row>
    <row r="127" customFormat="false" ht="15.75" hidden="false" customHeight="true" outlineLevel="0" collapsed="false">
      <c r="A127" s="135"/>
      <c r="B127" s="135"/>
      <c r="C127" s="135"/>
      <c r="D127" s="135"/>
      <c r="E127" s="135"/>
      <c r="F127" s="135"/>
      <c r="G127" s="135"/>
      <c r="H127" s="189"/>
      <c r="I127" s="182"/>
      <c r="J127" s="189"/>
      <c r="K127" s="135"/>
      <c r="L127" s="135"/>
      <c r="M127" s="135"/>
      <c r="N127" s="135"/>
      <c r="O127" s="189"/>
      <c r="P127" s="135"/>
      <c r="Q127" s="229"/>
      <c r="R127" s="135"/>
      <c r="S127" s="135"/>
      <c r="T127" s="135"/>
      <c r="U127" s="135"/>
      <c r="V127" s="135"/>
    </row>
    <row r="128" customFormat="false" ht="15.75" hidden="false" customHeight="true" outlineLevel="0" collapsed="false">
      <c r="A128" s="135"/>
      <c r="B128" s="135"/>
      <c r="C128" s="135"/>
      <c r="D128" s="135"/>
      <c r="E128" s="135"/>
      <c r="F128" s="135"/>
      <c r="G128" s="135"/>
      <c r="H128" s="189"/>
      <c r="I128" s="182"/>
      <c r="J128" s="189"/>
      <c r="K128" s="135"/>
      <c r="L128" s="135"/>
      <c r="M128" s="135"/>
      <c r="N128" s="135"/>
      <c r="O128" s="189"/>
      <c r="P128" s="135"/>
      <c r="Q128" s="229"/>
      <c r="R128" s="135"/>
      <c r="S128" s="135"/>
      <c r="T128" s="135"/>
      <c r="U128" s="135"/>
      <c r="V128" s="135"/>
    </row>
    <row r="129" customFormat="false" ht="15.75" hidden="false" customHeight="true" outlineLevel="0" collapsed="false">
      <c r="A129" s="135"/>
      <c r="B129" s="135"/>
      <c r="C129" s="135"/>
      <c r="D129" s="135"/>
      <c r="E129" s="135"/>
      <c r="F129" s="135"/>
      <c r="G129" s="135"/>
      <c r="H129" s="189"/>
      <c r="I129" s="182"/>
      <c r="J129" s="189"/>
      <c r="K129" s="135"/>
      <c r="L129" s="135"/>
      <c r="M129" s="135"/>
      <c r="N129" s="135"/>
      <c r="O129" s="189"/>
      <c r="P129" s="135"/>
      <c r="Q129" s="229"/>
      <c r="R129" s="135"/>
      <c r="S129" s="135"/>
      <c r="T129" s="135"/>
      <c r="U129" s="135"/>
      <c r="V129" s="135"/>
    </row>
    <row r="130" customFormat="false" ht="15.75" hidden="false" customHeight="true" outlineLevel="0" collapsed="false">
      <c r="A130" s="135"/>
      <c r="B130" s="135"/>
      <c r="C130" s="135"/>
      <c r="D130" s="135"/>
      <c r="E130" s="135"/>
      <c r="F130" s="135"/>
      <c r="G130" s="135"/>
      <c r="H130" s="189"/>
      <c r="I130" s="182"/>
      <c r="J130" s="189"/>
      <c r="K130" s="135"/>
      <c r="L130" s="135"/>
      <c r="M130" s="135"/>
      <c r="N130" s="135"/>
      <c r="O130" s="189"/>
      <c r="P130" s="135"/>
      <c r="Q130" s="229"/>
      <c r="R130" s="135"/>
      <c r="S130" s="135"/>
      <c r="T130" s="135"/>
      <c r="U130" s="135"/>
      <c r="V130" s="135"/>
    </row>
    <row r="131" customFormat="false" ht="15.75" hidden="false" customHeight="true" outlineLevel="0" collapsed="false">
      <c r="A131" s="135"/>
      <c r="B131" s="135"/>
      <c r="C131" s="135"/>
      <c r="D131" s="135"/>
      <c r="E131" s="135"/>
      <c r="F131" s="135"/>
      <c r="G131" s="135"/>
      <c r="H131" s="189"/>
      <c r="I131" s="182"/>
      <c r="J131" s="189"/>
      <c r="K131" s="135"/>
      <c r="L131" s="135"/>
      <c r="M131" s="135"/>
      <c r="N131" s="135"/>
      <c r="O131" s="189"/>
      <c r="P131" s="135"/>
      <c r="Q131" s="229"/>
      <c r="R131" s="135"/>
      <c r="S131" s="135"/>
      <c r="T131" s="135"/>
      <c r="U131" s="135"/>
      <c r="V131" s="135"/>
    </row>
    <row r="132" customFormat="false" ht="15.75" hidden="false" customHeight="true" outlineLevel="0" collapsed="false">
      <c r="A132" s="135"/>
      <c r="B132" s="135"/>
      <c r="C132" s="135"/>
      <c r="D132" s="135"/>
      <c r="E132" s="135"/>
      <c r="F132" s="135"/>
      <c r="G132" s="135"/>
      <c r="H132" s="189"/>
      <c r="I132" s="182"/>
      <c r="J132" s="189"/>
      <c r="K132" s="135"/>
      <c r="L132" s="135"/>
      <c r="M132" s="135"/>
      <c r="N132" s="135"/>
      <c r="O132" s="189"/>
      <c r="P132" s="135"/>
      <c r="Q132" s="229"/>
      <c r="R132" s="135"/>
      <c r="S132" s="135"/>
      <c r="T132" s="135"/>
      <c r="U132" s="135"/>
      <c r="V132" s="135"/>
    </row>
    <row r="133" customFormat="false" ht="15.75" hidden="false" customHeight="true" outlineLevel="0" collapsed="false">
      <c r="A133" s="135"/>
      <c r="B133" s="135"/>
      <c r="C133" s="135"/>
      <c r="D133" s="135"/>
      <c r="E133" s="135"/>
      <c r="F133" s="135"/>
      <c r="G133" s="135"/>
      <c r="H133" s="189"/>
      <c r="I133" s="182"/>
      <c r="J133" s="189"/>
      <c r="K133" s="135"/>
      <c r="L133" s="135"/>
      <c r="M133" s="135"/>
      <c r="N133" s="135"/>
      <c r="O133" s="189"/>
      <c r="P133" s="135"/>
      <c r="Q133" s="229"/>
      <c r="R133" s="135"/>
      <c r="S133" s="135"/>
      <c r="T133" s="135"/>
      <c r="U133" s="135"/>
      <c r="V133" s="135"/>
    </row>
    <row r="134" customFormat="false" ht="15.75" hidden="false" customHeight="true" outlineLevel="0" collapsed="false">
      <c r="A134" s="135"/>
      <c r="B134" s="135"/>
      <c r="C134" s="135"/>
      <c r="D134" s="135"/>
      <c r="E134" s="135"/>
      <c r="F134" s="135"/>
      <c r="G134" s="135"/>
      <c r="H134" s="189"/>
      <c r="I134" s="182"/>
      <c r="J134" s="189"/>
      <c r="K134" s="135"/>
      <c r="L134" s="135"/>
      <c r="M134" s="135"/>
      <c r="N134" s="135"/>
      <c r="O134" s="189"/>
      <c r="P134" s="135"/>
      <c r="Q134" s="229"/>
      <c r="R134" s="135"/>
      <c r="S134" s="135"/>
      <c r="T134" s="135"/>
      <c r="U134" s="135"/>
      <c r="V134" s="135"/>
    </row>
    <row r="135" customFormat="false" ht="15.75" hidden="false" customHeight="true" outlineLevel="0" collapsed="false">
      <c r="A135" s="135"/>
      <c r="B135" s="135"/>
      <c r="C135" s="135"/>
      <c r="D135" s="135"/>
      <c r="E135" s="135"/>
      <c r="F135" s="135"/>
      <c r="G135" s="135"/>
      <c r="H135" s="189"/>
      <c r="I135" s="182"/>
      <c r="J135" s="189"/>
      <c r="K135" s="135"/>
      <c r="L135" s="135"/>
      <c r="M135" s="135"/>
      <c r="N135" s="135"/>
      <c r="O135" s="189"/>
      <c r="P135" s="135"/>
      <c r="Q135" s="229"/>
      <c r="R135" s="135"/>
      <c r="S135" s="135"/>
      <c r="T135" s="135"/>
      <c r="U135" s="135"/>
      <c r="V135" s="135"/>
    </row>
    <row r="136" customFormat="false" ht="15.75" hidden="false" customHeight="true" outlineLevel="0" collapsed="false">
      <c r="A136" s="135"/>
      <c r="B136" s="135"/>
      <c r="C136" s="135"/>
      <c r="D136" s="135"/>
      <c r="E136" s="135"/>
      <c r="F136" s="135"/>
      <c r="G136" s="135"/>
      <c r="H136" s="189"/>
      <c r="I136" s="182"/>
      <c r="J136" s="189"/>
      <c r="K136" s="135"/>
      <c r="L136" s="135"/>
      <c r="M136" s="135"/>
      <c r="N136" s="135"/>
      <c r="O136" s="189"/>
      <c r="P136" s="135"/>
      <c r="Q136" s="229"/>
      <c r="R136" s="135"/>
      <c r="S136" s="135"/>
      <c r="T136" s="135"/>
      <c r="U136" s="135"/>
      <c r="V136" s="135"/>
    </row>
    <row r="137" customFormat="false" ht="15.75" hidden="false" customHeight="true" outlineLevel="0" collapsed="false">
      <c r="A137" s="135"/>
      <c r="B137" s="135"/>
      <c r="C137" s="135"/>
      <c r="D137" s="135"/>
      <c r="E137" s="135"/>
      <c r="F137" s="135"/>
      <c r="G137" s="135"/>
      <c r="H137" s="189"/>
      <c r="I137" s="182"/>
      <c r="J137" s="189"/>
      <c r="K137" s="135"/>
      <c r="L137" s="135"/>
      <c r="M137" s="135"/>
      <c r="N137" s="135"/>
      <c r="O137" s="189"/>
      <c r="P137" s="135"/>
      <c r="Q137" s="229"/>
      <c r="R137" s="135"/>
      <c r="S137" s="135"/>
      <c r="T137" s="135"/>
      <c r="U137" s="135"/>
      <c r="V137" s="135"/>
    </row>
    <row r="138" customFormat="false" ht="15.75" hidden="false" customHeight="true" outlineLevel="0" collapsed="false">
      <c r="A138" s="135"/>
      <c r="B138" s="135"/>
      <c r="C138" s="135"/>
      <c r="D138" s="135"/>
      <c r="E138" s="135"/>
      <c r="F138" s="135"/>
      <c r="G138" s="135"/>
      <c r="H138" s="189"/>
      <c r="I138" s="182"/>
      <c r="J138" s="189"/>
      <c r="K138" s="135"/>
      <c r="L138" s="135"/>
      <c r="M138" s="135"/>
      <c r="N138" s="135"/>
      <c r="O138" s="189"/>
      <c r="P138" s="135"/>
      <c r="Q138" s="229"/>
      <c r="R138" s="135"/>
      <c r="S138" s="135"/>
      <c r="T138" s="135"/>
      <c r="U138" s="135"/>
      <c r="V138" s="135"/>
    </row>
    <row r="139" customFormat="false" ht="15.75" hidden="false" customHeight="true" outlineLevel="0" collapsed="false">
      <c r="A139" s="135"/>
      <c r="B139" s="135"/>
      <c r="C139" s="135"/>
      <c r="D139" s="135"/>
      <c r="E139" s="135"/>
      <c r="F139" s="135"/>
      <c r="G139" s="135"/>
      <c r="H139" s="189"/>
      <c r="I139" s="182"/>
      <c r="J139" s="189"/>
      <c r="K139" s="135"/>
      <c r="L139" s="135"/>
      <c r="M139" s="135"/>
      <c r="N139" s="135"/>
      <c r="O139" s="189"/>
      <c r="P139" s="135"/>
      <c r="Q139" s="229"/>
      <c r="R139" s="135"/>
      <c r="S139" s="135"/>
      <c r="T139" s="135"/>
      <c r="U139" s="135"/>
      <c r="V139" s="135"/>
    </row>
    <row r="140" customFormat="false" ht="15.75" hidden="false" customHeight="true" outlineLevel="0" collapsed="false">
      <c r="A140" s="135"/>
      <c r="B140" s="135"/>
      <c r="C140" s="135"/>
      <c r="D140" s="135"/>
      <c r="E140" s="135"/>
      <c r="F140" s="135"/>
      <c r="G140" s="135"/>
      <c r="H140" s="189"/>
      <c r="I140" s="182"/>
      <c r="J140" s="189"/>
      <c r="K140" s="135"/>
      <c r="L140" s="135"/>
      <c r="M140" s="135"/>
      <c r="N140" s="135"/>
      <c r="O140" s="189"/>
      <c r="P140" s="135"/>
      <c r="Q140" s="229"/>
      <c r="R140" s="135"/>
      <c r="S140" s="135"/>
      <c r="T140" s="135"/>
      <c r="U140" s="135"/>
      <c r="V140" s="135"/>
    </row>
    <row r="141" customFormat="false" ht="15.75" hidden="false" customHeight="true" outlineLevel="0" collapsed="false">
      <c r="A141" s="135"/>
      <c r="B141" s="135"/>
      <c r="C141" s="135"/>
      <c r="D141" s="135"/>
      <c r="E141" s="135"/>
      <c r="F141" s="135"/>
      <c r="G141" s="135"/>
      <c r="H141" s="189"/>
      <c r="I141" s="182"/>
      <c r="J141" s="189"/>
      <c r="K141" s="135"/>
      <c r="L141" s="135"/>
      <c r="M141" s="135"/>
      <c r="N141" s="135"/>
      <c r="O141" s="189"/>
      <c r="P141" s="135"/>
      <c r="Q141" s="229"/>
      <c r="R141" s="135"/>
      <c r="S141" s="135"/>
      <c r="T141" s="135"/>
      <c r="U141" s="135"/>
      <c r="V141" s="135"/>
    </row>
    <row r="142" customFormat="false" ht="15.75" hidden="false" customHeight="true" outlineLevel="0" collapsed="false">
      <c r="A142" s="135"/>
      <c r="B142" s="135"/>
      <c r="C142" s="135"/>
      <c r="D142" s="135"/>
      <c r="E142" s="135"/>
      <c r="F142" s="135"/>
      <c r="G142" s="135"/>
      <c r="H142" s="189"/>
      <c r="I142" s="182"/>
      <c r="J142" s="189"/>
      <c r="K142" s="135"/>
      <c r="L142" s="135"/>
      <c r="M142" s="135"/>
      <c r="N142" s="135"/>
      <c r="O142" s="189"/>
      <c r="P142" s="135"/>
      <c r="Q142" s="229"/>
      <c r="R142" s="135"/>
      <c r="S142" s="135"/>
      <c r="T142" s="135"/>
      <c r="U142" s="135"/>
      <c r="V142" s="135"/>
    </row>
    <row r="143" customFormat="false" ht="15.75" hidden="false" customHeight="true" outlineLevel="0" collapsed="false">
      <c r="A143" s="135"/>
      <c r="B143" s="135"/>
      <c r="C143" s="135"/>
      <c r="D143" s="135"/>
      <c r="E143" s="135"/>
      <c r="F143" s="135"/>
      <c r="G143" s="135"/>
      <c r="H143" s="189"/>
      <c r="I143" s="182"/>
      <c r="J143" s="189"/>
      <c r="K143" s="135"/>
      <c r="L143" s="135"/>
      <c r="M143" s="135"/>
      <c r="N143" s="135"/>
      <c r="O143" s="189"/>
      <c r="P143" s="135"/>
      <c r="Q143" s="229"/>
      <c r="R143" s="135"/>
      <c r="S143" s="135"/>
      <c r="T143" s="135"/>
      <c r="U143" s="135"/>
      <c r="V143" s="135"/>
    </row>
    <row r="144" customFormat="false" ht="15.75" hidden="false" customHeight="true" outlineLevel="0" collapsed="false">
      <c r="A144" s="135"/>
      <c r="B144" s="135"/>
      <c r="C144" s="135"/>
      <c r="D144" s="135"/>
      <c r="E144" s="135"/>
      <c r="F144" s="135"/>
      <c r="G144" s="135"/>
      <c r="H144" s="189"/>
      <c r="I144" s="182"/>
      <c r="J144" s="189"/>
      <c r="K144" s="135"/>
      <c r="L144" s="135"/>
      <c r="M144" s="135"/>
      <c r="N144" s="135"/>
      <c r="O144" s="189"/>
      <c r="P144" s="135"/>
      <c r="Q144" s="229"/>
      <c r="R144" s="135"/>
      <c r="S144" s="135"/>
      <c r="T144" s="135"/>
      <c r="U144" s="135"/>
      <c r="V144" s="135"/>
    </row>
    <row r="145" customFormat="false" ht="15.75" hidden="false" customHeight="true" outlineLevel="0" collapsed="false">
      <c r="A145" s="135"/>
      <c r="B145" s="135"/>
      <c r="C145" s="135"/>
      <c r="D145" s="135"/>
      <c r="E145" s="135"/>
      <c r="F145" s="135"/>
      <c r="G145" s="135"/>
      <c r="H145" s="189"/>
      <c r="I145" s="182"/>
      <c r="J145" s="189"/>
      <c r="K145" s="135"/>
      <c r="L145" s="135"/>
      <c r="M145" s="135"/>
      <c r="N145" s="135"/>
      <c r="O145" s="189"/>
      <c r="P145" s="135"/>
      <c r="Q145" s="229"/>
      <c r="R145" s="135"/>
      <c r="S145" s="135"/>
      <c r="T145" s="135"/>
      <c r="U145" s="135"/>
      <c r="V145" s="135"/>
    </row>
    <row r="146" customFormat="false" ht="15.75" hidden="false" customHeight="true" outlineLevel="0" collapsed="false">
      <c r="A146" s="135"/>
      <c r="B146" s="135"/>
      <c r="C146" s="135"/>
      <c r="D146" s="135"/>
      <c r="E146" s="135"/>
      <c r="F146" s="135"/>
      <c r="G146" s="135"/>
      <c r="H146" s="189"/>
      <c r="I146" s="182"/>
      <c r="J146" s="189"/>
      <c r="K146" s="135"/>
      <c r="L146" s="135"/>
      <c r="M146" s="135"/>
      <c r="N146" s="135"/>
      <c r="O146" s="189"/>
      <c r="P146" s="135"/>
      <c r="Q146" s="229"/>
      <c r="R146" s="135"/>
      <c r="S146" s="135"/>
      <c r="T146" s="135"/>
      <c r="U146" s="135"/>
      <c r="V146" s="135"/>
    </row>
    <row r="147" customFormat="false" ht="15.75" hidden="false" customHeight="true" outlineLevel="0" collapsed="false">
      <c r="A147" s="135"/>
      <c r="B147" s="135"/>
      <c r="C147" s="135"/>
      <c r="D147" s="135"/>
      <c r="E147" s="135"/>
      <c r="F147" s="135"/>
      <c r="G147" s="135"/>
      <c r="H147" s="189"/>
      <c r="I147" s="182"/>
      <c r="J147" s="189"/>
      <c r="K147" s="135"/>
      <c r="L147" s="135"/>
      <c r="M147" s="135"/>
      <c r="N147" s="135"/>
      <c r="O147" s="189"/>
      <c r="P147" s="135"/>
      <c r="Q147" s="229"/>
      <c r="R147" s="135"/>
      <c r="S147" s="135"/>
      <c r="T147" s="135"/>
      <c r="U147" s="135"/>
      <c r="V147" s="135"/>
    </row>
    <row r="148" customFormat="false" ht="15.75" hidden="false" customHeight="true" outlineLevel="0" collapsed="false">
      <c r="A148" s="135"/>
      <c r="B148" s="135"/>
      <c r="C148" s="135"/>
      <c r="D148" s="135"/>
      <c r="E148" s="135"/>
      <c r="F148" s="135"/>
      <c r="G148" s="135"/>
      <c r="H148" s="189"/>
      <c r="I148" s="182"/>
      <c r="J148" s="189"/>
      <c r="K148" s="135"/>
      <c r="L148" s="135"/>
      <c r="M148" s="135"/>
      <c r="N148" s="135"/>
      <c r="O148" s="189"/>
      <c r="P148" s="135"/>
      <c r="Q148" s="229"/>
      <c r="R148" s="135"/>
      <c r="S148" s="135"/>
      <c r="T148" s="135"/>
      <c r="U148" s="135"/>
      <c r="V148" s="135"/>
    </row>
    <row r="149" customFormat="false" ht="15.75" hidden="false" customHeight="true" outlineLevel="0" collapsed="false">
      <c r="A149" s="135"/>
      <c r="B149" s="135"/>
      <c r="C149" s="135"/>
      <c r="D149" s="135"/>
      <c r="E149" s="135"/>
      <c r="F149" s="135"/>
      <c r="G149" s="135"/>
      <c r="H149" s="189"/>
      <c r="I149" s="182"/>
      <c r="J149" s="189"/>
      <c r="K149" s="135"/>
      <c r="L149" s="135"/>
      <c r="M149" s="135"/>
      <c r="N149" s="135"/>
      <c r="O149" s="189"/>
      <c r="P149" s="135"/>
      <c r="Q149" s="229"/>
      <c r="R149" s="135"/>
      <c r="S149" s="135"/>
      <c r="T149" s="135"/>
      <c r="U149" s="135"/>
      <c r="V149" s="135"/>
    </row>
    <row r="150" customFormat="false" ht="15.75" hidden="false" customHeight="true" outlineLevel="0" collapsed="false">
      <c r="A150" s="135"/>
      <c r="B150" s="135"/>
      <c r="C150" s="135"/>
      <c r="D150" s="135"/>
      <c r="E150" s="135"/>
      <c r="F150" s="135"/>
      <c r="G150" s="135"/>
      <c r="H150" s="189"/>
      <c r="I150" s="182"/>
      <c r="J150" s="189"/>
      <c r="K150" s="135"/>
      <c r="L150" s="135"/>
      <c r="M150" s="135"/>
      <c r="N150" s="135"/>
      <c r="O150" s="189"/>
      <c r="P150" s="135"/>
      <c r="Q150" s="229"/>
      <c r="R150" s="135"/>
      <c r="S150" s="135"/>
      <c r="T150" s="135"/>
      <c r="U150" s="135"/>
      <c r="V150" s="135"/>
    </row>
    <row r="151" customFormat="false" ht="15.75" hidden="false" customHeight="true" outlineLevel="0" collapsed="false">
      <c r="A151" s="135"/>
      <c r="B151" s="135"/>
      <c r="C151" s="135"/>
      <c r="D151" s="135"/>
      <c r="E151" s="135"/>
      <c r="F151" s="135"/>
      <c r="G151" s="135"/>
      <c r="H151" s="189"/>
      <c r="I151" s="182"/>
      <c r="J151" s="189"/>
      <c r="K151" s="135"/>
      <c r="L151" s="135"/>
      <c r="M151" s="135"/>
      <c r="N151" s="135"/>
      <c r="O151" s="189"/>
      <c r="P151" s="135"/>
      <c r="Q151" s="229"/>
      <c r="R151" s="135"/>
      <c r="S151" s="135"/>
      <c r="T151" s="135"/>
      <c r="U151" s="135"/>
      <c r="V151" s="135"/>
    </row>
    <row r="152" customFormat="false" ht="15.75" hidden="false" customHeight="true" outlineLevel="0" collapsed="false">
      <c r="A152" s="135"/>
      <c r="B152" s="135"/>
      <c r="C152" s="135"/>
      <c r="D152" s="135"/>
      <c r="E152" s="135"/>
      <c r="F152" s="135"/>
      <c r="G152" s="135"/>
      <c r="H152" s="189"/>
      <c r="I152" s="182"/>
      <c r="J152" s="189"/>
      <c r="K152" s="135"/>
      <c r="L152" s="135"/>
      <c r="M152" s="135"/>
      <c r="N152" s="135"/>
      <c r="O152" s="189"/>
      <c r="P152" s="135"/>
      <c r="Q152" s="229"/>
      <c r="R152" s="135"/>
      <c r="S152" s="135"/>
      <c r="T152" s="135"/>
      <c r="U152" s="135"/>
      <c r="V152" s="135"/>
    </row>
    <row r="153" customFormat="false" ht="15.75" hidden="false" customHeight="true" outlineLevel="0" collapsed="false">
      <c r="A153" s="135"/>
      <c r="B153" s="135"/>
      <c r="C153" s="135"/>
      <c r="D153" s="135"/>
      <c r="E153" s="135"/>
      <c r="F153" s="135"/>
      <c r="G153" s="135"/>
      <c r="H153" s="189"/>
      <c r="I153" s="182"/>
      <c r="J153" s="189"/>
      <c r="K153" s="135"/>
      <c r="L153" s="135"/>
      <c r="M153" s="135"/>
      <c r="N153" s="135"/>
      <c r="O153" s="189"/>
      <c r="P153" s="135"/>
      <c r="Q153" s="229"/>
      <c r="R153" s="135"/>
      <c r="S153" s="135"/>
      <c r="T153" s="135"/>
      <c r="U153" s="135"/>
      <c r="V153" s="135"/>
    </row>
    <row r="154" customFormat="false" ht="15.75" hidden="false" customHeight="true" outlineLevel="0" collapsed="false">
      <c r="A154" s="135"/>
      <c r="B154" s="135"/>
      <c r="C154" s="135"/>
      <c r="D154" s="135"/>
      <c r="E154" s="135"/>
      <c r="F154" s="135"/>
      <c r="G154" s="135"/>
      <c r="H154" s="189"/>
      <c r="I154" s="182"/>
      <c r="J154" s="189"/>
      <c r="K154" s="135"/>
      <c r="L154" s="135"/>
      <c r="M154" s="135"/>
      <c r="N154" s="135"/>
      <c r="O154" s="189"/>
      <c r="P154" s="135"/>
      <c r="Q154" s="229"/>
      <c r="R154" s="135"/>
      <c r="S154" s="135"/>
      <c r="T154" s="135"/>
      <c r="U154" s="135"/>
      <c r="V154" s="135"/>
    </row>
    <row r="155" customFormat="false" ht="15.75" hidden="false" customHeight="true" outlineLevel="0" collapsed="false">
      <c r="A155" s="135"/>
      <c r="B155" s="135"/>
      <c r="C155" s="135"/>
      <c r="D155" s="135"/>
      <c r="E155" s="135"/>
      <c r="F155" s="135"/>
      <c r="G155" s="135"/>
      <c r="H155" s="189"/>
      <c r="I155" s="182"/>
      <c r="J155" s="189"/>
      <c r="K155" s="135"/>
      <c r="L155" s="135"/>
      <c r="M155" s="135"/>
      <c r="N155" s="135"/>
      <c r="O155" s="189"/>
      <c r="P155" s="135"/>
      <c r="Q155" s="229"/>
      <c r="R155" s="135"/>
      <c r="S155" s="135"/>
      <c r="T155" s="135"/>
      <c r="U155" s="135"/>
      <c r="V155" s="135"/>
    </row>
    <row r="156" customFormat="false" ht="15.75" hidden="false" customHeight="true" outlineLevel="0" collapsed="false">
      <c r="A156" s="135"/>
      <c r="B156" s="135"/>
      <c r="C156" s="135"/>
      <c r="D156" s="135"/>
      <c r="E156" s="135"/>
      <c r="F156" s="135"/>
      <c r="G156" s="135"/>
      <c r="H156" s="189"/>
      <c r="I156" s="182"/>
      <c r="J156" s="189"/>
      <c r="K156" s="135"/>
      <c r="L156" s="135"/>
      <c r="M156" s="135"/>
      <c r="N156" s="135"/>
      <c r="O156" s="189"/>
      <c r="P156" s="135"/>
      <c r="Q156" s="229"/>
      <c r="R156" s="135"/>
      <c r="S156" s="135"/>
      <c r="T156" s="135"/>
      <c r="U156" s="135"/>
      <c r="V156" s="135"/>
    </row>
    <row r="157" customFormat="false" ht="15.75" hidden="false" customHeight="true" outlineLevel="0" collapsed="false">
      <c r="A157" s="135"/>
      <c r="B157" s="135"/>
      <c r="C157" s="135"/>
      <c r="D157" s="135"/>
      <c r="E157" s="135"/>
      <c r="F157" s="135"/>
      <c r="G157" s="135"/>
      <c r="H157" s="189"/>
      <c r="I157" s="182"/>
      <c r="J157" s="189"/>
      <c r="K157" s="135"/>
      <c r="L157" s="135"/>
      <c r="M157" s="135"/>
      <c r="N157" s="135"/>
      <c r="O157" s="189"/>
      <c r="P157" s="135"/>
      <c r="Q157" s="229"/>
      <c r="R157" s="135"/>
      <c r="S157" s="135"/>
      <c r="T157" s="135"/>
      <c r="U157" s="135"/>
      <c r="V157" s="135"/>
    </row>
    <row r="158" customFormat="false" ht="15.75" hidden="false" customHeight="true" outlineLevel="0" collapsed="false">
      <c r="A158" s="135"/>
      <c r="B158" s="135"/>
      <c r="C158" s="135"/>
      <c r="D158" s="135"/>
      <c r="E158" s="135"/>
      <c r="F158" s="135"/>
      <c r="G158" s="135"/>
      <c r="H158" s="189"/>
      <c r="I158" s="182"/>
      <c r="J158" s="189"/>
      <c r="K158" s="135"/>
      <c r="L158" s="135"/>
      <c r="M158" s="135"/>
      <c r="N158" s="135"/>
      <c r="O158" s="189"/>
      <c r="P158" s="135"/>
      <c r="Q158" s="229"/>
      <c r="R158" s="135"/>
      <c r="S158" s="135"/>
      <c r="T158" s="135"/>
      <c r="U158" s="135"/>
      <c r="V158" s="135"/>
    </row>
    <row r="159" customFormat="false" ht="15.75" hidden="false" customHeight="true" outlineLevel="0" collapsed="false">
      <c r="A159" s="135"/>
      <c r="B159" s="135"/>
      <c r="C159" s="135"/>
      <c r="D159" s="135"/>
      <c r="E159" s="135"/>
      <c r="F159" s="135"/>
      <c r="G159" s="135"/>
      <c r="H159" s="189"/>
      <c r="I159" s="182"/>
      <c r="J159" s="189"/>
      <c r="K159" s="135"/>
      <c r="L159" s="135"/>
      <c r="M159" s="135"/>
      <c r="N159" s="135"/>
      <c r="O159" s="189"/>
      <c r="P159" s="135"/>
      <c r="Q159" s="229"/>
      <c r="R159" s="135"/>
      <c r="S159" s="135"/>
      <c r="T159" s="135"/>
      <c r="U159" s="135"/>
      <c r="V159" s="135"/>
    </row>
    <row r="160" customFormat="false" ht="15.75" hidden="false" customHeight="true" outlineLevel="0" collapsed="false">
      <c r="A160" s="135"/>
      <c r="B160" s="135"/>
      <c r="C160" s="135"/>
      <c r="D160" s="135"/>
      <c r="E160" s="135"/>
      <c r="F160" s="135"/>
      <c r="G160" s="135"/>
      <c r="H160" s="189"/>
      <c r="I160" s="182"/>
      <c r="J160" s="189"/>
      <c r="K160" s="135"/>
      <c r="L160" s="135"/>
      <c r="M160" s="135"/>
      <c r="N160" s="135"/>
      <c r="O160" s="189"/>
      <c r="P160" s="135"/>
      <c r="Q160" s="229"/>
      <c r="R160" s="135"/>
      <c r="S160" s="135"/>
      <c r="T160" s="135"/>
      <c r="U160" s="135"/>
      <c r="V160" s="135"/>
    </row>
    <row r="161" customFormat="false" ht="15.75" hidden="false" customHeight="true" outlineLevel="0" collapsed="false">
      <c r="A161" s="135"/>
      <c r="B161" s="135"/>
      <c r="C161" s="135"/>
      <c r="D161" s="135"/>
      <c r="E161" s="135"/>
      <c r="F161" s="135"/>
      <c r="G161" s="135"/>
      <c r="H161" s="189"/>
      <c r="I161" s="182"/>
      <c r="J161" s="189"/>
      <c r="K161" s="135"/>
      <c r="L161" s="135"/>
      <c r="M161" s="135"/>
      <c r="N161" s="135"/>
      <c r="O161" s="189"/>
      <c r="P161" s="135"/>
      <c r="Q161" s="229"/>
      <c r="R161" s="135"/>
      <c r="S161" s="135"/>
      <c r="T161" s="135"/>
      <c r="U161" s="135"/>
      <c r="V161" s="135"/>
    </row>
    <row r="162" customFormat="false" ht="15.75" hidden="false" customHeight="true" outlineLevel="0" collapsed="false">
      <c r="A162" s="135"/>
      <c r="B162" s="135"/>
      <c r="C162" s="135"/>
      <c r="D162" s="135"/>
      <c r="E162" s="135"/>
      <c r="F162" s="135"/>
      <c r="G162" s="135"/>
      <c r="H162" s="189"/>
      <c r="I162" s="182"/>
      <c r="J162" s="189"/>
      <c r="K162" s="135"/>
      <c r="L162" s="135"/>
      <c r="M162" s="135"/>
      <c r="N162" s="135"/>
      <c r="O162" s="189"/>
      <c r="P162" s="135"/>
      <c r="Q162" s="229"/>
      <c r="R162" s="135"/>
      <c r="S162" s="135"/>
      <c r="T162" s="135"/>
      <c r="U162" s="135"/>
      <c r="V162" s="135"/>
    </row>
    <row r="163" customFormat="false" ht="15.75" hidden="false" customHeight="true" outlineLevel="0" collapsed="false">
      <c r="A163" s="135"/>
      <c r="B163" s="135"/>
      <c r="C163" s="135"/>
      <c r="D163" s="135"/>
      <c r="E163" s="135"/>
      <c r="F163" s="135"/>
      <c r="G163" s="135"/>
      <c r="H163" s="189"/>
      <c r="I163" s="182"/>
      <c r="J163" s="189"/>
      <c r="K163" s="135"/>
      <c r="L163" s="135"/>
      <c r="M163" s="135"/>
      <c r="N163" s="135"/>
      <c r="O163" s="189"/>
      <c r="P163" s="135"/>
      <c r="Q163" s="229"/>
      <c r="R163" s="135"/>
      <c r="S163" s="135"/>
      <c r="T163" s="135"/>
      <c r="U163" s="135"/>
      <c r="V163" s="135"/>
    </row>
    <row r="164" customFormat="false" ht="15.75" hidden="false" customHeight="true" outlineLevel="0" collapsed="false">
      <c r="A164" s="135"/>
      <c r="B164" s="135"/>
      <c r="C164" s="135"/>
      <c r="D164" s="135"/>
      <c r="E164" s="135"/>
      <c r="F164" s="135"/>
      <c r="G164" s="135"/>
      <c r="H164" s="189"/>
      <c r="I164" s="182"/>
      <c r="J164" s="189"/>
      <c r="K164" s="135"/>
      <c r="L164" s="135"/>
      <c r="M164" s="135"/>
      <c r="N164" s="135"/>
      <c r="O164" s="189"/>
      <c r="P164" s="135"/>
      <c r="Q164" s="229"/>
      <c r="R164" s="135"/>
      <c r="S164" s="135"/>
      <c r="T164" s="135"/>
      <c r="U164" s="135"/>
      <c r="V164" s="135"/>
    </row>
    <row r="165" customFormat="false" ht="15.75" hidden="false" customHeight="true" outlineLevel="0" collapsed="false">
      <c r="A165" s="135"/>
      <c r="B165" s="135"/>
      <c r="C165" s="135"/>
      <c r="D165" s="135"/>
      <c r="E165" s="135"/>
      <c r="F165" s="135"/>
      <c r="G165" s="135"/>
      <c r="H165" s="189"/>
      <c r="I165" s="182"/>
      <c r="J165" s="189"/>
      <c r="K165" s="135"/>
      <c r="L165" s="135"/>
      <c r="M165" s="135"/>
      <c r="N165" s="135"/>
      <c r="O165" s="189"/>
      <c r="P165" s="135"/>
      <c r="Q165" s="229"/>
      <c r="R165" s="135"/>
      <c r="S165" s="135"/>
      <c r="T165" s="135"/>
      <c r="U165" s="135"/>
      <c r="V165" s="135"/>
    </row>
    <row r="166" customFormat="false" ht="15.75" hidden="false" customHeight="true" outlineLevel="0" collapsed="false">
      <c r="A166" s="135"/>
      <c r="B166" s="135"/>
      <c r="C166" s="135"/>
      <c r="D166" s="135"/>
      <c r="E166" s="135"/>
      <c r="F166" s="135"/>
      <c r="G166" s="135"/>
      <c r="H166" s="189"/>
      <c r="I166" s="182"/>
      <c r="J166" s="189"/>
      <c r="K166" s="135"/>
      <c r="L166" s="135"/>
      <c r="M166" s="135"/>
      <c r="N166" s="135"/>
      <c r="O166" s="189"/>
      <c r="P166" s="135"/>
      <c r="Q166" s="229"/>
      <c r="R166" s="135"/>
      <c r="S166" s="135"/>
      <c r="T166" s="135"/>
      <c r="U166" s="135"/>
      <c r="V166" s="135"/>
    </row>
    <row r="167" customFormat="false" ht="15.75" hidden="false" customHeight="true" outlineLevel="0" collapsed="false">
      <c r="A167" s="135"/>
      <c r="B167" s="135"/>
      <c r="C167" s="135"/>
      <c r="D167" s="135"/>
      <c r="E167" s="135"/>
      <c r="F167" s="135"/>
      <c r="G167" s="135"/>
      <c r="H167" s="189"/>
      <c r="I167" s="182"/>
      <c r="J167" s="189"/>
      <c r="K167" s="135"/>
      <c r="L167" s="135"/>
      <c r="M167" s="135"/>
      <c r="N167" s="135"/>
      <c r="O167" s="189"/>
      <c r="P167" s="135"/>
      <c r="Q167" s="229"/>
      <c r="R167" s="135"/>
      <c r="S167" s="135"/>
      <c r="T167" s="135"/>
      <c r="U167" s="135"/>
      <c r="V167" s="135"/>
    </row>
    <row r="168" customFormat="false" ht="15.75" hidden="false" customHeight="true" outlineLevel="0" collapsed="false">
      <c r="A168" s="135"/>
      <c r="B168" s="135"/>
      <c r="C168" s="135"/>
      <c r="D168" s="135"/>
      <c r="E168" s="135"/>
      <c r="F168" s="135"/>
      <c r="G168" s="135"/>
      <c r="H168" s="189"/>
      <c r="I168" s="182"/>
      <c r="J168" s="189"/>
      <c r="K168" s="135"/>
      <c r="L168" s="135"/>
      <c r="M168" s="135"/>
      <c r="N168" s="135"/>
      <c r="O168" s="189"/>
      <c r="P168" s="135"/>
      <c r="Q168" s="229"/>
      <c r="R168" s="135"/>
      <c r="S168" s="135"/>
      <c r="T168" s="135"/>
      <c r="U168" s="135"/>
      <c r="V168" s="135"/>
    </row>
    <row r="169" customFormat="false" ht="15.75" hidden="false" customHeight="true" outlineLevel="0" collapsed="false">
      <c r="A169" s="135"/>
      <c r="B169" s="135"/>
      <c r="C169" s="135"/>
      <c r="D169" s="135"/>
      <c r="E169" s="135"/>
      <c r="F169" s="135"/>
      <c r="G169" s="135"/>
      <c r="H169" s="189"/>
      <c r="I169" s="182"/>
      <c r="J169" s="189"/>
      <c r="K169" s="135"/>
      <c r="L169" s="135"/>
      <c r="M169" s="135"/>
      <c r="N169" s="135"/>
      <c r="O169" s="189"/>
      <c r="P169" s="135"/>
      <c r="Q169" s="229"/>
      <c r="R169" s="135"/>
      <c r="S169" s="135"/>
      <c r="T169" s="135"/>
      <c r="U169" s="135"/>
      <c r="V169" s="135"/>
    </row>
    <row r="170" customFormat="false" ht="15.75" hidden="false" customHeight="true" outlineLevel="0" collapsed="false">
      <c r="A170" s="135"/>
      <c r="B170" s="135"/>
      <c r="C170" s="135"/>
      <c r="D170" s="135"/>
      <c r="E170" s="135"/>
      <c r="F170" s="135"/>
      <c r="G170" s="135"/>
      <c r="H170" s="189"/>
      <c r="I170" s="182"/>
      <c r="J170" s="189"/>
      <c r="K170" s="135"/>
      <c r="L170" s="135"/>
      <c r="M170" s="135"/>
      <c r="N170" s="135"/>
      <c r="O170" s="189"/>
      <c r="P170" s="135"/>
      <c r="Q170" s="229"/>
      <c r="R170" s="135"/>
      <c r="S170" s="135"/>
      <c r="T170" s="135"/>
      <c r="U170" s="135"/>
      <c r="V170" s="135"/>
    </row>
    <row r="171" customFormat="false" ht="15.75" hidden="false" customHeight="true" outlineLevel="0" collapsed="false">
      <c r="A171" s="135"/>
      <c r="B171" s="135"/>
      <c r="C171" s="135"/>
      <c r="D171" s="135"/>
      <c r="E171" s="135"/>
      <c r="F171" s="135"/>
      <c r="G171" s="135"/>
      <c r="H171" s="189"/>
      <c r="I171" s="182"/>
      <c r="J171" s="189"/>
      <c r="K171" s="135"/>
      <c r="L171" s="135"/>
      <c r="M171" s="135"/>
      <c r="N171" s="135"/>
      <c r="O171" s="189"/>
      <c r="P171" s="135"/>
      <c r="Q171" s="229"/>
      <c r="R171" s="135"/>
      <c r="S171" s="135"/>
      <c r="T171" s="135"/>
      <c r="U171" s="135"/>
      <c r="V171" s="135"/>
    </row>
    <row r="172" customFormat="false" ht="15.75" hidden="false" customHeight="true" outlineLevel="0" collapsed="false">
      <c r="A172" s="135"/>
      <c r="B172" s="135"/>
      <c r="C172" s="135"/>
      <c r="D172" s="135"/>
      <c r="E172" s="135"/>
      <c r="F172" s="135"/>
      <c r="G172" s="135"/>
      <c r="H172" s="189"/>
      <c r="I172" s="182"/>
      <c r="J172" s="189"/>
      <c r="K172" s="135"/>
      <c r="L172" s="135"/>
      <c r="M172" s="135"/>
      <c r="N172" s="135"/>
      <c r="O172" s="189"/>
      <c r="P172" s="135"/>
      <c r="Q172" s="229"/>
      <c r="R172" s="135"/>
      <c r="S172" s="135"/>
      <c r="T172" s="135"/>
      <c r="U172" s="135"/>
      <c r="V172" s="135"/>
    </row>
    <row r="173" customFormat="false" ht="15.75" hidden="false" customHeight="true" outlineLevel="0" collapsed="false">
      <c r="A173" s="135"/>
      <c r="B173" s="135"/>
      <c r="C173" s="135"/>
      <c r="D173" s="135"/>
      <c r="E173" s="135"/>
      <c r="F173" s="135"/>
      <c r="G173" s="135"/>
      <c r="H173" s="189"/>
      <c r="I173" s="182"/>
      <c r="J173" s="189"/>
      <c r="K173" s="135"/>
      <c r="L173" s="135"/>
      <c r="M173" s="135"/>
      <c r="N173" s="135"/>
      <c r="O173" s="189"/>
      <c r="P173" s="135"/>
      <c r="Q173" s="229"/>
      <c r="R173" s="135"/>
      <c r="S173" s="135"/>
      <c r="T173" s="135"/>
      <c r="U173" s="135"/>
      <c r="V173" s="135"/>
    </row>
    <row r="174" customFormat="false" ht="15.75" hidden="false" customHeight="true" outlineLevel="0" collapsed="false">
      <c r="A174" s="135"/>
      <c r="B174" s="135"/>
      <c r="C174" s="135"/>
      <c r="D174" s="135"/>
      <c r="E174" s="135"/>
      <c r="F174" s="135"/>
      <c r="G174" s="135"/>
      <c r="H174" s="189"/>
      <c r="I174" s="182"/>
      <c r="J174" s="189"/>
      <c r="K174" s="135"/>
      <c r="L174" s="135"/>
      <c r="M174" s="135"/>
      <c r="N174" s="135"/>
      <c r="O174" s="189"/>
      <c r="P174" s="135"/>
      <c r="Q174" s="229"/>
      <c r="R174" s="135"/>
      <c r="S174" s="135"/>
      <c r="T174" s="135"/>
      <c r="U174" s="135"/>
      <c r="V174" s="135"/>
    </row>
    <row r="175" customFormat="false" ht="15.75" hidden="false" customHeight="true" outlineLevel="0" collapsed="false">
      <c r="A175" s="135"/>
      <c r="B175" s="135"/>
      <c r="C175" s="135"/>
      <c r="D175" s="135"/>
      <c r="E175" s="135"/>
      <c r="F175" s="135"/>
      <c r="G175" s="135"/>
      <c r="H175" s="189"/>
      <c r="I175" s="182"/>
      <c r="J175" s="189"/>
      <c r="K175" s="135"/>
      <c r="L175" s="135"/>
      <c r="M175" s="135"/>
      <c r="N175" s="135"/>
      <c r="O175" s="189"/>
      <c r="P175" s="135"/>
      <c r="Q175" s="229"/>
      <c r="R175" s="135"/>
      <c r="S175" s="135"/>
      <c r="T175" s="135"/>
      <c r="U175" s="135"/>
      <c r="V175" s="135"/>
    </row>
    <row r="176" customFormat="false" ht="15.75" hidden="false" customHeight="true" outlineLevel="0" collapsed="false">
      <c r="A176" s="135"/>
      <c r="B176" s="135"/>
      <c r="C176" s="135"/>
      <c r="D176" s="135"/>
      <c r="E176" s="135"/>
      <c r="F176" s="135"/>
      <c r="G176" s="135"/>
      <c r="H176" s="189"/>
      <c r="I176" s="182"/>
      <c r="J176" s="189"/>
      <c r="K176" s="135"/>
      <c r="L176" s="135"/>
      <c r="M176" s="135"/>
      <c r="N176" s="135"/>
      <c r="O176" s="189"/>
      <c r="P176" s="135"/>
      <c r="Q176" s="229"/>
      <c r="R176" s="135"/>
      <c r="S176" s="135"/>
      <c r="T176" s="135"/>
      <c r="U176" s="135"/>
      <c r="V176" s="135"/>
    </row>
    <row r="177" customFormat="false" ht="15.75" hidden="false" customHeight="true" outlineLevel="0" collapsed="false">
      <c r="A177" s="135"/>
      <c r="B177" s="135"/>
      <c r="C177" s="135"/>
      <c r="D177" s="135"/>
      <c r="E177" s="135"/>
      <c r="F177" s="135"/>
      <c r="G177" s="135"/>
      <c r="H177" s="189"/>
      <c r="I177" s="182"/>
      <c r="J177" s="189"/>
      <c r="K177" s="135"/>
      <c r="L177" s="135"/>
      <c r="M177" s="135"/>
      <c r="N177" s="135"/>
      <c r="O177" s="189"/>
      <c r="P177" s="135"/>
      <c r="Q177" s="229"/>
      <c r="R177" s="135"/>
      <c r="S177" s="135"/>
      <c r="T177" s="135"/>
      <c r="U177" s="135"/>
      <c r="V177" s="135"/>
    </row>
    <row r="178" customFormat="false" ht="15.75" hidden="false" customHeight="true" outlineLevel="0" collapsed="false">
      <c r="A178" s="135"/>
      <c r="B178" s="135"/>
      <c r="C178" s="135"/>
      <c r="D178" s="135"/>
      <c r="E178" s="135"/>
      <c r="F178" s="135"/>
      <c r="G178" s="135"/>
      <c r="H178" s="189"/>
      <c r="I178" s="182"/>
      <c r="J178" s="189"/>
      <c r="K178" s="135"/>
      <c r="L178" s="135"/>
      <c r="M178" s="135"/>
      <c r="N178" s="135"/>
      <c r="O178" s="189"/>
      <c r="P178" s="135"/>
      <c r="Q178" s="229"/>
      <c r="R178" s="135"/>
      <c r="S178" s="135"/>
      <c r="T178" s="135"/>
      <c r="U178" s="135"/>
      <c r="V178" s="135"/>
    </row>
    <row r="179" customFormat="false" ht="15.75" hidden="false" customHeight="true" outlineLevel="0" collapsed="false">
      <c r="A179" s="135"/>
      <c r="B179" s="135"/>
      <c r="C179" s="135"/>
      <c r="D179" s="135"/>
      <c r="E179" s="135"/>
      <c r="F179" s="135"/>
      <c r="G179" s="135"/>
      <c r="H179" s="189"/>
      <c r="I179" s="182"/>
      <c r="J179" s="189"/>
      <c r="K179" s="135"/>
      <c r="L179" s="135"/>
      <c r="M179" s="135"/>
      <c r="N179" s="135"/>
      <c r="O179" s="189"/>
      <c r="P179" s="135"/>
      <c r="Q179" s="229"/>
      <c r="R179" s="135"/>
      <c r="S179" s="135"/>
      <c r="T179" s="135"/>
      <c r="U179" s="135"/>
      <c r="V179" s="135"/>
    </row>
    <row r="180" customFormat="false" ht="15.75" hidden="false" customHeight="true" outlineLevel="0" collapsed="false">
      <c r="A180" s="135"/>
      <c r="B180" s="135"/>
      <c r="C180" s="135"/>
      <c r="D180" s="135"/>
      <c r="E180" s="135"/>
      <c r="F180" s="135"/>
      <c r="G180" s="135"/>
      <c r="H180" s="189"/>
      <c r="I180" s="182"/>
      <c r="J180" s="189"/>
      <c r="K180" s="135"/>
      <c r="L180" s="135"/>
      <c r="M180" s="135"/>
      <c r="N180" s="135"/>
      <c r="O180" s="189"/>
      <c r="P180" s="135"/>
      <c r="Q180" s="229"/>
      <c r="R180" s="135"/>
      <c r="S180" s="135"/>
      <c r="T180" s="135"/>
      <c r="U180" s="135"/>
      <c r="V180" s="135"/>
    </row>
    <row r="181" customFormat="false" ht="15.75" hidden="false" customHeight="true" outlineLevel="0" collapsed="false">
      <c r="A181" s="135"/>
      <c r="B181" s="135"/>
      <c r="C181" s="135"/>
      <c r="D181" s="135"/>
      <c r="E181" s="135"/>
      <c r="F181" s="135"/>
      <c r="G181" s="135"/>
      <c r="H181" s="189"/>
      <c r="I181" s="182"/>
      <c r="J181" s="189"/>
      <c r="K181" s="135"/>
      <c r="L181" s="135"/>
      <c r="M181" s="135"/>
      <c r="N181" s="135"/>
      <c r="O181" s="189"/>
      <c r="P181" s="135"/>
      <c r="Q181" s="229"/>
      <c r="R181" s="135"/>
      <c r="S181" s="135"/>
      <c r="T181" s="135"/>
      <c r="U181" s="135"/>
      <c r="V181" s="135"/>
    </row>
    <row r="182" customFormat="false" ht="15.75" hidden="false" customHeight="true" outlineLevel="0" collapsed="false">
      <c r="A182" s="135"/>
      <c r="B182" s="135"/>
      <c r="C182" s="135"/>
      <c r="D182" s="135"/>
      <c r="E182" s="135"/>
      <c r="F182" s="135"/>
      <c r="G182" s="135"/>
      <c r="H182" s="189"/>
      <c r="I182" s="182"/>
      <c r="J182" s="189"/>
      <c r="K182" s="135"/>
      <c r="L182" s="135"/>
      <c r="M182" s="135"/>
      <c r="N182" s="135"/>
      <c r="O182" s="189"/>
      <c r="P182" s="135"/>
      <c r="Q182" s="229"/>
      <c r="R182" s="135"/>
      <c r="S182" s="135"/>
      <c r="T182" s="135"/>
      <c r="U182" s="135"/>
      <c r="V182" s="135"/>
    </row>
    <row r="183" customFormat="false" ht="15.75" hidden="false" customHeight="true" outlineLevel="0" collapsed="false">
      <c r="A183" s="135"/>
      <c r="B183" s="135"/>
      <c r="C183" s="135"/>
      <c r="D183" s="135"/>
      <c r="E183" s="135"/>
      <c r="F183" s="135"/>
      <c r="G183" s="135"/>
      <c r="H183" s="189"/>
      <c r="I183" s="182"/>
      <c r="J183" s="189"/>
      <c r="K183" s="135"/>
      <c r="L183" s="135"/>
      <c r="M183" s="135"/>
      <c r="N183" s="135"/>
      <c r="O183" s="189"/>
      <c r="P183" s="135"/>
      <c r="Q183" s="229"/>
      <c r="R183" s="135"/>
      <c r="S183" s="135"/>
      <c r="T183" s="135"/>
      <c r="U183" s="135"/>
      <c r="V183" s="135"/>
    </row>
    <row r="184" customFormat="false" ht="15.75" hidden="false" customHeight="true" outlineLevel="0" collapsed="false">
      <c r="A184" s="135"/>
      <c r="B184" s="135"/>
      <c r="C184" s="135"/>
      <c r="D184" s="135"/>
      <c r="E184" s="135"/>
      <c r="F184" s="135"/>
      <c r="G184" s="135"/>
      <c r="H184" s="189"/>
      <c r="I184" s="182"/>
      <c r="J184" s="189"/>
      <c r="K184" s="135"/>
      <c r="L184" s="135"/>
      <c r="M184" s="135"/>
      <c r="N184" s="135"/>
      <c r="O184" s="189"/>
      <c r="P184" s="135"/>
      <c r="Q184" s="229"/>
      <c r="R184" s="135"/>
      <c r="S184" s="135"/>
      <c r="T184" s="135"/>
      <c r="U184" s="135"/>
      <c r="V184" s="135"/>
    </row>
    <row r="185" customFormat="false" ht="15.75" hidden="false" customHeight="true" outlineLevel="0" collapsed="false">
      <c r="A185" s="135"/>
      <c r="B185" s="135"/>
      <c r="C185" s="135"/>
      <c r="D185" s="135"/>
      <c r="E185" s="135"/>
      <c r="F185" s="135"/>
      <c r="G185" s="135"/>
      <c r="H185" s="189"/>
      <c r="I185" s="182"/>
      <c r="J185" s="189"/>
      <c r="K185" s="135"/>
      <c r="L185" s="135"/>
      <c r="M185" s="135"/>
      <c r="N185" s="135"/>
      <c r="O185" s="189"/>
      <c r="P185" s="135"/>
      <c r="Q185" s="229"/>
      <c r="R185" s="135"/>
      <c r="S185" s="135"/>
      <c r="T185" s="135"/>
      <c r="U185" s="135"/>
      <c r="V185" s="135"/>
    </row>
    <row r="186" customFormat="false" ht="15.75" hidden="false" customHeight="true" outlineLevel="0" collapsed="false">
      <c r="A186" s="135"/>
      <c r="B186" s="135"/>
      <c r="C186" s="135"/>
      <c r="D186" s="135"/>
      <c r="E186" s="135"/>
      <c r="F186" s="135"/>
      <c r="G186" s="135"/>
      <c r="H186" s="189"/>
      <c r="I186" s="182"/>
      <c r="J186" s="189"/>
      <c r="K186" s="135"/>
      <c r="L186" s="135"/>
      <c r="M186" s="135"/>
      <c r="N186" s="135"/>
      <c r="O186" s="189"/>
      <c r="P186" s="135"/>
      <c r="Q186" s="229"/>
      <c r="R186" s="135"/>
      <c r="S186" s="135"/>
      <c r="T186" s="135"/>
      <c r="U186" s="135"/>
      <c r="V186" s="135"/>
    </row>
    <row r="187" customFormat="false" ht="15.75" hidden="false" customHeight="true" outlineLevel="0" collapsed="false">
      <c r="A187" s="135"/>
      <c r="B187" s="135"/>
      <c r="C187" s="135"/>
      <c r="D187" s="135"/>
      <c r="E187" s="135"/>
      <c r="F187" s="135"/>
      <c r="G187" s="135"/>
      <c r="H187" s="189"/>
      <c r="I187" s="182"/>
      <c r="J187" s="189"/>
      <c r="K187" s="135"/>
      <c r="L187" s="135"/>
      <c r="M187" s="135"/>
      <c r="N187" s="135"/>
      <c r="O187" s="189"/>
      <c r="P187" s="135"/>
      <c r="Q187" s="229"/>
      <c r="R187" s="135"/>
      <c r="S187" s="135"/>
      <c r="T187" s="135"/>
      <c r="U187" s="135"/>
      <c r="V187" s="135"/>
    </row>
    <row r="188" customFormat="false" ht="15.75" hidden="false" customHeight="true" outlineLevel="0" collapsed="false">
      <c r="A188" s="135"/>
      <c r="B188" s="135"/>
      <c r="C188" s="135"/>
      <c r="D188" s="135"/>
      <c r="E188" s="135"/>
      <c r="F188" s="135"/>
      <c r="G188" s="135"/>
      <c r="H188" s="189"/>
      <c r="I188" s="182"/>
      <c r="J188" s="189"/>
      <c r="K188" s="135"/>
      <c r="L188" s="135"/>
      <c r="M188" s="135"/>
      <c r="N188" s="135"/>
      <c r="O188" s="189"/>
      <c r="P188" s="135"/>
      <c r="Q188" s="229"/>
      <c r="R188" s="135"/>
      <c r="S188" s="135"/>
      <c r="T188" s="135"/>
      <c r="U188" s="135"/>
      <c r="V188" s="135"/>
    </row>
    <row r="189" customFormat="false" ht="15.75" hidden="false" customHeight="true" outlineLevel="0" collapsed="false">
      <c r="A189" s="135"/>
      <c r="B189" s="135"/>
      <c r="C189" s="135"/>
      <c r="D189" s="135"/>
      <c r="E189" s="135"/>
      <c r="F189" s="135"/>
      <c r="G189" s="135"/>
      <c r="H189" s="189"/>
      <c r="I189" s="182"/>
      <c r="J189" s="189"/>
      <c r="K189" s="135"/>
      <c r="L189" s="135"/>
      <c r="M189" s="135"/>
      <c r="N189" s="135"/>
      <c r="O189" s="189"/>
      <c r="P189" s="135"/>
      <c r="Q189" s="229"/>
      <c r="R189" s="135"/>
      <c r="S189" s="135"/>
      <c r="T189" s="135"/>
      <c r="U189" s="135"/>
      <c r="V189" s="135"/>
    </row>
    <row r="190" customFormat="false" ht="15.75" hidden="false" customHeight="true" outlineLevel="0" collapsed="false">
      <c r="A190" s="135"/>
      <c r="B190" s="135"/>
      <c r="C190" s="135"/>
      <c r="D190" s="135"/>
      <c r="E190" s="135"/>
      <c r="F190" s="135"/>
      <c r="G190" s="135"/>
      <c r="H190" s="189"/>
      <c r="I190" s="182"/>
      <c r="J190" s="189"/>
      <c r="K190" s="135"/>
      <c r="L190" s="135"/>
      <c r="M190" s="135"/>
      <c r="N190" s="135"/>
      <c r="O190" s="189"/>
      <c r="P190" s="135"/>
      <c r="Q190" s="229"/>
      <c r="R190" s="135"/>
      <c r="S190" s="135"/>
      <c r="T190" s="135"/>
      <c r="U190" s="135"/>
      <c r="V190" s="135"/>
    </row>
    <row r="191" customFormat="false" ht="15.75" hidden="false" customHeight="true" outlineLevel="0" collapsed="false">
      <c r="A191" s="135"/>
      <c r="B191" s="135"/>
      <c r="C191" s="135"/>
      <c r="D191" s="135"/>
      <c r="E191" s="135"/>
      <c r="F191" s="135"/>
      <c r="G191" s="135"/>
      <c r="H191" s="189"/>
      <c r="I191" s="182"/>
      <c r="J191" s="189"/>
      <c r="K191" s="135"/>
      <c r="L191" s="135"/>
      <c r="M191" s="135"/>
      <c r="N191" s="135"/>
      <c r="O191" s="189"/>
      <c r="P191" s="135"/>
      <c r="Q191" s="229"/>
      <c r="R191" s="135"/>
      <c r="S191" s="135"/>
      <c r="T191" s="135"/>
      <c r="U191" s="135"/>
      <c r="V191" s="135"/>
    </row>
    <row r="192" customFormat="false" ht="15.75" hidden="false" customHeight="true" outlineLevel="0" collapsed="false">
      <c r="A192" s="135"/>
      <c r="B192" s="135"/>
      <c r="C192" s="135"/>
      <c r="D192" s="135"/>
      <c r="E192" s="135"/>
      <c r="F192" s="135"/>
      <c r="G192" s="135"/>
      <c r="H192" s="189"/>
      <c r="I192" s="182"/>
      <c r="J192" s="189"/>
      <c r="K192" s="135"/>
      <c r="L192" s="135"/>
      <c r="M192" s="135"/>
      <c r="N192" s="135"/>
      <c r="O192" s="189"/>
      <c r="P192" s="135"/>
      <c r="Q192" s="229"/>
      <c r="R192" s="135"/>
      <c r="S192" s="135"/>
      <c r="T192" s="135"/>
      <c r="U192" s="135"/>
      <c r="V192" s="135"/>
    </row>
    <row r="193" customFormat="false" ht="15.75" hidden="false" customHeight="true" outlineLevel="0" collapsed="false">
      <c r="A193" s="135"/>
      <c r="B193" s="135"/>
      <c r="C193" s="135"/>
      <c r="D193" s="135"/>
      <c r="E193" s="135"/>
      <c r="F193" s="135"/>
      <c r="G193" s="135"/>
      <c r="H193" s="189"/>
      <c r="I193" s="182"/>
      <c r="J193" s="189"/>
      <c r="K193" s="135"/>
      <c r="L193" s="135"/>
      <c r="M193" s="135"/>
      <c r="N193" s="135"/>
      <c r="O193" s="189"/>
      <c r="P193" s="135"/>
      <c r="Q193" s="229"/>
      <c r="R193" s="135"/>
      <c r="S193" s="135"/>
      <c r="T193" s="135"/>
      <c r="U193" s="135"/>
      <c r="V193" s="135"/>
    </row>
    <row r="194" customFormat="false" ht="15.75" hidden="false" customHeight="true" outlineLevel="0" collapsed="false">
      <c r="A194" s="135"/>
      <c r="B194" s="135"/>
      <c r="C194" s="135"/>
      <c r="D194" s="135"/>
      <c r="E194" s="135"/>
      <c r="F194" s="135"/>
      <c r="G194" s="135"/>
      <c r="H194" s="189"/>
      <c r="I194" s="182"/>
      <c r="J194" s="189"/>
      <c r="K194" s="135"/>
      <c r="L194" s="135"/>
      <c r="M194" s="135"/>
      <c r="N194" s="135"/>
      <c r="O194" s="189"/>
      <c r="P194" s="135"/>
      <c r="Q194" s="229"/>
      <c r="R194" s="135"/>
      <c r="S194" s="135"/>
      <c r="T194" s="135"/>
      <c r="U194" s="135"/>
      <c r="V194" s="135"/>
    </row>
    <row r="195" customFormat="false" ht="15.75" hidden="false" customHeight="true" outlineLevel="0" collapsed="false">
      <c r="A195" s="135"/>
      <c r="B195" s="135"/>
      <c r="C195" s="135"/>
      <c r="D195" s="135"/>
      <c r="E195" s="135"/>
      <c r="F195" s="135"/>
      <c r="G195" s="135"/>
      <c r="H195" s="189"/>
      <c r="I195" s="182"/>
      <c r="J195" s="189"/>
      <c r="K195" s="135"/>
      <c r="L195" s="135"/>
      <c r="M195" s="135"/>
      <c r="N195" s="135"/>
      <c r="O195" s="189"/>
      <c r="P195" s="135"/>
      <c r="Q195" s="229"/>
      <c r="R195" s="135"/>
      <c r="S195" s="135"/>
      <c r="T195" s="135"/>
      <c r="U195" s="135"/>
      <c r="V195" s="135"/>
    </row>
    <row r="196" customFormat="false" ht="15.75" hidden="false" customHeight="true" outlineLevel="0" collapsed="false">
      <c r="A196" s="135"/>
      <c r="B196" s="135"/>
      <c r="C196" s="135"/>
      <c r="D196" s="135"/>
      <c r="E196" s="135"/>
      <c r="F196" s="135"/>
      <c r="G196" s="135"/>
      <c r="H196" s="189"/>
      <c r="I196" s="182"/>
      <c r="J196" s="189"/>
      <c r="K196" s="135"/>
      <c r="L196" s="135"/>
      <c r="M196" s="135"/>
      <c r="N196" s="135"/>
      <c r="O196" s="189"/>
      <c r="P196" s="135"/>
      <c r="Q196" s="229"/>
      <c r="R196" s="135"/>
      <c r="S196" s="135"/>
      <c r="T196" s="135"/>
      <c r="U196" s="135"/>
      <c r="V196" s="135"/>
    </row>
    <row r="197" customFormat="false" ht="15.75" hidden="false" customHeight="true" outlineLevel="0" collapsed="false">
      <c r="A197" s="135"/>
      <c r="B197" s="135"/>
      <c r="C197" s="135"/>
      <c r="D197" s="135"/>
      <c r="E197" s="135"/>
      <c r="F197" s="135"/>
      <c r="G197" s="135"/>
      <c r="H197" s="189"/>
      <c r="I197" s="182"/>
      <c r="J197" s="189"/>
      <c r="K197" s="135"/>
      <c r="L197" s="135"/>
      <c r="M197" s="135"/>
      <c r="N197" s="135"/>
      <c r="O197" s="189"/>
      <c r="P197" s="135"/>
      <c r="Q197" s="229"/>
      <c r="R197" s="135"/>
      <c r="S197" s="135"/>
      <c r="T197" s="135"/>
      <c r="U197" s="135"/>
      <c r="V197" s="135"/>
    </row>
    <row r="198" customFormat="false" ht="15.75" hidden="false" customHeight="true" outlineLevel="0" collapsed="false">
      <c r="A198" s="135"/>
      <c r="B198" s="135"/>
      <c r="C198" s="135"/>
      <c r="D198" s="135"/>
      <c r="E198" s="135"/>
      <c r="F198" s="135"/>
      <c r="G198" s="135"/>
      <c r="H198" s="189"/>
      <c r="I198" s="182"/>
      <c r="J198" s="189"/>
      <c r="K198" s="135"/>
      <c r="L198" s="135"/>
      <c r="M198" s="135"/>
      <c r="N198" s="135"/>
      <c r="O198" s="189"/>
      <c r="P198" s="135"/>
      <c r="Q198" s="229"/>
      <c r="R198" s="135"/>
      <c r="S198" s="135"/>
      <c r="T198" s="135"/>
      <c r="U198" s="135"/>
      <c r="V198" s="135"/>
    </row>
    <row r="199" customFormat="false" ht="15.75" hidden="false" customHeight="true" outlineLevel="0" collapsed="false">
      <c r="A199" s="135"/>
      <c r="B199" s="135"/>
      <c r="C199" s="135"/>
      <c r="D199" s="135"/>
      <c r="E199" s="135"/>
      <c r="F199" s="135"/>
      <c r="G199" s="135"/>
      <c r="H199" s="189"/>
      <c r="I199" s="182"/>
      <c r="J199" s="189"/>
      <c r="K199" s="135"/>
      <c r="L199" s="135"/>
      <c r="M199" s="135"/>
      <c r="N199" s="135"/>
      <c r="O199" s="189"/>
      <c r="P199" s="135"/>
      <c r="Q199" s="229"/>
      <c r="R199" s="135"/>
      <c r="S199" s="135"/>
      <c r="T199" s="135"/>
      <c r="U199" s="135"/>
      <c r="V199" s="135"/>
    </row>
    <row r="200" customFormat="false" ht="15.75" hidden="false" customHeight="true" outlineLevel="0" collapsed="false">
      <c r="A200" s="135"/>
      <c r="B200" s="135"/>
      <c r="C200" s="135"/>
      <c r="D200" s="135"/>
      <c r="E200" s="135"/>
      <c r="F200" s="135"/>
      <c r="G200" s="135"/>
      <c r="H200" s="189"/>
      <c r="I200" s="182"/>
      <c r="J200" s="189"/>
      <c r="K200" s="135"/>
      <c r="L200" s="135"/>
      <c r="M200" s="135"/>
      <c r="N200" s="135"/>
      <c r="O200" s="189"/>
      <c r="P200" s="135"/>
      <c r="Q200" s="229"/>
      <c r="R200" s="135"/>
      <c r="S200" s="135"/>
      <c r="T200" s="135"/>
      <c r="U200" s="135"/>
      <c r="V200" s="135"/>
    </row>
    <row r="201" customFormat="false" ht="15.75" hidden="false" customHeight="true" outlineLevel="0" collapsed="false">
      <c r="A201" s="135"/>
      <c r="B201" s="135"/>
      <c r="C201" s="135"/>
      <c r="D201" s="135"/>
      <c r="E201" s="135"/>
      <c r="F201" s="135"/>
      <c r="G201" s="135"/>
      <c r="H201" s="189"/>
      <c r="I201" s="182"/>
      <c r="J201" s="189"/>
      <c r="K201" s="135"/>
      <c r="L201" s="135"/>
      <c r="M201" s="135"/>
      <c r="N201" s="135"/>
      <c r="O201" s="189"/>
      <c r="P201" s="135"/>
      <c r="Q201" s="229"/>
      <c r="R201" s="135"/>
      <c r="S201" s="135"/>
      <c r="T201" s="135"/>
      <c r="U201" s="135"/>
      <c r="V201" s="135"/>
    </row>
    <row r="202" customFormat="false" ht="15.75" hidden="false" customHeight="true" outlineLevel="0" collapsed="false">
      <c r="A202" s="135"/>
      <c r="B202" s="135"/>
      <c r="C202" s="135"/>
      <c r="D202" s="135"/>
      <c r="E202" s="135"/>
      <c r="F202" s="135"/>
      <c r="G202" s="135"/>
      <c r="H202" s="189"/>
      <c r="I202" s="182"/>
      <c r="J202" s="189"/>
      <c r="K202" s="135"/>
      <c r="L202" s="135"/>
      <c r="M202" s="135"/>
      <c r="N202" s="135"/>
      <c r="O202" s="189"/>
      <c r="P202" s="135"/>
      <c r="Q202" s="229"/>
      <c r="R202" s="135"/>
      <c r="S202" s="135"/>
      <c r="T202" s="135"/>
      <c r="U202" s="135"/>
      <c r="V202" s="135"/>
    </row>
    <row r="203" customFormat="false" ht="15.75" hidden="false" customHeight="true" outlineLevel="0" collapsed="false">
      <c r="A203" s="135"/>
      <c r="B203" s="135"/>
      <c r="C203" s="135"/>
      <c r="D203" s="135"/>
      <c r="E203" s="135"/>
      <c r="F203" s="135"/>
      <c r="G203" s="135"/>
      <c r="H203" s="189"/>
      <c r="I203" s="182"/>
      <c r="J203" s="189"/>
      <c r="K203" s="135"/>
      <c r="L203" s="135"/>
      <c r="M203" s="135"/>
      <c r="N203" s="135"/>
      <c r="O203" s="189"/>
      <c r="P203" s="135"/>
      <c r="Q203" s="229"/>
      <c r="R203" s="135"/>
      <c r="S203" s="135"/>
      <c r="T203" s="135"/>
      <c r="U203" s="135"/>
      <c r="V203" s="135"/>
    </row>
    <row r="204" customFormat="false" ht="15.75" hidden="false" customHeight="true" outlineLevel="0" collapsed="false">
      <c r="A204" s="135"/>
      <c r="B204" s="135"/>
      <c r="C204" s="135"/>
      <c r="D204" s="135"/>
      <c r="E204" s="135"/>
      <c r="F204" s="135"/>
      <c r="G204" s="135"/>
      <c r="H204" s="189"/>
      <c r="I204" s="182"/>
      <c r="J204" s="189"/>
      <c r="K204" s="135"/>
      <c r="L204" s="135"/>
      <c r="M204" s="135"/>
      <c r="N204" s="135"/>
      <c r="O204" s="189"/>
      <c r="P204" s="135"/>
      <c r="Q204" s="229"/>
      <c r="R204" s="135"/>
      <c r="S204" s="135"/>
      <c r="T204" s="135"/>
      <c r="U204" s="135"/>
      <c r="V204" s="135"/>
    </row>
    <row r="205" customFormat="false" ht="15.75" hidden="false" customHeight="true" outlineLevel="0" collapsed="false">
      <c r="A205" s="135"/>
      <c r="B205" s="135"/>
      <c r="C205" s="135"/>
      <c r="D205" s="135"/>
      <c r="E205" s="135"/>
      <c r="F205" s="135"/>
      <c r="G205" s="135"/>
      <c r="H205" s="189"/>
      <c r="I205" s="182"/>
      <c r="J205" s="189"/>
      <c r="K205" s="135"/>
      <c r="L205" s="135"/>
      <c r="M205" s="135"/>
      <c r="N205" s="135"/>
      <c r="O205" s="189"/>
      <c r="P205" s="135"/>
      <c r="Q205" s="229"/>
      <c r="R205" s="135"/>
      <c r="S205" s="135"/>
      <c r="T205" s="135"/>
      <c r="U205" s="135"/>
      <c r="V205" s="135"/>
    </row>
    <row r="206" customFormat="false" ht="15.75" hidden="false" customHeight="true" outlineLevel="0" collapsed="false">
      <c r="A206" s="135"/>
      <c r="B206" s="135"/>
      <c r="C206" s="135"/>
      <c r="D206" s="135"/>
      <c r="E206" s="135"/>
      <c r="F206" s="135"/>
      <c r="G206" s="135"/>
      <c r="H206" s="189"/>
      <c r="I206" s="182"/>
      <c r="J206" s="189"/>
      <c r="K206" s="135"/>
      <c r="L206" s="135"/>
      <c r="M206" s="135"/>
      <c r="N206" s="135"/>
      <c r="O206" s="189"/>
      <c r="P206" s="135"/>
      <c r="Q206" s="229"/>
      <c r="R206" s="135"/>
      <c r="S206" s="135"/>
      <c r="T206" s="135"/>
      <c r="U206" s="135"/>
      <c r="V206" s="135"/>
    </row>
    <row r="207" customFormat="false" ht="15.75" hidden="false" customHeight="true" outlineLevel="0" collapsed="false">
      <c r="A207" s="135"/>
      <c r="B207" s="135"/>
      <c r="C207" s="135"/>
      <c r="D207" s="135"/>
      <c r="E207" s="135"/>
      <c r="F207" s="135"/>
      <c r="G207" s="135"/>
      <c r="H207" s="189"/>
      <c r="I207" s="182"/>
      <c r="J207" s="189"/>
      <c r="K207" s="135"/>
      <c r="L207" s="135"/>
      <c r="M207" s="135"/>
      <c r="N207" s="135"/>
      <c r="O207" s="189"/>
      <c r="P207" s="135"/>
      <c r="Q207" s="229"/>
      <c r="R207" s="135"/>
      <c r="S207" s="135"/>
      <c r="T207" s="135"/>
      <c r="U207" s="135"/>
      <c r="V207" s="135"/>
    </row>
    <row r="208" customFormat="false" ht="15.75" hidden="false" customHeight="true" outlineLevel="0" collapsed="false">
      <c r="A208" s="135"/>
      <c r="B208" s="135"/>
      <c r="C208" s="135"/>
      <c r="D208" s="135"/>
      <c r="E208" s="135"/>
      <c r="F208" s="135"/>
      <c r="G208" s="135"/>
      <c r="H208" s="189"/>
      <c r="I208" s="182"/>
      <c r="J208" s="189"/>
      <c r="K208" s="135"/>
      <c r="L208" s="135"/>
      <c r="M208" s="135"/>
      <c r="N208" s="135"/>
      <c r="O208" s="189"/>
      <c r="P208" s="135"/>
      <c r="Q208" s="229"/>
      <c r="R208" s="135"/>
      <c r="S208" s="135"/>
      <c r="T208" s="135"/>
      <c r="U208" s="135"/>
      <c r="V208" s="135"/>
    </row>
    <row r="209" customFormat="false" ht="15.75" hidden="false" customHeight="true" outlineLevel="0" collapsed="false">
      <c r="A209" s="135"/>
      <c r="B209" s="135"/>
      <c r="C209" s="135"/>
      <c r="D209" s="135"/>
      <c r="E209" s="135"/>
      <c r="F209" s="135"/>
      <c r="G209" s="135"/>
      <c r="H209" s="189"/>
      <c r="I209" s="182"/>
      <c r="J209" s="189"/>
      <c r="K209" s="135"/>
      <c r="L209" s="135"/>
      <c r="M209" s="135"/>
      <c r="N209" s="135"/>
      <c r="O209" s="189"/>
      <c r="P209" s="135"/>
      <c r="Q209" s="229"/>
      <c r="R209" s="135"/>
      <c r="S209" s="135"/>
      <c r="T209" s="135"/>
      <c r="U209" s="135"/>
      <c r="V209" s="135"/>
    </row>
    <row r="210" customFormat="false" ht="15.75" hidden="false" customHeight="true" outlineLevel="0" collapsed="false">
      <c r="A210" s="135"/>
      <c r="B210" s="135"/>
      <c r="C210" s="135"/>
      <c r="D210" s="135"/>
      <c r="E210" s="135"/>
      <c r="F210" s="135"/>
      <c r="G210" s="135"/>
      <c r="H210" s="189"/>
      <c r="I210" s="182"/>
      <c r="J210" s="189"/>
      <c r="K210" s="135"/>
      <c r="L210" s="135"/>
      <c r="M210" s="135"/>
      <c r="N210" s="135"/>
      <c r="O210" s="189"/>
      <c r="P210" s="135"/>
      <c r="Q210" s="229"/>
      <c r="R210" s="135"/>
      <c r="S210" s="135"/>
      <c r="T210" s="135"/>
      <c r="U210" s="135"/>
      <c r="V210" s="135"/>
    </row>
    <row r="211" customFormat="false" ht="15.75" hidden="false" customHeight="true" outlineLevel="0" collapsed="false">
      <c r="A211" s="135"/>
      <c r="B211" s="135"/>
      <c r="C211" s="135"/>
      <c r="D211" s="135"/>
      <c r="E211" s="135"/>
      <c r="F211" s="135"/>
      <c r="G211" s="135"/>
      <c r="H211" s="189"/>
      <c r="I211" s="182"/>
      <c r="J211" s="189"/>
      <c r="K211" s="135"/>
      <c r="L211" s="135"/>
      <c r="M211" s="135"/>
      <c r="N211" s="135"/>
      <c r="O211" s="189"/>
      <c r="P211" s="135"/>
      <c r="Q211" s="229"/>
      <c r="R211" s="135"/>
      <c r="S211" s="135"/>
      <c r="T211" s="135"/>
      <c r="U211" s="135"/>
      <c r="V211" s="135"/>
    </row>
    <row r="212" customFormat="false" ht="15.75" hidden="false" customHeight="true" outlineLevel="0" collapsed="false">
      <c r="A212" s="135"/>
      <c r="B212" s="135"/>
      <c r="C212" s="135"/>
      <c r="D212" s="135"/>
      <c r="E212" s="135"/>
      <c r="F212" s="135"/>
      <c r="G212" s="135"/>
      <c r="H212" s="189"/>
      <c r="I212" s="182"/>
      <c r="J212" s="189"/>
      <c r="K212" s="135"/>
      <c r="L212" s="135"/>
      <c r="M212" s="135"/>
      <c r="N212" s="135"/>
      <c r="O212" s="189"/>
      <c r="P212" s="135"/>
      <c r="Q212" s="229"/>
      <c r="R212" s="135"/>
      <c r="S212" s="135"/>
      <c r="T212" s="135"/>
      <c r="U212" s="135"/>
      <c r="V212" s="135"/>
    </row>
    <row r="213" customFormat="false" ht="15.75" hidden="false" customHeight="true" outlineLevel="0" collapsed="false">
      <c r="A213" s="135"/>
      <c r="B213" s="135"/>
      <c r="C213" s="135"/>
      <c r="D213" s="135"/>
      <c r="E213" s="135"/>
      <c r="F213" s="135"/>
      <c r="G213" s="135"/>
      <c r="H213" s="189"/>
      <c r="I213" s="182"/>
      <c r="J213" s="189"/>
      <c r="K213" s="135"/>
      <c r="L213" s="135"/>
      <c r="M213" s="135"/>
      <c r="N213" s="135"/>
      <c r="O213" s="189"/>
      <c r="P213" s="135"/>
      <c r="Q213" s="229"/>
      <c r="R213" s="135"/>
      <c r="S213" s="135"/>
      <c r="T213" s="135"/>
      <c r="U213" s="135"/>
      <c r="V213" s="135"/>
    </row>
    <row r="214" customFormat="false" ht="15.75" hidden="false" customHeight="true" outlineLevel="0" collapsed="false">
      <c r="A214" s="135"/>
      <c r="B214" s="135"/>
      <c r="C214" s="135"/>
      <c r="D214" s="135"/>
      <c r="E214" s="135"/>
      <c r="F214" s="135"/>
      <c r="G214" s="135"/>
      <c r="H214" s="189"/>
      <c r="I214" s="182"/>
      <c r="J214" s="189"/>
      <c r="K214" s="135"/>
      <c r="L214" s="135"/>
      <c r="M214" s="135"/>
      <c r="N214" s="135"/>
      <c r="O214" s="189"/>
      <c r="P214" s="135"/>
      <c r="Q214" s="229"/>
      <c r="R214" s="135"/>
      <c r="S214" s="135"/>
      <c r="T214" s="135"/>
      <c r="U214" s="135"/>
      <c r="V214" s="135"/>
    </row>
    <row r="215" customFormat="false" ht="15.75" hidden="false" customHeight="true" outlineLevel="0" collapsed="false">
      <c r="A215" s="135"/>
      <c r="B215" s="135"/>
      <c r="C215" s="135"/>
      <c r="D215" s="135"/>
      <c r="E215" s="135"/>
      <c r="F215" s="135"/>
      <c r="G215" s="135"/>
      <c r="H215" s="189"/>
      <c r="I215" s="182"/>
      <c r="J215" s="189"/>
      <c r="K215" s="135"/>
      <c r="L215" s="135"/>
      <c r="M215" s="135"/>
      <c r="N215" s="135"/>
      <c r="O215" s="189"/>
      <c r="P215" s="135"/>
      <c r="Q215" s="229"/>
      <c r="R215" s="135"/>
      <c r="S215" s="135"/>
      <c r="T215" s="135"/>
      <c r="U215" s="135"/>
      <c r="V215" s="135"/>
    </row>
    <row r="216" customFormat="false" ht="15.75" hidden="false" customHeight="true" outlineLevel="0" collapsed="false">
      <c r="A216" s="135"/>
      <c r="B216" s="135"/>
      <c r="C216" s="135"/>
      <c r="D216" s="135"/>
      <c r="E216" s="135"/>
      <c r="F216" s="135"/>
      <c r="G216" s="135"/>
      <c r="H216" s="189"/>
      <c r="I216" s="182"/>
      <c r="J216" s="189"/>
      <c r="K216" s="135"/>
      <c r="L216" s="135"/>
      <c r="M216" s="135"/>
      <c r="N216" s="135"/>
      <c r="O216" s="189"/>
      <c r="P216" s="135"/>
      <c r="Q216" s="229"/>
      <c r="R216" s="135"/>
      <c r="S216" s="135"/>
      <c r="T216" s="135"/>
      <c r="U216" s="135"/>
      <c r="V216" s="135"/>
    </row>
    <row r="217" customFormat="false" ht="15.75" hidden="false" customHeight="true" outlineLevel="0" collapsed="false">
      <c r="A217" s="135"/>
      <c r="B217" s="135"/>
      <c r="C217" s="135"/>
      <c r="D217" s="135"/>
      <c r="E217" s="135"/>
      <c r="F217" s="135"/>
      <c r="G217" s="135"/>
      <c r="H217" s="189"/>
      <c r="I217" s="182"/>
      <c r="J217" s="189"/>
      <c r="K217" s="135"/>
      <c r="L217" s="135"/>
      <c r="M217" s="135"/>
      <c r="N217" s="135"/>
      <c r="O217" s="189"/>
      <c r="P217" s="135"/>
      <c r="Q217" s="229"/>
      <c r="R217" s="135"/>
      <c r="S217" s="135"/>
      <c r="T217" s="135"/>
      <c r="U217" s="135"/>
      <c r="V217" s="135"/>
    </row>
    <row r="218" customFormat="false" ht="15.75" hidden="false" customHeight="true" outlineLevel="0" collapsed="false">
      <c r="A218" s="135"/>
      <c r="B218" s="135"/>
      <c r="C218" s="135"/>
      <c r="D218" s="135"/>
      <c r="E218" s="135"/>
      <c r="F218" s="135"/>
      <c r="G218" s="135"/>
      <c r="H218" s="189"/>
      <c r="I218" s="182"/>
      <c r="J218" s="189"/>
      <c r="K218" s="135"/>
      <c r="L218" s="135"/>
      <c r="M218" s="135"/>
      <c r="N218" s="135"/>
      <c r="O218" s="189"/>
      <c r="P218" s="135"/>
      <c r="Q218" s="229"/>
      <c r="R218" s="135"/>
      <c r="S218" s="135"/>
      <c r="T218" s="135"/>
      <c r="U218" s="135"/>
      <c r="V218" s="135"/>
    </row>
    <row r="219" customFormat="false" ht="15.75" hidden="false" customHeight="true" outlineLevel="0" collapsed="false">
      <c r="A219" s="135"/>
      <c r="B219" s="135"/>
      <c r="C219" s="135"/>
      <c r="D219" s="135"/>
      <c r="E219" s="135"/>
      <c r="F219" s="135"/>
      <c r="G219" s="135"/>
      <c r="H219" s="189"/>
      <c r="I219" s="182"/>
      <c r="J219" s="189"/>
      <c r="K219" s="135"/>
      <c r="L219" s="135"/>
      <c r="M219" s="135"/>
      <c r="N219" s="135"/>
      <c r="O219" s="189"/>
      <c r="P219" s="135"/>
      <c r="Q219" s="229"/>
      <c r="R219" s="135"/>
      <c r="S219" s="135"/>
      <c r="T219" s="135"/>
      <c r="U219" s="135"/>
      <c r="V219" s="135"/>
    </row>
    <row r="220" customFormat="false" ht="15.75" hidden="false" customHeight="true" outlineLevel="0" collapsed="false">
      <c r="A220" s="135"/>
      <c r="B220" s="135"/>
      <c r="C220" s="135"/>
      <c r="D220" s="135"/>
      <c r="E220" s="135"/>
      <c r="F220" s="135"/>
      <c r="G220" s="135"/>
      <c r="H220" s="189"/>
      <c r="I220" s="182"/>
      <c r="J220" s="189"/>
      <c r="K220" s="135"/>
      <c r="L220" s="135"/>
      <c r="M220" s="135"/>
      <c r="N220" s="135"/>
      <c r="O220" s="189"/>
      <c r="P220" s="135"/>
      <c r="Q220" s="229"/>
      <c r="R220" s="135"/>
      <c r="S220" s="135"/>
      <c r="T220" s="135"/>
      <c r="U220" s="135"/>
      <c r="V220" s="135"/>
    </row>
    <row r="221" customFormat="false" ht="15.75" hidden="false" customHeight="true" outlineLevel="0" collapsed="false">
      <c r="A221" s="135"/>
      <c r="B221" s="135"/>
      <c r="C221" s="135"/>
      <c r="D221" s="135"/>
      <c r="E221" s="135"/>
      <c r="F221" s="135"/>
      <c r="G221" s="135"/>
      <c r="H221" s="189"/>
      <c r="I221" s="182"/>
      <c r="J221" s="189"/>
      <c r="K221" s="135"/>
      <c r="L221" s="135"/>
      <c r="M221" s="135"/>
      <c r="N221" s="135"/>
      <c r="O221" s="189"/>
      <c r="P221" s="135"/>
      <c r="Q221" s="229"/>
      <c r="R221" s="135"/>
      <c r="S221" s="135"/>
      <c r="T221" s="135"/>
      <c r="U221" s="135"/>
      <c r="V221" s="135"/>
    </row>
    <row r="222" customFormat="false" ht="15.75" hidden="false" customHeight="true" outlineLevel="0" collapsed="false">
      <c r="A222" s="135"/>
      <c r="B222" s="135"/>
      <c r="C222" s="135"/>
      <c r="D222" s="135"/>
      <c r="E222" s="135"/>
      <c r="F222" s="135"/>
      <c r="G222" s="135"/>
      <c r="H222" s="189"/>
      <c r="I222" s="182"/>
      <c r="J222" s="189"/>
      <c r="K222" s="135"/>
      <c r="L222" s="135"/>
      <c r="M222" s="135"/>
      <c r="N222" s="135"/>
      <c r="O222" s="189"/>
      <c r="P222" s="135"/>
      <c r="Q222" s="229"/>
      <c r="R222" s="135"/>
      <c r="S222" s="135"/>
      <c r="T222" s="135"/>
      <c r="U222" s="135"/>
      <c r="V222" s="135"/>
    </row>
    <row r="223" customFormat="false" ht="15.75" hidden="false" customHeight="true" outlineLevel="0" collapsed="false">
      <c r="A223" s="135"/>
      <c r="B223" s="135"/>
      <c r="C223" s="135"/>
      <c r="D223" s="135"/>
      <c r="E223" s="135"/>
      <c r="F223" s="135"/>
      <c r="G223" s="135"/>
      <c r="H223" s="189"/>
      <c r="I223" s="182"/>
      <c r="J223" s="189"/>
      <c r="K223" s="135"/>
      <c r="L223" s="135"/>
      <c r="M223" s="135"/>
      <c r="N223" s="135"/>
      <c r="O223" s="189"/>
      <c r="P223" s="135"/>
      <c r="Q223" s="229"/>
      <c r="R223" s="135"/>
      <c r="S223" s="135"/>
      <c r="T223" s="135"/>
      <c r="U223" s="135"/>
      <c r="V223" s="135"/>
    </row>
    <row r="224" customFormat="false" ht="15.75" hidden="false" customHeight="true" outlineLevel="0" collapsed="false">
      <c r="A224" s="135"/>
      <c r="B224" s="135"/>
      <c r="C224" s="135"/>
      <c r="D224" s="135"/>
      <c r="E224" s="135"/>
      <c r="F224" s="135"/>
      <c r="G224" s="135"/>
      <c r="H224" s="189"/>
      <c r="I224" s="182"/>
      <c r="J224" s="189"/>
      <c r="K224" s="135"/>
      <c r="L224" s="135"/>
      <c r="M224" s="135"/>
      <c r="N224" s="135"/>
      <c r="O224" s="189"/>
      <c r="P224" s="135"/>
      <c r="Q224" s="229"/>
      <c r="R224" s="135"/>
      <c r="S224" s="135"/>
      <c r="T224" s="135"/>
      <c r="U224" s="135"/>
      <c r="V224" s="135"/>
    </row>
    <row r="225" customFormat="false" ht="15.75" hidden="false" customHeight="true" outlineLevel="0" collapsed="false">
      <c r="A225" s="135"/>
      <c r="B225" s="135"/>
      <c r="C225" s="135"/>
      <c r="D225" s="135"/>
      <c r="E225" s="135"/>
      <c r="F225" s="135"/>
      <c r="G225" s="135"/>
      <c r="H225" s="189"/>
      <c r="I225" s="182"/>
      <c r="J225" s="189"/>
      <c r="K225" s="135"/>
      <c r="L225" s="135"/>
      <c r="M225" s="135"/>
      <c r="N225" s="135"/>
      <c r="O225" s="189"/>
      <c r="P225" s="135"/>
      <c r="Q225" s="229"/>
      <c r="R225" s="135"/>
      <c r="S225" s="135"/>
      <c r="T225" s="135"/>
      <c r="U225" s="135"/>
      <c r="V225" s="135"/>
    </row>
    <row r="226" customFormat="false" ht="15.75" hidden="false" customHeight="true" outlineLevel="0" collapsed="false">
      <c r="A226" s="135"/>
      <c r="B226" s="135"/>
      <c r="C226" s="135"/>
      <c r="D226" s="135"/>
      <c r="E226" s="135"/>
      <c r="F226" s="135"/>
      <c r="G226" s="135"/>
      <c r="H226" s="189"/>
      <c r="I226" s="182"/>
      <c r="J226" s="189"/>
      <c r="K226" s="135"/>
      <c r="L226" s="135"/>
      <c r="M226" s="135"/>
      <c r="N226" s="135"/>
      <c r="O226" s="189"/>
      <c r="P226" s="135"/>
      <c r="Q226" s="229"/>
      <c r="R226" s="135"/>
      <c r="S226" s="135"/>
      <c r="T226" s="135"/>
      <c r="U226" s="135"/>
      <c r="V226" s="135"/>
    </row>
    <row r="227" customFormat="false" ht="15.75" hidden="false" customHeight="true" outlineLevel="0" collapsed="false">
      <c r="A227" s="135"/>
      <c r="B227" s="135"/>
      <c r="C227" s="135"/>
      <c r="D227" s="135"/>
      <c r="E227" s="135"/>
      <c r="F227" s="135"/>
      <c r="G227" s="135"/>
      <c r="H227" s="189"/>
      <c r="I227" s="182"/>
      <c r="J227" s="189"/>
      <c r="K227" s="135"/>
      <c r="L227" s="135"/>
      <c r="M227" s="135"/>
      <c r="N227" s="135"/>
      <c r="O227" s="189"/>
      <c r="P227" s="135"/>
      <c r="Q227" s="229"/>
      <c r="R227" s="135"/>
      <c r="S227" s="135"/>
      <c r="T227" s="135"/>
      <c r="U227" s="135"/>
      <c r="V227" s="135"/>
    </row>
    <row r="228" customFormat="false" ht="15.75" hidden="false" customHeight="true" outlineLevel="0" collapsed="false">
      <c r="A228" s="135"/>
      <c r="B228" s="135"/>
      <c r="C228" s="135"/>
      <c r="D228" s="135"/>
      <c r="E228" s="135"/>
      <c r="F228" s="135"/>
      <c r="G228" s="135"/>
      <c r="H228" s="189"/>
      <c r="I228" s="182"/>
      <c r="J228" s="189"/>
      <c r="K228" s="135"/>
      <c r="L228" s="135"/>
      <c r="M228" s="135"/>
      <c r="N228" s="135"/>
      <c r="O228" s="189"/>
      <c r="P228" s="135"/>
      <c r="Q228" s="229"/>
      <c r="R228" s="135"/>
      <c r="S228" s="135"/>
      <c r="T228" s="135"/>
      <c r="U228" s="135"/>
      <c r="V228" s="135"/>
    </row>
    <row r="229" customFormat="false" ht="15.75" hidden="false" customHeight="true" outlineLevel="0" collapsed="false">
      <c r="A229" s="135"/>
      <c r="B229" s="135"/>
      <c r="C229" s="135"/>
      <c r="D229" s="135"/>
      <c r="E229" s="135"/>
      <c r="F229" s="135"/>
      <c r="G229" s="135"/>
      <c r="H229" s="189"/>
      <c r="I229" s="182"/>
      <c r="J229" s="189"/>
      <c r="K229" s="135"/>
      <c r="L229" s="135"/>
      <c r="M229" s="135"/>
      <c r="N229" s="135"/>
      <c r="O229" s="189"/>
      <c r="P229" s="135"/>
      <c r="Q229" s="229"/>
      <c r="R229" s="135"/>
      <c r="S229" s="135"/>
      <c r="T229" s="135"/>
      <c r="U229" s="135"/>
      <c r="V229" s="135"/>
    </row>
    <row r="230" customFormat="false" ht="15.75" hidden="false" customHeight="true" outlineLevel="0" collapsed="false">
      <c r="A230" s="135"/>
      <c r="B230" s="135"/>
      <c r="C230" s="135"/>
      <c r="D230" s="135"/>
      <c r="E230" s="135"/>
      <c r="F230" s="135"/>
      <c r="G230" s="135"/>
      <c r="H230" s="189"/>
      <c r="I230" s="182"/>
      <c r="J230" s="189"/>
      <c r="K230" s="135"/>
      <c r="L230" s="135"/>
      <c r="M230" s="135"/>
      <c r="N230" s="135"/>
      <c r="O230" s="189"/>
      <c r="P230" s="135"/>
      <c r="Q230" s="229"/>
      <c r="R230" s="135"/>
      <c r="S230" s="135"/>
      <c r="T230" s="135"/>
      <c r="U230" s="135"/>
      <c r="V230" s="135"/>
    </row>
    <row r="231" customFormat="false" ht="15.75" hidden="false" customHeight="true" outlineLevel="0" collapsed="false">
      <c r="A231" s="135"/>
      <c r="B231" s="135"/>
      <c r="C231" s="135"/>
      <c r="D231" s="135"/>
      <c r="E231" s="135"/>
      <c r="F231" s="135"/>
      <c r="G231" s="135"/>
      <c r="H231" s="189"/>
      <c r="I231" s="182"/>
      <c r="J231" s="189"/>
      <c r="K231" s="135"/>
      <c r="L231" s="135"/>
      <c r="M231" s="135"/>
      <c r="N231" s="135"/>
      <c r="O231" s="189"/>
      <c r="P231" s="135"/>
      <c r="Q231" s="229"/>
      <c r="R231" s="135"/>
      <c r="S231" s="135"/>
      <c r="T231" s="135"/>
      <c r="U231" s="135"/>
      <c r="V231" s="135"/>
    </row>
    <row r="232" customFormat="false" ht="15.75" hidden="false" customHeight="true" outlineLevel="0" collapsed="false">
      <c r="A232" s="135"/>
      <c r="B232" s="135"/>
      <c r="C232" s="135"/>
      <c r="D232" s="135"/>
      <c r="E232" s="135"/>
      <c r="F232" s="135"/>
      <c r="G232" s="135"/>
      <c r="H232" s="189"/>
      <c r="I232" s="182"/>
      <c r="J232" s="189"/>
      <c r="K232" s="135"/>
      <c r="L232" s="135"/>
      <c r="M232" s="135"/>
      <c r="N232" s="135"/>
      <c r="O232" s="189"/>
      <c r="P232" s="135"/>
      <c r="Q232" s="229"/>
      <c r="R232" s="135"/>
      <c r="S232" s="135"/>
      <c r="T232" s="135"/>
      <c r="U232" s="135"/>
      <c r="V232" s="135"/>
    </row>
    <row r="233" customFormat="false" ht="15.75" hidden="false" customHeight="true" outlineLevel="0" collapsed="false">
      <c r="A233" s="135"/>
      <c r="B233" s="135"/>
      <c r="C233" s="135"/>
      <c r="D233" s="135"/>
      <c r="E233" s="135"/>
      <c r="F233" s="135"/>
      <c r="G233" s="135"/>
      <c r="H233" s="189"/>
      <c r="I233" s="182"/>
      <c r="J233" s="189"/>
      <c r="K233" s="135"/>
      <c r="L233" s="135"/>
      <c r="M233" s="135"/>
      <c r="N233" s="135"/>
      <c r="O233" s="189"/>
      <c r="P233" s="135"/>
      <c r="Q233" s="229"/>
      <c r="R233" s="135"/>
      <c r="S233" s="135"/>
      <c r="T233" s="135"/>
      <c r="U233" s="135"/>
      <c r="V233" s="135"/>
    </row>
    <row r="234" customFormat="false" ht="15.75" hidden="false" customHeight="true" outlineLevel="0" collapsed="false">
      <c r="A234" s="135"/>
      <c r="B234" s="135"/>
      <c r="C234" s="135"/>
      <c r="D234" s="135"/>
      <c r="E234" s="135"/>
      <c r="F234" s="135"/>
      <c r="G234" s="135"/>
      <c r="H234" s="189"/>
      <c r="I234" s="182"/>
      <c r="J234" s="189"/>
      <c r="K234" s="135"/>
      <c r="L234" s="135"/>
      <c r="M234" s="135"/>
      <c r="N234" s="135"/>
      <c r="O234" s="189"/>
      <c r="P234" s="135"/>
      <c r="Q234" s="229"/>
      <c r="R234" s="135"/>
      <c r="S234" s="135"/>
      <c r="T234" s="135"/>
      <c r="U234" s="135"/>
      <c r="V234" s="135"/>
    </row>
    <row r="235" customFormat="false" ht="15.75" hidden="false" customHeight="true" outlineLevel="0" collapsed="false">
      <c r="A235" s="135"/>
      <c r="B235" s="135"/>
      <c r="C235" s="135"/>
      <c r="D235" s="135"/>
      <c r="E235" s="135"/>
      <c r="F235" s="135"/>
      <c r="G235" s="135"/>
      <c r="H235" s="189"/>
      <c r="I235" s="182"/>
      <c r="J235" s="189"/>
      <c r="K235" s="135"/>
      <c r="L235" s="135"/>
      <c r="M235" s="135"/>
      <c r="N235" s="135"/>
      <c r="O235" s="189"/>
      <c r="P235" s="135"/>
      <c r="Q235" s="229"/>
      <c r="R235" s="135"/>
      <c r="S235" s="135"/>
      <c r="T235" s="135"/>
      <c r="U235" s="135"/>
      <c r="V235" s="135"/>
    </row>
    <row r="236" customFormat="false" ht="15.75" hidden="false" customHeight="true" outlineLevel="0" collapsed="false">
      <c r="A236" s="135"/>
      <c r="B236" s="135"/>
      <c r="C236" s="135"/>
      <c r="D236" s="135"/>
      <c r="E236" s="135"/>
      <c r="F236" s="135"/>
      <c r="G236" s="135"/>
      <c r="H236" s="189"/>
      <c r="I236" s="182"/>
      <c r="J236" s="189"/>
      <c r="K236" s="135"/>
      <c r="L236" s="135"/>
      <c r="M236" s="135"/>
      <c r="N236" s="135"/>
      <c r="O236" s="189"/>
      <c r="P236" s="135"/>
      <c r="Q236" s="229"/>
      <c r="R236" s="135"/>
      <c r="S236" s="135"/>
      <c r="T236" s="135"/>
      <c r="U236" s="135"/>
      <c r="V236" s="135"/>
    </row>
    <row r="237" customFormat="false" ht="15.75" hidden="false" customHeight="true" outlineLevel="0" collapsed="false">
      <c r="A237" s="135"/>
      <c r="B237" s="135"/>
      <c r="C237" s="135"/>
      <c r="D237" s="135"/>
      <c r="E237" s="135"/>
      <c r="F237" s="135"/>
      <c r="G237" s="135"/>
      <c r="H237" s="189"/>
      <c r="I237" s="182"/>
      <c r="J237" s="189"/>
      <c r="K237" s="135"/>
      <c r="L237" s="135"/>
      <c r="M237" s="135"/>
      <c r="N237" s="135"/>
      <c r="O237" s="189"/>
      <c r="P237" s="135"/>
      <c r="Q237" s="229"/>
      <c r="R237" s="135"/>
      <c r="S237" s="135"/>
      <c r="T237" s="135"/>
      <c r="U237" s="135"/>
      <c r="V237" s="135"/>
    </row>
    <row r="238" customFormat="false" ht="15.75" hidden="false" customHeight="true" outlineLevel="0" collapsed="false">
      <c r="A238" s="135"/>
      <c r="B238" s="135"/>
      <c r="C238" s="135"/>
      <c r="D238" s="135"/>
      <c r="E238" s="135"/>
      <c r="F238" s="135"/>
      <c r="G238" s="135"/>
      <c r="H238" s="189"/>
      <c r="I238" s="182"/>
      <c r="J238" s="189"/>
      <c r="K238" s="135"/>
      <c r="L238" s="135"/>
      <c r="M238" s="135"/>
      <c r="N238" s="135"/>
      <c r="O238" s="189"/>
      <c r="P238" s="135"/>
      <c r="Q238" s="229"/>
      <c r="R238" s="135"/>
      <c r="S238" s="135"/>
      <c r="T238" s="135"/>
      <c r="U238" s="135"/>
      <c r="V238" s="135"/>
    </row>
    <row r="239" customFormat="false" ht="15.75" hidden="false" customHeight="true" outlineLevel="0" collapsed="false">
      <c r="A239" s="135"/>
      <c r="B239" s="135"/>
      <c r="C239" s="135"/>
      <c r="D239" s="135"/>
      <c r="E239" s="135"/>
      <c r="F239" s="135"/>
      <c r="G239" s="135"/>
      <c r="H239" s="189"/>
      <c r="I239" s="182"/>
      <c r="J239" s="189"/>
      <c r="K239" s="135"/>
      <c r="L239" s="135"/>
      <c r="M239" s="135"/>
      <c r="N239" s="135"/>
      <c r="O239" s="189"/>
      <c r="P239" s="135"/>
      <c r="Q239" s="229"/>
      <c r="R239" s="135"/>
      <c r="S239" s="135"/>
      <c r="T239" s="135"/>
      <c r="U239" s="135"/>
      <c r="V239" s="135"/>
    </row>
    <row r="240" customFormat="false" ht="15.75" hidden="false" customHeight="true" outlineLevel="0" collapsed="false">
      <c r="A240" s="135"/>
      <c r="B240" s="135"/>
      <c r="C240" s="135"/>
      <c r="D240" s="135"/>
      <c r="E240" s="135"/>
      <c r="F240" s="135"/>
      <c r="G240" s="135"/>
      <c r="H240" s="189"/>
      <c r="I240" s="182"/>
      <c r="J240" s="189"/>
      <c r="K240" s="135"/>
      <c r="L240" s="135"/>
      <c r="M240" s="135"/>
      <c r="N240" s="135"/>
      <c r="O240" s="189"/>
      <c r="P240" s="135"/>
      <c r="Q240" s="229"/>
      <c r="R240" s="135"/>
      <c r="S240" s="135"/>
      <c r="T240" s="135"/>
      <c r="U240" s="135"/>
      <c r="V240" s="135"/>
    </row>
    <row r="241" customFormat="false" ht="15.75" hidden="false" customHeight="true" outlineLevel="0" collapsed="false">
      <c r="A241" s="135"/>
      <c r="B241" s="135"/>
      <c r="C241" s="135"/>
      <c r="D241" s="135"/>
      <c r="E241" s="135"/>
      <c r="F241" s="135"/>
      <c r="G241" s="135"/>
      <c r="H241" s="189"/>
      <c r="I241" s="182"/>
      <c r="J241" s="189"/>
      <c r="K241" s="135"/>
      <c r="L241" s="135"/>
      <c r="M241" s="135"/>
      <c r="N241" s="135"/>
      <c r="O241" s="189"/>
      <c r="P241" s="135"/>
      <c r="Q241" s="229"/>
      <c r="R241" s="135"/>
      <c r="S241" s="135"/>
      <c r="T241" s="135"/>
      <c r="U241" s="135"/>
      <c r="V241" s="135"/>
    </row>
    <row r="242" customFormat="false" ht="15.75" hidden="false" customHeight="true" outlineLevel="0" collapsed="false">
      <c r="A242" s="135"/>
      <c r="B242" s="135"/>
      <c r="C242" s="135"/>
      <c r="D242" s="135"/>
      <c r="E242" s="135"/>
      <c r="F242" s="135"/>
      <c r="G242" s="135"/>
      <c r="H242" s="189"/>
      <c r="I242" s="182"/>
      <c r="J242" s="189"/>
      <c r="K242" s="135"/>
      <c r="L242" s="135"/>
      <c r="M242" s="135"/>
      <c r="N242" s="135"/>
      <c r="O242" s="189"/>
      <c r="P242" s="135"/>
      <c r="Q242" s="229"/>
      <c r="R242" s="135"/>
      <c r="S242" s="135"/>
      <c r="T242" s="135"/>
      <c r="U242" s="135"/>
      <c r="V242" s="135"/>
    </row>
    <row r="243" customFormat="false" ht="15.75" hidden="false" customHeight="true" outlineLevel="0" collapsed="false">
      <c r="A243" s="135"/>
      <c r="B243" s="135"/>
      <c r="C243" s="135"/>
      <c r="D243" s="135"/>
      <c r="E243" s="135"/>
      <c r="F243" s="135"/>
      <c r="G243" s="135"/>
      <c r="H243" s="189"/>
      <c r="I243" s="182"/>
      <c r="J243" s="189"/>
      <c r="K243" s="135"/>
      <c r="L243" s="135"/>
      <c r="M243" s="135"/>
      <c r="N243" s="135"/>
      <c r="O243" s="189"/>
      <c r="P243" s="135"/>
      <c r="Q243" s="229"/>
      <c r="R243" s="135"/>
      <c r="S243" s="135"/>
      <c r="T243" s="135"/>
      <c r="U243" s="135"/>
      <c r="V243" s="135"/>
    </row>
    <row r="244" customFormat="false" ht="15.75" hidden="false" customHeight="true" outlineLevel="0" collapsed="false">
      <c r="A244" s="135"/>
      <c r="B244" s="135"/>
      <c r="C244" s="135"/>
      <c r="D244" s="135"/>
      <c r="E244" s="135"/>
      <c r="F244" s="135"/>
      <c r="G244" s="135"/>
      <c r="H244" s="189"/>
      <c r="I244" s="182"/>
      <c r="J244" s="189"/>
      <c r="K244" s="135"/>
      <c r="L244" s="135"/>
      <c r="M244" s="135"/>
      <c r="N244" s="135"/>
      <c r="O244" s="189"/>
      <c r="P244" s="135"/>
      <c r="Q244" s="229"/>
      <c r="R244" s="135"/>
      <c r="S244" s="135"/>
      <c r="T244" s="135"/>
      <c r="U244" s="135"/>
      <c r="V244" s="135"/>
    </row>
    <row r="245" customFormat="false" ht="15.75" hidden="false" customHeight="true" outlineLevel="0" collapsed="false">
      <c r="A245" s="135"/>
      <c r="B245" s="135"/>
      <c r="C245" s="135"/>
      <c r="D245" s="135"/>
      <c r="E245" s="135"/>
      <c r="F245" s="135"/>
      <c r="G245" s="135"/>
      <c r="H245" s="189"/>
      <c r="I245" s="182"/>
      <c r="J245" s="189"/>
      <c r="K245" s="135"/>
      <c r="L245" s="135"/>
      <c r="M245" s="135"/>
      <c r="N245" s="135"/>
      <c r="O245" s="189"/>
      <c r="P245" s="135"/>
      <c r="Q245" s="229"/>
      <c r="R245" s="135"/>
      <c r="S245" s="135"/>
      <c r="T245" s="135"/>
      <c r="U245" s="135"/>
      <c r="V245" s="135"/>
    </row>
    <row r="246" customFormat="false" ht="15.75" hidden="false" customHeight="true" outlineLevel="0" collapsed="false">
      <c r="A246" s="135"/>
      <c r="B246" s="135"/>
      <c r="C246" s="135"/>
      <c r="D246" s="135"/>
      <c r="E246" s="135"/>
      <c r="F246" s="135"/>
      <c r="G246" s="135"/>
      <c r="H246" s="189"/>
      <c r="I246" s="182"/>
      <c r="J246" s="189"/>
      <c r="K246" s="135"/>
      <c r="L246" s="135"/>
      <c r="M246" s="135"/>
      <c r="N246" s="135"/>
      <c r="O246" s="189"/>
      <c r="P246" s="135"/>
      <c r="Q246" s="229"/>
      <c r="R246" s="135"/>
      <c r="S246" s="135"/>
      <c r="T246" s="135"/>
      <c r="U246" s="135"/>
      <c r="V246" s="135"/>
    </row>
    <row r="247" customFormat="false" ht="15.75" hidden="false" customHeight="true" outlineLevel="0" collapsed="false">
      <c r="A247" s="135"/>
      <c r="B247" s="135"/>
      <c r="C247" s="135"/>
      <c r="D247" s="135"/>
      <c r="E247" s="135"/>
      <c r="F247" s="135"/>
      <c r="G247" s="135"/>
      <c r="H247" s="189"/>
      <c r="I247" s="182"/>
      <c r="J247" s="189"/>
      <c r="K247" s="135"/>
      <c r="L247" s="135"/>
      <c r="M247" s="135"/>
      <c r="N247" s="135"/>
      <c r="O247" s="189"/>
      <c r="P247" s="135"/>
      <c r="Q247" s="229"/>
      <c r="R247" s="135"/>
      <c r="S247" s="135"/>
      <c r="T247" s="135"/>
      <c r="U247" s="135"/>
      <c r="V247" s="135"/>
    </row>
    <row r="248" customFormat="false" ht="15.75" hidden="false" customHeight="true" outlineLevel="0" collapsed="false">
      <c r="A248" s="135"/>
      <c r="B248" s="135"/>
      <c r="C248" s="135"/>
      <c r="D248" s="135"/>
      <c r="E248" s="135"/>
      <c r="F248" s="135"/>
      <c r="G248" s="135"/>
      <c r="H248" s="189"/>
      <c r="I248" s="182"/>
      <c r="J248" s="189"/>
      <c r="K248" s="135"/>
      <c r="L248" s="135"/>
      <c r="M248" s="135"/>
      <c r="N248" s="135"/>
      <c r="O248" s="189"/>
      <c r="P248" s="135"/>
      <c r="Q248" s="229"/>
      <c r="R248" s="135"/>
      <c r="S248" s="135"/>
      <c r="T248" s="135"/>
      <c r="U248" s="135"/>
      <c r="V248" s="135"/>
    </row>
    <row r="249" customFormat="false" ht="15.75" hidden="false" customHeight="true" outlineLevel="0" collapsed="false">
      <c r="A249" s="135"/>
      <c r="B249" s="135"/>
      <c r="C249" s="135"/>
      <c r="D249" s="135"/>
      <c r="E249" s="135"/>
      <c r="F249" s="135"/>
      <c r="G249" s="135"/>
      <c r="H249" s="189"/>
      <c r="I249" s="182"/>
      <c r="J249" s="189"/>
      <c r="K249" s="135"/>
      <c r="L249" s="135"/>
      <c r="M249" s="135"/>
      <c r="N249" s="135"/>
      <c r="O249" s="189"/>
      <c r="P249" s="135"/>
      <c r="Q249" s="229"/>
      <c r="R249" s="135"/>
      <c r="S249" s="135"/>
      <c r="T249" s="135"/>
      <c r="U249" s="135"/>
      <c r="V249" s="135"/>
    </row>
    <row r="250" customFormat="false" ht="15.75" hidden="false" customHeight="true" outlineLevel="0" collapsed="false">
      <c r="A250" s="135"/>
      <c r="B250" s="135"/>
      <c r="C250" s="135"/>
      <c r="D250" s="135"/>
      <c r="E250" s="135"/>
      <c r="F250" s="135"/>
      <c r="G250" s="135"/>
      <c r="H250" s="189"/>
      <c r="I250" s="182"/>
      <c r="J250" s="189"/>
      <c r="K250" s="135"/>
      <c r="L250" s="135"/>
      <c r="M250" s="135"/>
      <c r="N250" s="135"/>
      <c r="O250" s="189"/>
      <c r="P250" s="135"/>
      <c r="Q250" s="229"/>
      <c r="R250" s="135"/>
      <c r="S250" s="135"/>
      <c r="T250" s="135"/>
      <c r="U250" s="135"/>
      <c r="V250" s="135"/>
    </row>
    <row r="251" customFormat="false" ht="15.75" hidden="false" customHeight="true" outlineLevel="0" collapsed="false">
      <c r="A251" s="135"/>
      <c r="B251" s="135"/>
      <c r="C251" s="135"/>
      <c r="D251" s="135"/>
      <c r="E251" s="135"/>
      <c r="F251" s="135"/>
      <c r="G251" s="135"/>
      <c r="H251" s="189"/>
      <c r="I251" s="182"/>
      <c r="J251" s="189"/>
      <c r="K251" s="135"/>
      <c r="L251" s="135"/>
      <c r="M251" s="135"/>
      <c r="N251" s="135"/>
      <c r="O251" s="189"/>
      <c r="P251" s="135"/>
      <c r="Q251" s="229"/>
      <c r="R251" s="135"/>
      <c r="S251" s="135"/>
      <c r="T251" s="135"/>
      <c r="U251" s="135"/>
      <c r="V251" s="135"/>
    </row>
    <row r="252" customFormat="false" ht="15.75" hidden="false" customHeight="true" outlineLevel="0" collapsed="false">
      <c r="A252" s="135"/>
      <c r="B252" s="135"/>
      <c r="C252" s="135"/>
      <c r="D252" s="135"/>
      <c r="E252" s="135"/>
      <c r="F252" s="135"/>
      <c r="G252" s="135"/>
      <c r="H252" s="189"/>
      <c r="I252" s="182"/>
      <c r="J252" s="189"/>
      <c r="K252" s="135"/>
      <c r="L252" s="135"/>
      <c r="M252" s="135"/>
      <c r="N252" s="135"/>
      <c r="O252" s="189"/>
      <c r="P252" s="135"/>
      <c r="Q252" s="229"/>
      <c r="R252" s="135"/>
      <c r="S252" s="135"/>
      <c r="T252" s="135"/>
      <c r="U252" s="135"/>
      <c r="V252" s="135"/>
    </row>
    <row r="253" customFormat="false" ht="15.75" hidden="false" customHeight="true" outlineLevel="0" collapsed="false">
      <c r="A253" s="135"/>
      <c r="B253" s="135"/>
      <c r="C253" s="135"/>
      <c r="D253" s="135"/>
      <c r="E253" s="135"/>
      <c r="F253" s="135"/>
      <c r="G253" s="135"/>
      <c r="H253" s="189"/>
      <c r="I253" s="182"/>
      <c r="J253" s="189"/>
      <c r="K253" s="135"/>
      <c r="L253" s="135"/>
      <c r="M253" s="135"/>
      <c r="N253" s="135"/>
      <c r="O253" s="189"/>
      <c r="P253" s="135"/>
      <c r="Q253" s="229"/>
      <c r="R253" s="135"/>
      <c r="S253" s="135"/>
      <c r="T253" s="135"/>
      <c r="U253" s="135"/>
      <c r="V253" s="135"/>
    </row>
    <row r="254" customFormat="false" ht="15.75" hidden="false" customHeight="true" outlineLevel="0" collapsed="false">
      <c r="A254" s="135"/>
      <c r="B254" s="135"/>
      <c r="C254" s="135"/>
      <c r="D254" s="135"/>
      <c r="E254" s="135"/>
      <c r="F254" s="135"/>
      <c r="G254" s="135"/>
      <c r="H254" s="189"/>
      <c r="I254" s="182"/>
      <c r="J254" s="189"/>
      <c r="K254" s="135"/>
      <c r="L254" s="135"/>
      <c r="M254" s="135"/>
      <c r="N254" s="135"/>
      <c r="O254" s="189"/>
      <c r="P254" s="135"/>
      <c r="Q254" s="229"/>
      <c r="R254" s="135"/>
      <c r="S254" s="135"/>
      <c r="T254" s="135"/>
      <c r="U254" s="135"/>
      <c r="V254" s="135"/>
    </row>
    <row r="255" customFormat="false" ht="15.75" hidden="false" customHeight="true" outlineLevel="0" collapsed="false">
      <c r="A255" s="135"/>
      <c r="B255" s="135"/>
      <c r="C255" s="135"/>
      <c r="D255" s="135"/>
      <c r="E255" s="135"/>
      <c r="F255" s="135"/>
      <c r="G255" s="135"/>
      <c r="H255" s="189"/>
      <c r="I255" s="182"/>
      <c r="J255" s="189"/>
      <c r="K255" s="135"/>
      <c r="L255" s="135"/>
      <c r="M255" s="135"/>
      <c r="N255" s="135"/>
      <c r="O255" s="189"/>
      <c r="P255" s="135"/>
      <c r="Q255" s="229"/>
      <c r="R255" s="135"/>
      <c r="S255" s="135"/>
      <c r="T255" s="135"/>
      <c r="U255" s="135"/>
      <c r="V255" s="135"/>
    </row>
    <row r="256" customFormat="false" ht="15.75" hidden="false" customHeight="true" outlineLevel="0" collapsed="false">
      <c r="A256" s="135"/>
      <c r="B256" s="135"/>
      <c r="C256" s="135"/>
      <c r="D256" s="135"/>
      <c r="E256" s="135"/>
      <c r="F256" s="135"/>
      <c r="G256" s="135"/>
      <c r="H256" s="189"/>
      <c r="I256" s="182"/>
      <c r="J256" s="189"/>
      <c r="K256" s="135"/>
      <c r="L256" s="135"/>
      <c r="M256" s="135"/>
      <c r="N256" s="135"/>
      <c r="O256" s="189"/>
      <c r="P256" s="135"/>
      <c r="Q256" s="229"/>
      <c r="R256" s="135"/>
      <c r="S256" s="135"/>
      <c r="T256" s="135"/>
      <c r="U256" s="135"/>
      <c r="V256" s="135"/>
    </row>
    <row r="257" customFormat="false" ht="15.75" hidden="false" customHeight="true" outlineLevel="0" collapsed="false">
      <c r="A257" s="135"/>
      <c r="B257" s="135"/>
      <c r="C257" s="135"/>
      <c r="D257" s="135"/>
      <c r="E257" s="135"/>
      <c r="F257" s="135"/>
      <c r="G257" s="135"/>
      <c r="H257" s="189"/>
      <c r="I257" s="182"/>
      <c r="J257" s="189"/>
      <c r="K257" s="135"/>
      <c r="L257" s="135"/>
      <c r="M257" s="135"/>
      <c r="N257" s="135"/>
      <c r="O257" s="189"/>
      <c r="P257" s="135"/>
      <c r="Q257" s="229"/>
      <c r="R257" s="135"/>
      <c r="S257" s="135"/>
      <c r="T257" s="135"/>
      <c r="U257" s="135"/>
      <c r="V257" s="135"/>
    </row>
    <row r="258" customFormat="false" ht="15.75" hidden="false" customHeight="true" outlineLevel="0" collapsed="false">
      <c r="A258" s="135"/>
      <c r="B258" s="135"/>
      <c r="C258" s="135"/>
      <c r="D258" s="135"/>
      <c r="E258" s="135"/>
      <c r="F258" s="135"/>
      <c r="G258" s="135"/>
      <c r="H258" s="189"/>
      <c r="I258" s="182"/>
      <c r="J258" s="189"/>
      <c r="K258" s="135"/>
      <c r="L258" s="135"/>
      <c r="M258" s="135"/>
      <c r="N258" s="135"/>
      <c r="O258" s="189"/>
      <c r="P258" s="135"/>
      <c r="Q258" s="229"/>
      <c r="R258" s="135"/>
      <c r="S258" s="135"/>
      <c r="T258" s="135"/>
      <c r="U258" s="135"/>
      <c r="V258" s="135"/>
    </row>
    <row r="259" customFormat="false" ht="15.75" hidden="false" customHeight="true" outlineLevel="0" collapsed="false">
      <c r="A259" s="135"/>
      <c r="B259" s="135"/>
      <c r="C259" s="135"/>
      <c r="D259" s="135"/>
      <c r="E259" s="135"/>
      <c r="F259" s="135"/>
      <c r="G259" s="135"/>
      <c r="H259" s="189"/>
      <c r="I259" s="182"/>
      <c r="J259" s="189"/>
      <c r="K259" s="135"/>
      <c r="L259" s="135"/>
      <c r="M259" s="135"/>
      <c r="N259" s="135"/>
      <c r="O259" s="189"/>
      <c r="P259" s="135"/>
      <c r="Q259" s="229"/>
      <c r="R259" s="135"/>
      <c r="S259" s="135"/>
      <c r="T259" s="135"/>
      <c r="U259" s="135"/>
      <c r="V259" s="135"/>
    </row>
    <row r="260" customFormat="false" ht="15.75" hidden="false" customHeight="true" outlineLevel="0" collapsed="false">
      <c r="A260" s="135"/>
      <c r="B260" s="135"/>
      <c r="C260" s="135"/>
      <c r="D260" s="135"/>
      <c r="E260" s="135"/>
      <c r="F260" s="135"/>
      <c r="G260" s="135"/>
      <c r="H260" s="189"/>
      <c r="I260" s="182"/>
      <c r="J260" s="189"/>
      <c r="K260" s="135"/>
      <c r="L260" s="135"/>
      <c r="M260" s="135"/>
      <c r="N260" s="135"/>
      <c r="O260" s="189"/>
      <c r="P260" s="135"/>
      <c r="Q260" s="229"/>
      <c r="R260" s="135"/>
      <c r="S260" s="135"/>
      <c r="T260" s="135"/>
      <c r="U260" s="135"/>
      <c r="V260" s="135"/>
    </row>
    <row r="261" customFormat="false" ht="15.75" hidden="false" customHeight="true" outlineLevel="0" collapsed="false">
      <c r="A261" s="135"/>
      <c r="B261" s="135"/>
      <c r="C261" s="135"/>
      <c r="D261" s="135"/>
      <c r="E261" s="135"/>
      <c r="F261" s="135"/>
      <c r="G261" s="135"/>
      <c r="H261" s="189"/>
      <c r="I261" s="182"/>
      <c r="J261" s="189"/>
      <c r="K261" s="135"/>
      <c r="L261" s="135"/>
      <c r="M261" s="135"/>
      <c r="N261" s="135"/>
      <c r="O261" s="189"/>
      <c r="P261" s="135"/>
      <c r="Q261" s="229"/>
      <c r="R261" s="135"/>
      <c r="S261" s="135"/>
      <c r="T261" s="135"/>
      <c r="U261" s="135"/>
      <c r="V261" s="135"/>
    </row>
    <row r="262" customFormat="false" ht="15.75" hidden="false" customHeight="true" outlineLevel="0" collapsed="false">
      <c r="A262" s="135"/>
      <c r="B262" s="135"/>
      <c r="C262" s="135"/>
      <c r="D262" s="135"/>
      <c r="E262" s="135"/>
      <c r="F262" s="135"/>
      <c r="G262" s="135"/>
      <c r="H262" s="189"/>
      <c r="I262" s="182"/>
      <c r="J262" s="189"/>
      <c r="K262" s="135"/>
      <c r="L262" s="135"/>
      <c r="M262" s="135"/>
      <c r="N262" s="135"/>
      <c r="O262" s="189"/>
      <c r="P262" s="135"/>
      <c r="Q262" s="229"/>
      <c r="R262" s="135"/>
      <c r="S262" s="135"/>
      <c r="T262" s="135"/>
      <c r="U262" s="135"/>
      <c r="V262" s="135"/>
    </row>
    <row r="263" customFormat="false" ht="15.75" hidden="false" customHeight="true" outlineLevel="0" collapsed="false">
      <c r="A263" s="135"/>
      <c r="B263" s="135"/>
      <c r="C263" s="135"/>
      <c r="D263" s="135"/>
      <c r="E263" s="135"/>
      <c r="F263" s="135"/>
      <c r="G263" s="135"/>
      <c r="H263" s="189"/>
      <c r="I263" s="182"/>
      <c r="J263" s="189"/>
      <c r="K263" s="135"/>
      <c r="L263" s="135"/>
      <c r="M263" s="135"/>
      <c r="N263" s="135"/>
      <c r="O263" s="189"/>
      <c r="P263" s="135"/>
      <c r="Q263" s="229"/>
      <c r="R263" s="135"/>
      <c r="S263" s="135"/>
      <c r="T263" s="135"/>
      <c r="U263" s="135"/>
      <c r="V263" s="135"/>
    </row>
    <row r="264" customFormat="false" ht="15.75" hidden="false" customHeight="true" outlineLevel="0" collapsed="false">
      <c r="A264" s="135"/>
      <c r="B264" s="135"/>
      <c r="C264" s="135"/>
      <c r="D264" s="135"/>
      <c r="E264" s="135"/>
      <c r="F264" s="135"/>
      <c r="G264" s="135"/>
      <c r="H264" s="189"/>
      <c r="I264" s="182"/>
      <c r="J264" s="189"/>
      <c r="K264" s="135"/>
      <c r="L264" s="135"/>
      <c r="M264" s="135"/>
      <c r="N264" s="135"/>
      <c r="O264" s="189"/>
      <c r="P264" s="135"/>
      <c r="Q264" s="229"/>
      <c r="R264" s="135"/>
      <c r="S264" s="135"/>
      <c r="T264" s="135"/>
      <c r="U264" s="135"/>
      <c r="V264" s="135"/>
    </row>
    <row r="265" customFormat="false" ht="15.75" hidden="false" customHeight="true" outlineLevel="0" collapsed="false">
      <c r="A265" s="135"/>
      <c r="B265" s="135"/>
      <c r="C265" s="135"/>
      <c r="D265" s="135"/>
      <c r="E265" s="135"/>
      <c r="F265" s="135"/>
      <c r="G265" s="135"/>
      <c r="H265" s="189"/>
      <c r="I265" s="182"/>
      <c r="J265" s="189"/>
      <c r="K265" s="135"/>
      <c r="L265" s="135"/>
      <c r="M265" s="135"/>
      <c r="N265" s="135"/>
      <c r="O265" s="189"/>
      <c r="P265" s="135"/>
      <c r="Q265" s="229"/>
      <c r="R265" s="135"/>
      <c r="S265" s="135"/>
      <c r="T265" s="135"/>
      <c r="U265" s="135"/>
      <c r="V265" s="135"/>
    </row>
    <row r="266" customFormat="false" ht="15.75" hidden="false" customHeight="true" outlineLevel="0" collapsed="false">
      <c r="A266" s="135"/>
      <c r="B266" s="135"/>
      <c r="C266" s="135"/>
      <c r="D266" s="135"/>
      <c r="E266" s="135"/>
      <c r="F266" s="135"/>
      <c r="G266" s="135"/>
      <c r="H266" s="189"/>
      <c r="I266" s="182"/>
      <c r="J266" s="189"/>
      <c r="K266" s="135"/>
      <c r="L266" s="135"/>
      <c r="M266" s="135"/>
      <c r="N266" s="135"/>
      <c r="O266" s="189"/>
      <c r="P266" s="135"/>
      <c r="Q266" s="229"/>
      <c r="R266" s="135"/>
      <c r="S266" s="135"/>
      <c r="T266" s="135"/>
      <c r="U266" s="135"/>
      <c r="V266" s="135"/>
    </row>
    <row r="267" customFormat="false" ht="15.75" hidden="false" customHeight="true" outlineLevel="0" collapsed="false">
      <c r="A267" s="135"/>
      <c r="B267" s="135"/>
      <c r="C267" s="135"/>
      <c r="D267" s="135"/>
      <c r="E267" s="135"/>
      <c r="F267" s="135"/>
      <c r="G267" s="135"/>
      <c r="H267" s="189"/>
      <c r="I267" s="182"/>
      <c r="J267" s="189"/>
      <c r="K267" s="135"/>
      <c r="L267" s="135"/>
      <c r="M267" s="135"/>
      <c r="N267" s="135"/>
      <c r="O267" s="189"/>
      <c r="P267" s="135"/>
      <c r="Q267" s="229"/>
      <c r="R267" s="135"/>
      <c r="S267" s="135"/>
      <c r="T267" s="135"/>
      <c r="U267" s="135"/>
      <c r="V267" s="135"/>
    </row>
    <row r="268" customFormat="false" ht="15.75" hidden="false" customHeight="true" outlineLevel="0" collapsed="false">
      <c r="A268" s="135"/>
      <c r="B268" s="135"/>
      <c r="C268" s="135"/>
      <c r="D268" s="135"/>
      <c r="E268" s="135"/>
      <c r="F268" s="135"/>
      <c r="G268" s="135"/>
      <c r="H268" s="189"/>
      <c r="I268" s="182"/>
      <c r="J268" s="189"/>
      <c r="K268" s="135"/>
      <c r="L268" s="135"/>
      <c r="M268" s="135"/>
      <c r="N268" s="135"/>
      <c r="O268" s="189"/>
      <c r="P268" s="135"/>
      <c r="Q268" s="229"/>
      <c r="R268" s="135"/>
      <c r="S268" s="135"/>
      <c r="T268" s="135"/>
      <c r="U268" s="135"/>
      <c r="V268" s="135"/>
    </row>
    <row r="269" customFormat="false" ht="15.75" hidden="false" customHeight="true" outlineLevel="0" collapsed="false">
      <c r="A269" s="135"/>
      <c r="B269" s="135"/>
      <c r="C269" s="135"/>
      <c r="D269" s="135"/>
      <c r="E269" s="135"/>
      <c r="F269" s="135"/>
      <c r="G269" s="135"/>
      <c r="H269" s="189"/>
      <c r="I269" s="182"/>
      <c r="J269" s="189"/>
      <c r="K269" s="135"/>
      <c r="L269" s="135"/>
      <c r="M269" s="135"/>
      <c r="N269" s="135"/>
      <c r="O269" s="189"/>
      <c r="P269" s="135"/>
      <c r="Q269" s="229"/>
      <c r="R269" s="135"/>
      <c r="S269" s="135"/>
      <c r="T269" s="135"/>
      <c r="U269" s="135"/>
      <c r="V269" s="135"/>
    </row>
    <row r="270" customFormat="false" ht="15.75" hidden="false" customHeight="true" outlineLevel="0" collapsed="false">
      <c r="A270" s="135"/>
      <c r="B270" s="135"/>
      <c r="C270" s="135"/>
      <c r="D270" s="135"/>
      <c r="E270" s="135"/>
      <c r="F270" s="135"/>
      <c r="G270" s="135"/>
      <c r="H270" s="189"/>
      <c r="I270" s="182"/>
      <c r="J270" s="189"/>
      <c r="K270" s="135"/>
      <c r="L270" s="135"/>
      <c r="M270" s="135"/>
      <c r="N270" s="135"/>
      <c r="O270" s="189"/>
      <c r="P270" s="135"/>
      <c r="Q270" s="229"/>
      <c r="R270" s="135"/>
      <c r="S270" s="135"/>
      <c r="T270" s="135"/>
      <c r="U270" s="135"/>
      <c r="V270" s="135"/>
    </row>
    <row r="271" customFormat="false" ht="15.75" hidden="false" customHeight="true" outlineLevel="0" collapsed="false">
      <c r="A271" s="135"/>
      <c r="B271" s="135"/>
      <c r="C271" s="135"/>
      <c r="D271" s="135"/>
      <c r="E271" s="135"/>
      <c r="F271" s="135"/>
      <c r="G271" s="135"/>
      <c r="H271" s="189"/>
      <c r="I271" s="182"/>
      <c r="J271" s="189"/>
      <c r="K271" s="135"/>
      <c r="L271" s="135"/>
      <c r="M271" s="135"/>
      <c r="N271" s="135"/>
      <c r="O271" s="189"/>
      <c r="P271" s="135"/>
      <c r="Q271" s="229"/>
      <c r="R271" s="135"/>
      <c r="S271" s="135"/>
      <c r="T271" s="135"/>
      <c r="U271" s="135"/>
      <c r="V271" s="135"/>
    </row>
    <row r="272" customFormat="false" ht="15.75" hidden="false" customHeight="true" outlineLevel="0" collapsed="false">
      <c r="A272" s="135"/>
      <c r="B272" s="135"/>
      <c r="C272" s="135"/>
      <c r="D272" s="135"/>
      <c r="E272" s="135"/>
      <c r="F272" s="135"/>
      <c r="G272" s="135"/>
      <c r="H272" s="189"/>
      <c r="I272" s="182"/>
      <c r="J272" s="189"/>
      <c r="K272" s="135"/>
      <c r="L272" s="135"/>
      <c r="M272" s="135"/>
      <c r="N272" s="135"/>
      <c r="O272" s="189"/>
      <c r="P272" s="135"/>
      <c r="Q272" s="229"/>
      <c r="R272" s="135"/>
      <c r="S272" s="135"/>
      <c r="T272" s="135"/>
      <c r="U272" s="135"/>
      <c r="V272" s="135"/>
    </row>
    <row r="273" customFormat="false" ht="15.75" hidden="false" customHeight="true" outlineLevel="0" collapsed="false">
      <c r="A273" s="135"/>
      <c r="B273" s="135"/>
      <c r="C273" s="135"/>
      <c r="D273" s="135"/>
      <c r="E273" s="135"/>
      <c r="F273" s="135"/>
      <c r="G273" s="135"/>
      <c r="H273" s="189"/>
      <c r="I273" s="182"/>
      <c r="J273" s="189"/>
      <c r="K273" s="135"/>
      <c r="L273" s="135"/>
      <c r="M273" s="135"/>
      <c r="N273" s="135"/>
      <c r="O273" s="189"/>
      <c r="P273" s="135"/>
      <c r="Q273" s="229"/>
      <c r="R273" s="135"/>
      <c r="S273" s="135"/>
      <c r="T273" s="135"/>
      <c r="U273" s="135"/>
      <c r="V273" s="135"/>
    </row>
    <row r="274" customFormat="false" ht="15.75" hidden="false" customHeight="true" outlineLevel="0" collapsed="false">
      <c r="A274" s="135"/>
      <c r="B274" s="135"/>
      <c r="C274" s="135"/>
      <c r="D274" s="135"/>
      <c r="E274" s="135"/>
      <c r="F274" s="135"/>
      <c r="G274" s="135"/>
      <c r="H274" s="189"/>
      <c r="I274" s="182"/>
      <c r="J274" s="189"/>
      <c r="K274" s="135"/>
      <c r="L274" s="135"/>
      <c r="M274" s="135"/>
      <c r="N274" s="135"/>
      <c r="O274" s="189"/>
      <c r="P274" s="135"/>
      <c r="Q274" s="229"/>
      <c r="R274" s="135"/>
      <c r="S274" s="135"/>
      <c r="T274" s="135"/>
      <c r="U274" s="135"/>
      <c r="V274" s="135"/>
    </row>
    <row r="275" customFormat="false" ht="15.75" hidden="false" customHeight="true" outlineLevel="0" collapsed="false">
      <c r="A275" s="135"/>
      <c r="B275" s="135"/>
      <c r="C275" s="135"/>
      <c r="D275" s="135"/>
      <c r="E275" s="135"/>
      <c r="F275" s="135"/>
      <c r="G275" s="135"/>
      <c r="H275" s="189"/>
      <c r="I275" s="182"/>
      <c r="J275" s="189"/>
      <c r="K275" s="135"/>
      <c r="L275" s="135"/>
      <c r="M275" s="135"/>
      <c r="N275" s="135"/>
      <c r="O275" s="189"/>
      <c r="P275" s="135"/>
      <c r="Q275" s="229"/>
      <c r="R275" s="135"/>
      <c r="S275" s="135"/>
      <c r="T275" s="135"/>
      <c r="U275" s="135"/>
      <c r="V275" s="135"/>
    </row>
    <row r="276" customFormat="false" ht="15.75" hidden="false" customHeight="true" outlineLevel="0" collapsed="false">
      <c r="A276" s="135"/>
      <c r="B276" s="135"/>
      <c r="C276" s="135"/>
      <c r="D276" s="135"/>
      <c r="E276" s="135"/>
      <c r="F276" s="135"/>
      <c r="G276" s="135"/>
      <c r="H276" s="189"/>
      <c r="I276" s="182"/>
      <c r="J276" s="189"/>
      <c r="K276" s="135"/>
      <c r="L276" s="135"/>
      <c r="M276" s="135"/>
      <c r="N276" s="135"/>
      <c r="O276" s="189"/>
      <c r="P276" s="135"/>
      <c r="Q276" s="229"/>
      <c r="R276" s="135"/>
      <c r="S276" s="135"/>
      <c r="T276" s="135"/>
      <c r="U276" s="135"/>
      <c r="V276" s="135"/>
    </row>
    <row r="277" customFormat="false" ht="15.75" hidden="false" customHeight="true" outlineLevel="0" collapsed="false">
      <c r="A277" s="135"/>
      <c r="B277" s="135"/>
      <c r="C277" s="135"/>
      <c r="D277" s="135"/>
      <c r="E277" s="135"/>
      <c r="F277" s="135"/>
      <c r="G277" s="135"/>
      <c r="H277" s="189"/>
      <c r="I277" s="182"/>
      <c r="J277" s="189"/>
      <c r="K277" s="135"/>
      <c r="L277" s="135"/>
      <c r="M277" s="135"/>
      <c r="N277" s="135"/>
      <c r="O277" s="189"/>
      <c r="P277" s="135"/>
      <c r="Q277" s="229"/>
      <c r="R277" s="135"/>
      <c r="S277" s="135"/>
      <c r="T277" s="135"/>
      <c r="U277" s="135"/>
      <c r="V277" s="135"/>
    </row>
    <row r="278" customFormat="false" ht="15.75" hidden="false" customHeight="true" outlineLevel="0" collapsed="false">
      <c r="A278" s="135"/>
      <c r="B278" s="135"/>
      <c r="C278" s="135"/>
      <c r="D278" s="135"/>
      <c r="E278" s="135"/>
      <c r="F278" s="135"/>
      <c r="G278" s="135"/>
      <c r="H278" s="189"/>
      <c r="I278" s="182"/>
      <c r="J278" s="189"/>
      <c r="K278" s="135"/>
      <c r="L278" s="135"/>
      <c r="M278" s="135"/>
      <c r="N278" s="135"/>
      <c r="O278" s="189"/>
      <c r="P278" s="135"/>
      <c r="Q278" s="229"/>
      <c r="R278" s="135"/>
      <c r="S278" s="135"/>
      <c r="T278" s="135"/>
      <c r="U278" s="135"/>
      <c r="V278" s="135"/>
    </row>
    <row r="279" customFormat="false" ht="15.75" hidden="false" customHeight="true" outlineLevel="0" collapsed="false">
      <c r="A279" s="135"/>
      <c r="B279" s="135"/>
      <c r="C279" s="135"/>
      <c r="D279" s="135"/>
      <c r="E279" s="135"/>
      <c r="F279" s="135"/>
      <c r="G279" s="135"/>
      <c r="H279" s="189"/>
      <c r="I279" s="182"/>
      <c r="J279" s="189"/>
      <c r="K279" s="135"/>
      <c r="L279" s="135"/>
      <c r="M279" s="135"/>
      <c r="N279" s="135"/>
      <c r="O279" s="189"/>
      <c r="P279" s="135"/>
      <c r="Q279" s="229"/>
      <c r="R279" s="135"/>
      <c r="S279" s="135"/>
      <c r="T279" s="135"/>
      <c r="U279" s="135"/>
      <c r="V279" s="135"/>
    </row>
    <row r="280" customFormat="false" ht="15.75" hidden="false" customHeight="true" outlineLevel="0" collapsed="false">
      <c r="A280" s="135"/>
      <c r="B280" s="135"/>
      <c r="C280" s="135"/>
      <c r="D280" s="135"/>
      <c r="E280" s="135"/>
      <c r="F280" s="135"/>
      <c r="G280" s="135"/>
      <c r="H280" s="189"/>
      <c r="I280" s="182"/>
      <c r="J280" s="189"/>
      <c r="K280" s="135"/>
      <c r="L280" s="135"/>
      <c r="M280" s="135"/>
      <c r="N280" s="135"/>
      <c r="O280" s="189"/>
      <c r="P280" s="135"/>
      <c r="Q280" s="229"/>
      <c r="R280" s="135"/>
      <c r="S280" s="135"/>
      <c r="T280" s="135"/>
      <c r="U280" s="135"/>
      <c r="V280" s="135"/>
    </row>
    <row r="281" customFormat="false" ht="15.75" hidden="false" customHeight="true" outlineLevel="0" collapsed="false">
      <c r="A281" s="135"/>
      <c r="B281" s="135"/>
      <c r="C281" s="135"/>
      <c r="D281" s="135"/>
      <c r="E281" s="135"/>
      <c r="F281" s="135"/>
      <c r="G281" s="135"/>
      <c r="H281" s="189"/>
      <c r="I281" s="182"/>
      <c r="J281" s="189"/>
      <c r="K281" s="135"/>
      <c r="L281" s="135"/>
      <c r="M281" s="135"/>
      <c r="N281" s="135"/>
      <c r="O281" s="189"/>
      <c r="P281" s="135"/>
      <c r="Q281" s="229"/>
      <c r="R281" s="135"/>
      <c r="S281" s="135"/>
      <c r="T281" s="135"/>
      <c r="U281" s="135"/>
      <c r="V281" s="135"/>
    </row>
    <row r="282" customFormat="false" ht="15.75" hidden="false" customHeight="true" outlineLevel="0" collapsed="false">
      <c r="A282" s="135"/>
      <c r="B282" s="135"/>
      <c r="C282" s="135"/>
      <c r="D282" s="135"/>
      <c r="E282" s="135"/>
      <c r="F282" s="135"/>
      <c r="G282" s="135"/>
      <c r="H282" s="189"/>
      <c r="I282" s="182"/>
      <c r="J282" s="189"/>
      <c r="K282" s="135"/>
      <c r="L282" s="135"/>
      <c r="M282" s="135"/>
      <c r="N282" s="135"/>
      <c r="O282" s="189"/>
      <c r="P282" s="135"/>
      <c r="Q282" s="229"/>
      <c r="R282" s="135"/>
      <c r="S282" s="135"/>
      <c r="T282" s="135"/>
      <c r="U282" s="135"/>
      <c r="V282" s="135"/>
    </row>
    <row r="283" customFormat="false" ht="15.75" hidden="false" customHeight="true" outlineLevel="0" collapsed="false">
      <c r="A283" s="135"/>
      <c r="B283" s="135"/>
      <c r="C283" s="135"/>
      <c r="D283" s="135"/>
      <c r="E283" s="135"/>
      <c r="F283" s="135"/>
      <c r="G283" s="135"/>
      <c r="H283" s="189"/>
      <c r="I283" s="182"/>
      <c r="J283" s="189"/>
      <c r="K283" s="135"/>
      <c r="L283" s="135"/>
      <c r="M283" s="135"/>
      <c r="N283" s="135"/>
      <c r="O283" s="189"/>
      <c r="P283" s="135"/>
      <c r="Q283" s="229"/>
      <c r="R283" s="135"/>
      <c r="S283" s="135"/>
      <c r="T283" s="135"/>
      <c r="U283" s="135"/>
      <c r="V283" s="135"/>
    </row>
    <row r="284" customFormat="false" ht="15.75" hidden="false" customHeight="true" outlineLevel="0" collapsed="false">
      <c r="A284" s="135"/>
      <c r="B284" s="135"/>
      <c r="C284" s="135"/>
      <c r="D284" s="135"/>
      <c r="E284" s="135"/>
      <c r="F284" s="135"/>
      <c r="G284" s="135"/>
      <c r="H284" s="189"/>
      <c r="I284" s="182"/>
      <c r="J284" s="189"/>
      <c r="K284" s="135"/>
      <c r="L284" s="135"/>
      <c r="M284" s="135"/>
      <c r="N284" s="135"/>
      <c r="O284" s="189"/>
      <c r="P284" s="135"/>
      <c r="Q284" s="229"/>
      <c r="R284" s="135"/>
      <c r="S284" s="135"/>
      <c r="T284" s="135"/>
      <c r="U284" s="135"/>
      <c r="V284" s="135"/>
    </row>
    <row r="285" customFormat="false" ht="15.75" hidden="false" customHeight="true" outlineLevel="0" collapsed="false">
      <c r="A285" s="135"/>
      <c r="B285" s="135"/>
      <c r="C285" s="135"/>
      <c r="D285" s="135"/>
      <c r="E285" s="135"/>
      <c r="F285" s="135"/>
      <c r="G285" s="135"/>
      <c r="H285" s="189"/>
      <c r="I285" s="182"/>
      <c r="J285" s="189"/>
      <c r="K285" s="135"/>
      <c r="L285" s="135"/>
      <c r="M285" s="135"/>
      <c r="N285" s="135"/>
      <c r="O285" s="189"/>
      <c r="P285" s="135"/>
      <c r="Q285" s="229"/>
      <c r="R285" s="135"/>
      <c r="S285" s="135"/>
      <c r="T285" s="135"/>
      <c r="U285" s="135"/>
      <c r="V285" s="135"/>
    </row>
    <row r="286" customFormat="false" ht="15.75" hidden="false" customHeight="true" outlineLevel="0" collapsed="false">
      <c r="A286" s="135"/>
      <c r="B286" s="135"/>
      <c r="C286" s="135"/>
      <c r="D286" s="135"/>
      <c r="E286" s="135"/>
      <c r="F286" s="135"/>
      <c r="G286" s="135"/>
      <c r="H286" s="189"/>
      <c r="I286" s="182"/>
      <c r="J286" s="189"/>
      <c r="K286" s="135"/>
      <c r="L286" s="135"/>
      <c r="M286" s="135"/>
      <c r="N286" s="135"/>
      <c r="O286" s="189"/>
      <c r="P286" s="135"/>
      <c r="Q286" s="229"/>
      <c r="R286" s="135"/>
      <c r="S286" s="135"/>
      <c r="T286" s="135"/>
      <c r="U286" s="135"/>
      <c r="V286" s="135"/>
    </row>
    <row r="287" customFormat="false" ht="15.75" hidden="false" customHeight="true" outlineLevel="0" collapsed="false">
      <c r="A287" s="135"/>
      <c r="B287" s="135"/>
      <c r="C287" s="135"/>
      <c r="D287" s="135"/>
      <c r="E287" s="135"/>
      <c r="F287" s="135"/>
      <c r="G287" s="135"/>
      <c r="H287" s="189"/>
      <c r="I287" s="182"/>
      <c r="J287" s="189"/>
      <c r="K287" s="135"/>
      <c r="L287" s="135"/>
      <c r="M287" s="135"/>
      <c r="N287" s="135"/>
      <c r="O287" s="189"/>
      <c r="P287" s="135"/>
      <c r="Q287" s="229"/>
      <c r="R287" s="135"/>
      <c r="S287" s="135"/>
      <c r="T287" s="135"/>
      <c r="U287" s="135"/>
      <c r="V287" s="135"/>
    </row>
    <row r="288" customFormat="false" ht="15.75" hidden="false" customHeight="true" outlineLevel="0" collapsed="false">
      <c r="A288" s="135"/>
      <c r="B288" s="135"/>
      <c r="C288" s="135"/>
      <c r="D288" s="135"/>
      <c r="E288" s="135"/>
      <c r="F288" s="135"/>
      <c r="G288" s="135"/>
      <c r="H288" s="189"/>
      <c r="I288" s="182"/>
      <c r="J288" s="189"/>
      <c r="K288" s="135"/>
      <c r="L288" s="135"/>
      <c r="M288" s="135"/>
      <c r="N288" s="135"/>
      <c r="O288" s="189"/>
      <c r="P288" s="135"/>
      <c r="Q288" s="229"/>
      <c r="R288" s="135"/>
      <c r="S288" s="135"/>
      <c r="T288" s="135"/>
      <c r="U288" s="135"/>
      <c r="V288" s="135"/>
    </row>
    <row r="289" customFormat="false" ht="15.75" hidden="false" customHeight="true" outlineLevel="0" collapsed="false">
      <c r="A289" s="135"/>
      <c r="B289" s="135"/>
      <c r="C289" s="135"/>
      <c r="D289" s="135"/>
      <c r="E289" s="135"/>
      <c r="F289" s="135"/>
      <c r="G289" s="135"/>
      <c r="H289" s="189"/>
      <c r="I289" s="182"/>
      <c r="J289" s="189"/>
      <c r="K289" s="135"/>
      <c r="L289" s="135"/>
      <c r="M289" s="135"/>
      <c r="N289" s="135"/>
      <c r="O289" s="189"/>
      <c r="P289" s="135"/>
      <c r="Q289" s="229"/>
      <c r="R289" s="135"/>
      <c r="S289" s="135"/>
      <c r="T289" s="135"/>
      <c r="U289" s="135"/>
      <c r="V289" s="135"/>
    </row>
    <row r="290" customFormat="false" ht="15.75" hidden="false" customHeight="true" outlineLevel="0" collapsed="false">
      <c r="A290" s="135"/>
      <c r="B290" s="135"/>
      <c r="C290" s="135"/>
      <c r="D290" s="135"/>
      <c r="E290" s="135"/>
      <c r="F290" s="135"/>
      <c r="G290" s="135"/>
      <c r="H290" s="189"/>
      <c r="I290" s="182"/>
      <c r="J290" s="189"/>
      <c r="K290" s="135"/>
      <c r="L290" s="135"/>
      <c r="M290" s="135"/>
      <c r="N290" s="135"/>
      <c r="O290" s="189"/>
      <c r="P290" s="135"/>
      <c r="Q290" s="229"/>
      <c r="R290" s="135"/>
      <c r="S290" s="135"/>
      <c r="T290" s="135"/>
      <c r="U290" s="135"/>
      <c r="V290" s="135"/>
    </row>
    <row r="291" customFormat="false" ht="15.75" hidden="false" customHeight="true" outlineLevel="0" collapsed="false">
      <c r="A291" s="135"/>
      <c r="B291" s="135"/>
      <c r="C291" s="135"/>
      <c r="D291" s="135"/>
      <c r="E291" s="135"/>
      <c r="F291" s="135"/>
      <c r="G291" s="135"/>
      <c r="H291" s="189"/>
      <c r="I291" s="182"/>
      <c r="J291" s="189"/>
      <c r="K291" s="135"/>
      <c r="L291" s="135"/>
      <c r="M291" s="135"/>
      <c r="N291" s="135"/>
      <c r="O291" s="189"/>
      <c r="P291" s="135"/>
      <c r="Q291" s="229"/>
      <c r="R291" s="135"/>
      <c r="S291" s="135"/>
      <c r="T291" s="135"/>
      <c r="U291" s="135"/>
      <c r="V291" s="135"/>
    </row>
    <row r="292" customFormat="false" ht="15.75" hidden="false" customHeight="true" outlineLevel="0" collapsed="false">
      <c r="A292" s="135"/>
      <c r="B292" s="135"/>
      <c r="C292" s="135"/>
      <c r="D292" s="135"/>
      <c r="E292" s="135"/>
      <c r="F292" s="135"/>
      <c r="G292" s="135"/>
      <c r="H292" s="189"/>
      <c r="I292" s="182"/>
      <c r="J292" s="189"/>
      <c r="K292" s="135"/>
      <c r="L292" s="135"/>
      <c r="M292" s="135"/>
      <c r="N292" s="135"/>
      <c r="O292" s="189"/>
      <c r="P292" s="135"/>
      <c r="Q292" s="229"/>
      <c r="R292" s="135"/>
      <c r="S292" s="135"/>
      <c r="T292" s="135"/>
      <c r="U292" s="135"/>
      <c r="V292" s="135"/>
    </row>
    <row r="293" customFormat="false" ht="15.75" hidden="false" customHeight="true" outlineLevel="0" collapsed="false">
      <c r="A293" s="135"/>
      <c r="B293" s="135"/>
      <c r="C293" s="135"/>
      <c r="D293" s="135"/>
      <c r="E293" s="135"/>
      <c r="F293" s="135"/>
      <c r="G293" s="135"/>
      <c r="H293" s="189"/>
      <c r="I293" s="182"/>
      <c r="J293" s="189"/>
      <c r="K293" s="135"/>
      <c r="L293" s="135"/>
      <c r="M293" s="135"/>
      <c r="N293" s="135"/>
      <c r="O293" s="189"/>
      <c r="P293" s="135"/>
      <c r="Q293" s="229"/>
      <c r="R293" s="135"/>
      <c r="S293" s="135"/>
      <c r="T293" s="135"/>
      <c r="U293" s="135"/>
      <c r="V293" s="135"/>
    </row>
    <row r="294" customFormat="false" ht="15.75" hidden="false" customHeight="true" outlineLevel="0" collapsed="false">
      <c r="A294" s="135"/>
      <c r="B294" s="135"/>
      <c r="C294" s="135"/>
      <c r="D294" s="135"/>
      <c r="E294" s="135"/>
      <c r="F294" s="135"/>
      <c r="G294" s="135"/>
      <c r="H294" s="189"/>
      <c r="I294" s="182"/>
      <c r="J294" s="189"/>
      <c r="K294" s="135"/>
      <c r="L294" s="135"/>
      <c r="M294" s="135"/>
      <c r="N294" s="135"/>
      <c r="O294" s="189"/>
      <c r="P294" s="135"/>
      <c r="Q294" s="229"/>
      <c r="R294" s="135"/>
      <c r="S294" s="135"/>
      <c r="T294" s="135"/>
      <c r="U294" s="135"/>
      <c r="V294" s="135"/>
    </row>
    <row r="295" customFormat="false" ht="15.75" hidden="false" customHeight="true" outlineLevel="0" collapsed="false">
      <c r="A295" s="135"/>
      <c r="B295" s="135"/>
      <c r="C295" s="135"/>
      <c r="D295" s="135"/>
      <c r="E295" s="135"/>
      <c r="F295" s="135"/>
      <c r="G295" s="135"/>
      <c r="H295" s="189"/>
      <c r="I295" s="182"/>
      <c r="J295" s="189"/>
      <c r="K295" s="135"/>
      <c r="L295" s="135"/>
      <c r="M295" s="135"/>
      <c r="N295" s="135"/>
      <c r="O295" s="189"/>
      <c r="P295" s="135"/>
      <c r="Q295" s="229"/>
      <c r="R295" s="135"/>
      <c r="S295" s="135"/>
      <c r="T295" s="135"/>
      <c r="U295" s="135"/>
      <c r="V295" s="135"/>
    </row>
    <row r="296" customFormat="false" ht="15.75" hidden="false" customHeight="true" outlineLevel="0" collapsed="false">
      <c r="A296" s="135"/>
      <c r="B296" s="135"/>
      <c r="C296" s="135"/>
      <c r="D296" s="135"/>
      <c r="E296" s="135"/>
      <c r="F296" s="135"/>
      <c r="G296" s="135"/>
      <c r="H296" s="189"/>
      <c r="I296" s="182"/>
      <c r="J296" s="189"/>
      <c r="K296" s="135"/>
      <c r="L296" s="135"/>
      <c r="M296" s="135"/>
      <c r="N296" s="135"/>
      <c r="O296" s="189"/>
      <c r="P296" s="135"/>
      <c r="Q296" s="229"/>
      <c r="R296" s="135"/>
      <c r="S296" s="135"/>
      <c r="T296" s="135"/>
      <c r="U296" s="135"/>
      <c r="V296" s="135"/>
    </row>
    <row r="297" customFormat="false" ht="15.75" hidden="false" customHeight="true" outlineLevel="0" collapsed="false">
      <c r="A297" s="135"/>
      <c r="B297" s="135"/>
      <c r="C297" s="135"/>
      <c r="D297" s="135"/>
      <c r="E297" s="135"/>
      <c r="F297" s="135"/>
      <c r="G297" s="135"/>
      <c r="H297" s="189"/>
      <c r="I297" s="182"/>
      <c r="J297" s="189"/>
      <c r="K297" s="135"/>
      <c r="L297" s="135"/>
      <c r="M297" s="135"/>
      <c r="N297" s="135"/>
      <c r="O297" s="189"/>
      <c r="P297" s="135"/>
      <c r="Q297" s="229"/>
      <c r="R297" s="135"/>
      <c r="S297" s="135"/>
      <c r="T297" s="135"/>
      <c r="U297" s="135"/>
      <c r="V297" s="135"/>
    </row>
    <row r="298" customFormat="false" ht="15.75" hidden="false" customHeight="true" outlineLevel="0" collapsed="false">
      <c r="A298" s="135"/>
      <c r="B298" s="135"/>
      <c r="C298" s="135"/>
      <c r="D298" s="135"/>
      <c r="E298" s="135"/>
      <c r="F298" s="135"/>
      <c r="G298" s="135"/>
      <c r="H298" s="189"/>
      <c r="I298" s="182"/>
      <c r="J298" s="189"/>
      <c r="K298" s="135"/>
      <c r="L298" s="135"/>
      <c r="M298" s="135"/>
      <c r="N298" s="135"/>
      <c r="O298" s="189"/>
      <c r="P298" s="135"/>
      <c r="Q298" s="229"/>
      <c r="R298" s="135"/>
      <c r="S298" s="135"/>
      <c r="T298" s="135"/>
      <c r="U298" s="135"/>
      <c r="V298" s="135"/>
    </row>
    <row r="299" customFormat="false" ht="15.75" hidden="false" customHeight="true" outlineLevel="0" collapsed="false">
      <c r="A299" s="135"/>
      <c r="B299" s="135"/>
      <c r="C299" s="135"/>
      <c r="D299" s="135"/>
      <c r="E299" s="135"/>
      <c r="F299" s="135"/>
      <c r="G299" s="135"/>
      <c r="H299" s="189"/>
      <c r="I299" s="182"/>
      <c r="J299" s="189"/>
      <c r="K299" s="135"/>
      <c r="L299" s="135"/>
      <c r="M299" s="135"/>
      <c r="N299" s="135"/>
      <c r="O299" s="189"/>
      <c r="P299" s="135"/>
      <c r="Q299" s="229"/>
      <c r="R299" s="135"/>
      <c r="S299" s="135"/>
      <c r="T299" s="135"/>
      <c r="U299" s="135"/>
      <c r="V299" s="135"/>
    </row>
    <row r="300" customFormat="false" ht="15.75" hidden="false" customHeight="true" outlineLevel="0" collapsed="false">
      <c r="A300" s="135"/>
      <c r="B300" s="135"/>
      <c r="C300" s="135"/>
      <c r="D300" s="135"/>
      <c r="E300" s="135"/>
      <c r="F300" s="135"/>
      <c r="G300" s="135"/>
      <c r="H300" s="189"/>
      <c r="I300" s="182"/>
      <c r="J300" s="189"/>
      <c r="K300" s="135"/>
      <c r="L300" s="135"/>
      <c r="M300" s="135"/>
      <c r="N300" s="135"/>
      <c r="O300" s="189"/>
      <c r="P300" s="135"/>
      <c r="Q300" s="229"/>
      <c r="R300" s="135"/>
      <c r="S300" s="135"/>
      <c r="T300" s="135"/>
      <c r="U300" s="135"/>
      <c r="V300" s="135"/>
    </row>
    <row r="301" customFormat="false" ht="15.75" hidden="false" customHeight="true" outlineLevel="0" collapsed="false">
      <c r="A301" s="135"/>
      <c r="B301" s="135"/>
      <c r="C301" s="135"/>
      <c r="D301" s="135"/>
      <c r="E301" s="135"/>
      <c r="F301" s="135"/>
      <c r="G301" s="135"/>
      <c r="H301" s="189"/>
      <c r="I301" s="182"/>
      <c r="J301" s="189"/>
      <c r="K301" s="135"/>
      <c r="L301" s="135"/>
      <c r="M301" s="135"/>
      <c r="N301" s="135"/>
      <c r="O301" s="189"/>
      <c r="P301" s="135"/>
      <c r="Q301" s="229"/>
      <c r="R301" s="135"/>
      <c r="S301" s="135"/>
      <c r="T301" s="135"/>
      <c r="U301" s="135"/>
      <c r="V301" s="135"/>
    </row>
    <row r="302" customFormat="false" ht="15.75" hidden="false" customHeight="true" outlineLevel="0" collapsed="false">
      <c r="A302" s="135"/>
      <c r="B302" s="135"/>
      <c r="C302" s="135"/>
      <c r="D302" s="135"/>
      <c r="E302" s="135"/>
      <c r="F302" s="135"/>
      <c r="G302" s="135"/>
      <c r="H302" s="189"/>
      <c r="I302" s="182"/>
      <c r="J302" s="189"/>
      <c r="K302" s="135"/>
      <c r="L302" s="135"/>
      <c r="M302" s="135"/>
      <c r="N302" s="135"/>
      <c r="O302" s="189"/>
      <c r="P302" s="135"/>
      <c r="Q302" s="229"/>
      <c r="R302" s="135"/>
      <c r="S302" s="135"/>
      <c r="T302" s="135"/>
      <c r="U302" s="135"/>
      <c r="V302" s="135"/>
    </row>
    <row r="303" customFormat="false" ht="15.75" hidden="false" customHeight="true" outlineLevel="0" collapsed="false">
      <c r="A303" s="135"/>
      <c r="B303" s="135"/>
      <c r="C303" s="135"/>
      <c r="D303" s="135"/>
      <c r="E303" s="135"/>
      <c r="F303" s="135"/>
      <c r="G303" s="135"/>
      <c r="H303" s="189"/>
      <c r="I303" s="182"/>
      <c r="J303" s="189"/>
      <c r="K303" s="135"/>
      <c r="L303" s="135"/>
      <c r="M303" s="135"/>
      <c r="N303" s="135"/>
      <c r="O303" s="189"/>
      <c r="P303" s="135"/>
      <c r="Q303" s="229"/>
      <c r="R303" s="135"/>
      <c r="S303" s="135"/>
      <c r="T303" s="135"/>
      <c r="U303" s="135"/>
      <c r="V303" s="135"/>
    </row>
    <row r="304" customFormat="false" ht="15.75" hidden="false" customHeight="true" outlineLevel="0" collapsed="false">
      <c r="A304" s="135"/>
      <c r="B304" s="135"/>
      <c r="C304" s="135"/>
      <c r="D304" s="135"/>
      <c r="E304" s="135"/>
      <c r="F304" s="135"/>
      <c r="G304" s="135"/>
      <c r="H304" s="189"/>
      <c r="I304" s="182"/>
      <c r="J304" s="189"/>
      <c r="K304" s="135"/>
      <c r="L304" s="135"/>
      <c r="M304" s="135"/>
      <c r="N304" s="135"/>
      <c r="O304" s="189"/>
      <c r="P304" s="135"/>
      <c r="Q304" s="229"/>
      <c r="R304" s="135"/>
      <c r="S304" s="135"/>
      <c r="T304" s="135"/>
      <c r="U304" s="135"/>
      <c r="V304" s="135"/>
    </row>
    <row r="305" customFormat="false" ht="15.75" hidden="false" customHeight="true" outlineLevel="0" collapsed="false">
      <c r="A305" s="135"/>
      <c r="B305" s="135"/>
      <c r="C305" s="135"/>
      <c r="D305" s="135"/>
      <c r="E305" s="135"/>
      <c r="F305" s="135"/>
      <c r="G305" s="135"/>
      <c r="H305" s="189"/>
      <c r="I305" s="182"/>
      <c r="J305" s="189"/>
      <c r="K305" s="135"/>
      <c r="L305" s="135"/>
      <c r="M305" s="135"/>
      <c r="N305" s="135"/>
      <c r="O305" s="189"/>
      <c r="P305" s="135"/>
      <c r="Q305" s="229"/>
      <c r="R305" s="135"/>
      <c r="S305" s="135"/>
      <c r="T305" s="135"/>
      <c r="U305" s="135"/>
      <c r="V305" s="135"/>
    </row>
    <row r="306" customFormat="false" ht="15.75" hidden="false" customHeight="true" outlineLevel="0" collapsed="false">
      <c r="A306" s="135"/>
      <c r="B306" s="135"/>
      <c r="C306" s="135"/>
      <c r="D306" s="135"/>
      <c r="E306" s="135"/>
      <c r="F306" s="135"/>
      <c r="G306" s="135"/>
      <c r="H306" s="189"/>
      <c r="I306" s="182"/>
      <c r="J306" s="189"/>
      <c r="K306" s="135"/>
      <c r="L306" s="135"/>
      <c r="M306" s="135"/>
      <c r="N306" s="135"/>
      <c r="O306" s="189"/>
      <c r="P306" s="135"/>
      <c r="Q306" s="229"/>
      <c r="R306" s="135"/>
      <c r="S306" s="135"/>
      <c r="T306" s="135"/>
      <c r="U306" s="135"/>
      <c r="V306" s="135"/>
    </row>
    <row r="307" customFormat="false" ht="15.75" hidden="false" customHeight="true" outlineLevel="0" collapsed="false">
      <c r="A307" s="135"/>
      <c r="B307" s="135"/>
      <c r="C307" s="135"/>
      <c r="D307" s="135"/>
      <c r="E307" s="135"/>
      <c r="F307" s="135"/>
      <c r="G307" s="135"/>
      <c r="H307" s="189"/>
      <c r="I307" s="182"/>
      <c r="J307" s="189"/>
      <c r="K307" s="135"/>
      <c r="L307" s="135"/>
      <c r="M307" s="135"/>
      <c r="N307" s="135"/>
      <c r="O307" s="189"/>
      <c r="P307" s="135"/>
      <c r="Q307" s="229"/>
      <c r="R307" s="135"/>
      <c r="S307" s="135"/>
      <c r="T307" s="135"/>
      <c r="U307" s="135"/>
      <c r="V307" s="135"/>
    </row>
    <row r="308" customFormat="false" ht="15.75" hidden="false" customHeight="true" outlineLevel="0" collapsed="false">
      <c r="A308" s="135"/>
      <c r="B308" s="135"/>
      <c r="C308" s="135"/>
      <c r="D308" s="135"/>
      <c r="E308" s="135"/>
      <c r="F308" s="135"/>
      <c r="G308" s="135"/>
      <c r="H308" s="189"/>
      <c r="I308" s="182"/>
      <c r="J308" s="189"/>
      <c r="K308" s="135"/>
      <c r="L308" s="135"/>
      <c r="M308" s="135"/>
      <c r="N308" s="135"/>
      <c r="O308" s="189"/>
      <c r="P308" s="135"/>
      <c r="Q308" s="229"/>
      <c r="R308" s="135"/>
      <c r="S308" s="135"/>
      <c r="T308" s="135"/>
      <c r="U308" s="135"/>
      <c r="V308" s="135"/>
    </row>
    <row r="309" customFormat="false" ht="15.75" hidden="false" customHeight="true" outlineLevel="0" collapsed="false">
      <c r="A309" s="135"/>
      <c r="B309" s="135"/>
      <c r="C309" s="135"/>
      <c r="D309" s="135"/>
      <c r="E309" s="135"/>
      <c r="F309" s="135"/>
      <c r="G309" s="135"/>
      <c r="H309" s="189"/>
      <c r="I309" s="182"/>
      <c r="J309" s="189"/>
      <c r="K309" s="135"/>
      <c r="L309" s="135"/>
      <c r="M309" s="135"/>
      <c r="N309" s="135"/>
      <c r="O309" s="189"/>
      <c r="P309" s="135"/>
      <c r="Q309" s="229"/>
      <c r="R309" s="135"/>
      <c r="S309" s="135"/>
      <c r="T309" s="135"/>
      <c r="U309" s="135"/>
      <c r="V309" s="135"/>
    </row>
    <row r="310" customFormat="false" ht="15.75" hidden="false" customHeight="true" outlineLevel="0" collapsed="false">
      <c r="A310" s="135"/>
      <c r="B310" s="135"/>
      <c r="C310" s="135"/>
      <c r="D310" s="135"/>
      <c r="E310" s="135"/>
      <c r="F310" s="135"/>
      <c r="G310" s="135"/>
      <c r="H310" s="189"/>
      <c r="I310" s="182"/>
      <c r="J310" s="189"/>
      <c r="K310" s="135"/>
      <c r="L310" s="135"/>
      <c r="M310" s="135"/>
      <c r="N310" s="135"/>
      <c r="O310" s="189"/>
      <c r="P310" s="135"/>
      <c r="Q310" s="229"/>
      <c r="R310" s="135"/>
      <c r="S310" s="135"/>
      <c r="T310" s="135"/>
      <c r="U310" s="135"/>
      <c r="V310" s="135"/>
    </row>
    <row r="311" customFormat="false" ht="15.75" hidden="false" customHeight="true" outlineLevel="0" collapsed="false">
      <c r="A311" s="135"/>
      <c r="B311" s="135"/>
      <c r="C311" s="135"/>
      <c r="D311" s="135"/>
      <c r="E311" s="135"/>
      <c r="F311" s="135"/>
      <c r="G311" s="135"/>
      <c r="H311" s="189"/>
      <c r="I311" s="182"/>
      <c r="J311" s="189"/>
      <c r="K311" s="135"/>
      <c r="L311" s="135"/>
      <c r="M311" s="135"/>
      <c r="N311" s="135"/>
      <c r="O311" s="189"/>
      <c r="P311" s="135"/>
      <c r="Q311" s="229"/>
      <c r="R311" s="135"/>
      <c r="S311" s="135"/>
      <c r="T311" s="135"/>
      <c r="U311" s="135"/>
      <c r="V311" s="135"/>
    </row>
    <row r="312" customFormat="false" ht="15.75" hidden="false" customHeight="true" outlineLevel="0" collapsed="false">
      <c r="A312" s="135"/>
      <c r="B312" s="135"/>
      <c r="C312" s="135"/>
      <c r="D312" s="135"/>
      <c r="E312" s="135"/>
      <c r="F312" s="135"/>
      <c r="G312" s="135"/>
      <c r="H312" s="189"/>
      <c r="I312" s="182"/>
      <c r="J312" s="189"/>
      <c r="K312" s="135"/>
      <c r="L312" s="135"/>
      <c r="M312" s="135"/>
      <c r="N312" s="135"/>
      <c r="O312" s="189"/>
      <c r="P312" s="135"/>
      <c r="Q312" s="229"/>
      <c r="R312" s="135"/>
      <c r="S312" s="135"/>
      <c r="T312" s="135"/>
      <c r="U312" s="135"/>
      <c r="V312" s="135"/>
    </row>
    <row r="313" customFormat="false" ht="15.75" hidden="false" customHeight="true" outlineLevel="0" collapsed="false">
      <c r="A313" s="135"/>
      <c r="B313" s="135"/>
      <c r="C313" s="135"/>
      <c r="D313" s="135"/>
      <c r="E313" s="135"/>
      <c r="F313" s="135"/>
      <c r="G313" s="135"/>
      <c r="H313" s="189"/>
      <c r="I313" s="182"/>
      <c r="J313" s="189"/>
      <c r="K313" s="135"/>
      <c r="L313" s="135"/>
      <c r="M313" s="135"/>
      <c r="N313" s="135"/>
      <c r="O313" s="189"/>
      <c r="P313" s="135"/>
      <c r="Q313" s="229"/>
      <c r="R313" s="135"/>
      <c r="S313" s="135"/>
      <c r="T313" s="135"/>
      <c r="U313" s="135"/>
      <c r="V313" s="135"/>
    </row>
    <row r="314" customFormat="false" ht="15.75" hidden="false" customHeight="true" outlineLevel="0" collapsed="false">
      <c r="A314" s="135"/>
      <c r="B314" s="135"/>
      <c r="C314" s="135"/>
      <c r="D314" s="135"/>
      <c r="E314" s="135"/>
      <c r="F314" s="135"/>
      <c r="G314" s="135"/>
      <c r="H314" s="189"/>
      <c r="I314" s="182"/>
      <c r="J314" s="189"/>
      <c r="K314" s="135"/>
      <c r="L314" s="135"/>
      <c r="M314" s="135"/>
      <c r="N314" s="135"/>
      <c r="O314" s="189"/>
      <c r="P314" s="135"/>
      <c r="Q314" s="229"/>
      <c r="R314" s="135"/>
      <c r="S314" s="135"/>
      <c r="T314" s="135"/>
      <c r="U314" s="135"/>
      <c r="V314" s="135"/>
    </row>
    <row r="315" customFormat="false" ht="15.75" hidden="false" customHeight="true" outlineLevel="0" collapsed="false">
      <c r="A315" s="135"/>
      <c r="B315" s="135"/>
      <c r="C315" s="135"/>
      <c r="D315" s="135"/>
      <c r="E315" s="135"/>
      <c r="F315" s="135"/>
      <c r="G315" s="135"/>
      <c r="H315" s="189"/>
      <c r="I315" s="182"/>
      <c r="J315" s="189"/>
      <c r="K315" s="135"/>
      <c r="L315" s="135"/>
      <c r="M315" s="135"/>
      <c r="N315" s="135"/>
      <c r="O315" s="189"/>
      <c r="P315" s="135"/>
      <c r="Q315" s="229"/>
      <c r="R315" s="135"/>
      <c r="S315" s="135"/>
      <c r="T315" s="135"/>
      <c r="U315" s="135"/>
      <c r="V315" s="135"/>
    </row>
    <row r="316" customFormat="false" ht="15.75" hidden="false" customHeight="true" outlineLevel="0" collapsed="false">
      <c r="A316" s="135"/>
      <c r="B316" s="135"/>
      <c r="C316" s="135"/>
      <c r="D316" s="135"/>
      <c r="E316" s="135"/>
      <c r="F316" s="135"/>
      <c r="G316" s="135"/>
      <c r="H316" s="189"/>
      <c r="I316" s="182"/>
      <c r="J316" s="189"/>
      <c r="K316" s="135"/>
      <c r="L316" s="135"/>
      <c r="M316" s="135"/>
      <c r="N316" s="135"/>
      <c r="O316" s="189"/>
      <c r="P316" s="135"/>
      <c r="Q316" s="229"/>
      <c r="R316" s="135"/>
      <c r="S316" s="135"/>
      <c r="T316" s="135"/>
      <c r="U316" s="135"/>
      <c r="V316" s="135"/>
    </row>
    <row r="317" customFormat="false" ht="15.75" hidden="false" customHeight="true" outlineLevel="0" collapsed="false">
      <c r="A317" s="135"/>
      <c r="B317" s="135"/>
      <c r="C317" s="135"/>
      <c r="D317" s="135"/>
      <c r="E317" s="135"/>
      <c r="F317" s="135"/>
      <c r="G317" s="135"/>
      <c r="H317" s="189"/>
      <c r="I317" s="182"/>
      <c r="J317" s="189"/>
      <c r="K317" s="135"/>
      <c r="L317" s="135"/>
      <c r="M317" s="135"/>
      <c r="N317" s="135"/>
      <c r="O317" s="189"/>
      <c r="P317" s="135"/>
      <c r="Q317" s="229"/>
      <c r="R317" s="135"/>
      <c r="S317" s="135"/>
      <c r="T317" s="135"/>
      <c r="U317" s="135"/>
      <c r="V317" s="135"/>
    </row>
    <row r="318" customFormat="false" ht="15.75" hidden="false" customHeight="true" outlineLevel="0" collapsed="false">
      <c r="A318" s="135"/>
      <c r="B318" s="135"/>
      <c r="C318" s="135"/>
      <c r="D318" s="135"/>
      <c r="E318" s="135"/>
      <c r="F318" s="135"/>
      <c r="G318" s="135"/>
      <c r="H318" s="189"/>
      <c r="I318" s="182"/>
      <c r="J318" s="189"/>
      <c r="K318" s="135"/>
      <c r="L318" s="135"/>
      <c r="M318" s="135"/>
      <c r="N318" s="135"/>
      <c r="O318" s="189"/>
      <c r="P318" s="135"/>
      <c r="Q318" s="229"/>
      <c r="R318" s="135"/>
      <c r="S318" s="135"/>
      <c r="T318" s="135"/>
      <c r="U318" s="135"/>
      <c r="V318" s="135"/>
    </row>
    <row r="319" customFormat="false" ht="15.75" hidden="false" customHeight="true" outlineLevel="0" collapsed="false">
      <c r="A319" s="135"/>
      <c r="B319" s="135"/>
      <c r="C319" s="135"/>
      <c r="D319" s="135"/>
      <c r="E319" s="135"/>
      <c r="F319" s="135"/>
      <c r="G319" s="135"/>
      <c r="H319" s="189"/>
      <c r="I319" s="182"/>
      <c r="J319" s="189"/>
      <c r="K319" s="135"/>
      <c r="L319" s="135"/>
      <c r="M319" s="135"/>
      <c r="N319" s="135"/>
      <c r="O319" s="189"/>
      <c r="P319" s="135"/>
      <c r="Q319" s="229"/>
      <c r="R319" s="135"/>
      <c r="S319" s="135"/>
      <c r="T319" s="135"/>
      <c r="U319" s="135"/>
      <c r="V319" s="135"/>
    </row>
    <row r="320" customFormat="false" ht="15.75" hidden="false" customHeight="true" outlineLevel="0" collapsed="false">
      <c r="A320" s="135"/>
      <c r="B320" s="135"/>
      <c r="C320" s="135"/>
      <c r="D320" s="135"/>
      <c r="E320" s="135"/>
      <c r="F320" s="135"/>
      <c r="G320" s="135"/>
      <c r="H320" s="189"/>
      <c r="I320" s="182"/>
      <c r="J320" s="189"/>
      <c r="K320" s="135"/>
      <c r="L320" s="135"/>
      <c r="M320" s="135"/>
      <c r="N320" s="135"/>
      <c r="O320" s="189"/>
      <c r="P320" s="135"/>
      <c r="Q320" s="229"/>
      <c r="R320" s="135"/>
      <c r="S320" s="135"/>
      <c r="T320" s="135"/>
      <c r="U320" s="135"/>
      <c r="V320" s="135"/>
    </row>
    <row r="321" customFormat="false" ht="15.75" hidden="false" customHeight="true" outlineLevel="0" collapsed="false">
      <c r="A321" s="135"/>
      <c r="B321" s="135"/>
      <c r="C321" s="135"/>
      <c r="D321" s="135"/>
      <c r="E321" s="135"/>
      <c r="F321" s="135"/>
      <c r="G321" s="135"/>
      <c r="H321" s="189"/>
      <c r="I321" s="182"/>
      <c r="J321" s="189"/>
      <c r="K321" s="135"/>
      <c r="L321" s="135"/>
      <c r="M321" s="135"/>
      <c r="N321" s="135"/>
      <c r="O321" s="189"/>
      <c r="P321" s="135"/>
      <c r="Q321" s="229"/>
      <c r="R321" s="135"/>
      <c r="S321" s="135"/>
      <c r="T321" s="135"/>
      <c r="U321" s="135"/>
      <c r="V321" s="135"/>
    </row>
    <row r="322" customFormat="false" ht="15.75" hidden="false" customHeight="true" outlineLevel="0" collapsed="false">
      <c r="A322" s="135"/>
      <c r="B322" s="135"/>
      <c r="C322" s="135"/>
      <c r="D322" s="135"/>
      <c r="E322" s="135"/>
      <c r="F322" s="135"/>
      <c r="G322" s="135"/>
      <c r="H322" s="189"/>
      <c r="I322" s="182"/>
      <c r="J322" s="189"/>
      <c r="K322" s="135"/>
      <c r="L322" s="135"/>
      <c r="M322" s="135"/>
      <c r="N322" s="135"/>
      <c r="O322" s="189"/>
      <c r="P322" s="135"/>
      <c r="Q322" s="229"/>
      <c r="R322" s="135"/>
      <c r="S322" s="135"/>
      <c r="T322" s="135"/>
      <c r="U322" s="135"/>
      <c r="V322" s="135"/>
    </row>
    <row r="323" customFormat="false" ht="15.75" hidden="false" customHeight="true" outlineLevel="0" collapsed="false">
      <c r="A323" s="135"/>
      <c r="B323" s="135"/>
      <c r="C323" s="135"/>
      <c r="D323" s="135"/>
      <c r="E323" s="135"/>
      <c r="F323" s="135"/>
      <c r="G323" s="135"/>
      <c r="H323" s="189"/>
      <c r="I323" s="182"/>
      <c r="J323" s="189"/>
      <c r="K323" s="135"/>
      <c r="L323" s="135"/>
      <c r="M323" s="135"/>
      <c r="N323" s="135"/>
      <c r="O323" s="189"/>
      <c r="P323" s="135"/>
      <c r="Q323" s="229"/>
      <c r="R323" s="135"/>
      <c r="S323" s="135"/>
      <c r="T323" s="135"/>
      <c r="U323" s="135"/>
      <c r="V323" s="135"/>
    </row>
    <row r="324" customFormat="false" ht="15.75" hidden="false" customHeight="true" outlineLevel="0" collapsed="false">
      <c r="A324" s="135"/>
      <c r="B324" s="135"/>
      <c r="C324" s="135"/>
      <c r="D324" s="135"/>
      <c r="E324" s="135"/>
      <c r="F324" s="135"/>
      <c r="G324" s="135"/>
      <c r="H324" s="189"/>
      <c r="I324" s="182"/>
      <c r="J324" s="189"/>
      <c r="K324" s="135"/>
      <c r="L324" s="135"/>
      <c r="M324" s="135"/>
      <c r="N324" s="135"/>
      <c r="O324" s="189"/>
      <c r="P324" s="135"/>
      <c r="Q324" s="229"/>
      <c r="R324" s="135"/>
      <c r="S324" s="135"/>
      <c r="T324" s="135"/>
      <c r="U324" s="135"/>
      <c r="V324" s="135"/>
    </row>
    <row r="325" customFormat="false" ht="15.75" hidden="false" customHeight="true" outlineLevel="0" collapsed="false">
      <c r="A325" s="135"/>
      <c r="B325" s="135"/>
      <c r="C325" s="135"/>
      <c r="D325" s="135"/>
      <c r="E325" s="135"/>
      <c r="F325" s="135"/>
      <c r="G325" s="135"/>
      <c r="H325" s="189"/>
      <c r="I325" s="182"/>
      <c r="J325" s="189"/>
      <c r="K325" s="135"/>
      <c r="L325" s="135"/>
      <c r="M325" s="135"/>
      <c r="N325" s="135"/>
      <c r="O325" s="189"/>
      <c r="P325" s="135"/>
      <c r="Q325" s="229"/>
      <c r="R325" s="135"/>
      <c r="S325" s="135"/>
      <c r="T325" s="135"/>
      <c r="U325" s="135"/>
      <c r="V325" s="135"/>
    </row>
    <row r="326" customFormat="false" ht="15.75" hidden="false" customHeight="true" outlineLevel="0" collapsed="false">
      <c r="A326" s="135"/>
      <c r="B326" s="135"/>
      <c r="C326" s="135"/>
      <c r="D326" s="135"/>
      <c r="E326" s="135"/>
      <c r="F326" s="135"/>
      <c r="G326" s="135"/>
      <c r="H326" s="189"/>
      <c r="I326" s="182"/>
      <c r="J326" s="189"/>
      <c r="K326" s="135"/>
      <c r="L326" s="135"/>
      <c r="M326" s="135"/>
      <c r="N326" s="135"/>
      <c r="O326" s="189"/>
      <c r="P326" s="135"/>
      <c r="Q326" s="229"/>
      <c r="R326" s="135"/>
      <c r="S326" s="135"/>
      <c r="T326" s="135"/>
      <c r="U326" s="135"/>
      <c r="V326" s="135"/>
    </row>
    <row r="327" customFormat="false" ht="15.75" hidden="false" customHeight="true" outlineLevel="0" collapsed="false">
      <c r="A327" s="135"/>
      <c r="B327" s="135"/>
      <c r="C327" s="135"/>
      <c r="D327" s="135"/>
      <c r="E327" s="135"/>
      <c r="F327" s="135"/>
      <c r="G327" s="135"/>
      <c r="H327" s="189"/>
      <c r="I327" s="182"/>
      <c r="J327" s="189"/>
      <c r="K327" s="135"/>
      <c r="L327" s="135"/>
      <c r="M327" s="135"/>
      <c r="N327" s="135"/>
      <c r="O327" s="189"/>
      <c r="P327" s="135"/>
      <c r="Q327" s="229"/>
      <c r="R327" s="135"/>
      <c r="S327" s="135"/>
      <c r="T327" s="135"/>
      <c r="U327" s="135"/>
      <c r="V327" s="135"/>
    </row>
    <row r="328" customFormat="false" ht="15.75" hidden="false" customHeight="true" outlineLevel="0" collapsed="false">
      <c r="A328" s="135"/>
      <c r="B328" s="135"/>
      <c r="C328" s="135"/>
      <c r="D328" s="135"/>
      <c r="E328" s="135"/>
      <c r="F328" s="135"/>
      <c r="G328" s="135"/>
      <c r="H328" s="189"/>
      <c r="I328" s="182"/>
      <c r="J328" s="189"/>
      <c r="K328" s="135"/>
      <c r="L328" s="135"/>
      <c r="M328" s="135"/>
      <c r="N328" s="135"/>
      <c r="O328" s="189"/>
      <c r="P328" s="135"/>
      <c r="Q328" s="229"/>
      <c r="R328" s="135"/>
      <c r="S328" s="135"/>
      <c r="T328" s="135"/>
      <c r="U328" s="135"/>
      <c r="V328" s="135"/>
    </row>
    <row r="329" customFormat="false" ht="15.75" hidden="false" customHeight="true" outlineLevel="0" collapsed="false">
      <c r="A329" s="135"/>
      <c r="B329" s="135"/>
      <c r="C329" s="135"/>
      <c r="D329" s="135"/>
      <c r="E329" s="135"/>
      <c r="F329" s="135"/>
      <c r="G329" s="135"/>
      <c r="H329" s="189"/>
      <c r="I329" s="182"/>
      <c r="J329" s="189"/>
      <c r="K329" s="135"/>
      <c r="L329" s="135"/>
      <c r="M329" s="135"/>
      <c r="N329" s="135"/>
      <c r="O329" s="189"/>
      <c r="P329" s="135"/>
      <c r="Q329" s="229"/>
      <c r="R329" s="135"/>
      <c r="S329" s="135"/>
      <c r="T329" s="135"/>
      <c r="U329" s="135"/>
      <c r="V329" s="135"/>
    </row>
    <row r="330" customFormat="false" ht="15.75" hidden="false" customHeight="true" outlineLevel="0" collapsed="false">
      <c r="A330" s="135"/>
      <c r="B330" s="135"/>
      <c r="C330" s="135"/>
      <c r="D330" s="135"/>
      <c r="E330" s="135"/>
      <c r="F330" s="135"/>
      <c r="G330" s="135"/>
      <c r="H330" s="189"/>
      <c r="I330" s="182"/>
      <c r="J330" s="189"/>
      <c r="K330" s="135"/>
      <c r="L330" s="135"/>
      <c r="M330" s="135"/>
      <c r="N330" s="135"/>
      <c r="O330" s="189"/>
      <c r="P330" s="135"/>
      <c r="Q330" s="229"/>
      <c r="R330" s="135"/>
      <c r="S330" s="135"/>
      <c r="T330" s="135"/>
      <c r="U330" s="135"/>
      <c r="V330" s="135"/>
    </row>
    <row r="331" customFormat="false" ht="15.75" hidden="false" customHeight="true" outlineLevel="0" collapsed="false">
      <c r="A331" s="135"/>
      <c r="B331" s="135"/>
      <c r="C331" s="135"/>
      <c r="D331" s="135"/>
      <c r="E331" s="135"/>
      <c r="F331" s="135"/>
      <c r="G331" s="135"/>
      <c r="H331" s="189"/>
      <c r="I331" s="182"/>
      <c r="J331" s="189"/>
      <c r="K331" s="135"/>
      <c r="L331" s="135"/>
      <c r="M331" s="135"/>
      <c r="N331" s="135"/>
      <c r="O331" s="189"/>
      <c r="P331" s="135"/>
      <c r="Q331" s="229"/>
      <c r="R331" s="135"/>
      <c r="S331" s="135"/>
      <c r="T331" s="135"/>
      <c r="U331" s="135"/>
      <c r="V331" s="135"/>
    </row>
    <row r="332" customFormat="false" ht="15.75" hidden="false" customHeight="true" outlineLevel="0" collapsed="false">
      <c r="A332" s="135"/>
      <c r="B332" s="135"/>
      <c r="C332" s="135"/>
      <c r="D332" s="135"/>
      <c r="E332" s="135"/>
      <c r="F332" s="135"/>
      <c r="G332" s="135"/>
      <c r="H332" s="189"/>
      <c r="I332" s="182"/>
      <c r="J332" s="189"/>
      <c r="K332" s="135"/>
      <c r="L332" s="135"/>
      <c r="M332" s="135"/>
      <c r="N332" s="135"/>
      <c r="O332" s="189"/>
      <c r="P332" s="135"/>
      <c r="Q332" s="229"/>
      <c r="R332" s="135"/>
      <c r="S332" s="135"/>
      <c r="T332" s="135"/>
      <c r="U332" s="135"/>
      <c r="V332" s="135"/>
    </row>
    <row r="333" customFormat="false" ht="15.75" hidden="false" customHeight="true" outlineLevel="0" collapsed="false">
      <c r="A333" s="135"/>
      <c r="B333" s="135"/>
      <c r="C333" s="135"/>
      <c r="D333" s="135"/>
      <c r="E333" s="135"/>
      <c r="F333" s="135"/>
      <c r="G333" s="135"/>
      <c r="H333" s="189"/>
      <c r="I333" s="182"/>
      <c r="J333" s="189"/>
      <c r="K333" s="135"/>
      <c r="L333" s="135"/>
      <c r="M333" s="135"/>
      <c r="N333" s="135"/>
      <c r="O333" s="189"/>
      <c r="P333" s="135"/>
      <c r="Q333" s="229"/>
      <c r="R333" s="135"/>
      <c r="S333" s="135"/>
      <c r="T333" s="135"/>
      <c r="U333" s="135"/>
      <c r="V333" s="135"/>
    </row>
    <row r="334" customFormat="false" ht="15.75" hidden="false" customHeight="true" outlineLevel="0" collapsed="false">
      <c r="A334" s="135"/>
      <c r="B334" s="135"/>
      <c r="C334" s="135"/>
      <c r="D334" s="135"/>
      <c r="E334" s="135"/>
      <c r="F334" s="135"/>
      <c r="G334" s="135"/>
      <c r="H334" s="189"/>
      <c r="I334" s="182"/>
      <c r="J334" s="189"/>
      <c r="K334" s="135"/>
      <c r="L334" s="135"/>
      <c r="M334" s="135"/>
      <c r="N334" s="135"/>
      <c r="O334" s="189"/>
      <c r="P334" s="135"/>
      <c r="Q334" s="229"/>
      <c r="R334" s="135"/>
      <c r="S334" s="135"/>
      <c r="T334" s="135"/>
      <c r="U334" s="135"/>
      <c r="V334" s="135"/>
    </row>
    <row r="335" customFormat="false" ht="15.75" hidden="false" customHeight="true" outlineLevel="0" collapsed="false">
      <c r="A335" s="135"/>
      <c r="B335" s="135"/>
      <c r="C335" s="135"/>
      <c r="D335" s="135"/>
      <c r="E335" s="135"/>
      <c r="F335" s="135"/>
      <c r="G335" s="135"/>
      <c r="H335" s="189"/>
      <c r="I335" s="182"/>
      <c r="J335" s="189"/>
      <c r="K335" s="135"/>
      <c r="L335" s="135"/>
      <c r="M335" s="135"/>
      <c r="N335" s="135"/>
      <c r="O335" s="189"/>
      <c r="P335" s="135"/>
      <c r="Q335" s="229"/>
      <c r="R335" s="135"/>
      <c r="S335" s="135"/>
      <c r="T335" s="135"/>
      <c r="U335" s="135"/>
      <c r="V335" s="135"/>
    </row>
    <row r="336" customFormat="false" ht="15.75" hidden="false" customHeight="true" outlineLevel="0" collapsed="false">
      <c r="A336" s="135"/>
      <c r="B336" s="135"/>
      <c r="C336" s="135"/>
      <c r="D336" s="135"/>
      <c r="E336" s="135"/>
      <c r="F336" s="135"/>
      <c r="G336" s="135"/>
      <c r="H336" s="189"/>
      <c r="I336" s="182"/>
      <c r="J336" s="189"/>
      <c r="K336" s="135"/>
      <c r="L336" s="135"/>
      <c r="M336" s="135"/>
      <c r="N336" s="135"/>
      <c r="O336" s="189"/>
      <c r="P336" s="135"/>
      <c r="Q336" s="229"/>
      <c r="R336" s="135"/>
      <c r="S336" s="135"/>
      <c r="T336" s="135"/>
      <c r="U336" s="135"/>
      <c r="V336" s="135"/>
    </row>
    <row r="337" customFormat="false" ht="15.75" hidden="false" customHeight="true" outlineLevel="0" collapsed="false">
      <c r="A337" s="135"/>
      <c r="B337" s="135"/>
      <c r="C337" s="135"/>
      <c r="D337" s="135"/>
      <c r="E337" s="135"/>
      <c r="F337" s="135"/>
      <c r="G337" s="135"/>
      <c r="H337" s="189"/>
      <c r="I337" s="182"/>
      <c r="J337" s="189"/>
      <c r="K337" s="135"/>
      <c r="L337" s="135"/>
      <c r="M337" s="135"/>
      <c r="N337" s="135"/>
      <c r="O337" s="189"/>
      <c r="P337" s="135"/>
      <c r="Q337" s="229"/>
      <c r="R337" s="135"/>
      <c r="S337" s="135"/>
      <c r="T337" s="135"/>
      <c r="U337" s="135"/>
      <c r="V337" s="135"/>
    </row>
    <row r="338" customFormat="false" ht="15.75" hidden="false" customHeight="true" outlineLevel="0" collapsed="false">
      <c r="A338" s="135"/>
      <c r="B338" s="135"/>
      <c r="C338" s="135"/>
      <c r="D338" s="135"/>
      <c r="E338" s="135"/>
      <c r="F338" s="135"/>
      <c r="G338" s="135"/>
      <c r="H338" s="189"/>
      <c r="I338" s="182"/>
      <c r="J338" s="189"/>
      <c r="K338" s="135"/>
      <c r="L338" s="135"/>
      <c r="M338" s="135"/>
      <c r="N338" s="135"/>
      <c r="O338" s="189"/>
      <c r="P338" s="135"/>
      <c r="Q338" s="229"/>
      <c r="R338" s="135"/>
      <c r="S338" s="135"/>
      <c r="T338" s="135"/>
      <c r="U338" s="135"/>
      <c r="V338" s="135"/>
    </row>
    <row r="339" customFormat="false" ht="15.75" hidden="false" customHeight="true" outlineLevel="0" collapsed="false">
      <c r="A339" s="135"/>
      <c r="B339" s="135"/>
      <c r="C339" s="135"/>
      <c r="D339" s="135"/>
      <c r="E339" s="135"/>
      <c r="F339" s="135"/>
      <c r="G339" s="135"/>
      <c r="H339" s="189"/>
      <c r="I339" s="182"/>
      <c r="J339" s="189"/>
      <c r="K339" s="135"/>
      <c r="L339" s="135"/>
      <c r="M339" s="135"/>
      <c r="N339" s="135"/>
      <c r="O339" s="189"/>
      <c r="P339" s="135"/>
      <c r="Q339" s="229"/>
      <c r="R339" s="135"/>
      <c r="S339" s="135"/>
      <c r="T339" s="135"/>
      <c r="U339" s="135"/>
      <c r="V339" s="135"/>
    </row>
    <row r="340" customFormat="false" ht="15.75" hidden="false" customHeight="true" outlineLevel="0" collapsed="false">
      <c r="A340" s="135"/>
      <c r="B340" s="135"/>
      <c r="C340" s="135"/>
      <c r="D340" s="135"/>
      <c r="E340" s="135"/>
      <c r="F340" s="135"/>
      <c r="G340" s="135"/>
      <c r="H340" s="189"/>
      <c r="I340" s="182"/>
      <c r="J340" s="189"/>
      <c r="K340" s="135"/>
      <c r="L340" s="135"/>
      <c r="M340" s="135"/>
      <c r="N340" s="135"/>
      <c r="O340" s="189"/>
      <c r="P340" s="135"/>
      <c r="Q340" s="229"/>
      <c r="R340" s="135"/>
      <c r="S340" s="135"/>
      <c r="T340" s="135"/>
      <c r="U340" s="135"/>
      <c r="V340" s="135"/>
    </row>
    <row r="341" customFormat="false" ht="15.75" hidden="false" customHeight="true" outlineLevel="0" collapsed="false">
      <c r="A341" s="135"/>
      <c r="B341" s="135"/>
      <c r="C341" s="135"/>
      <c r="D341" s="135"/>
      <c r="E341" s="135"/>
      <c r="F341" s="135"/>
      <c r="G341" s="135"/>
      <c r="H341" s="189"/>
      <c r="I341" s="182"/>
      <c r="J341" s="189"/>
      <c r="K341" s="135"/>
      <c r="L341" s="135"/>
      <c r="M341" s="135"/>
      <c r="N341" s="135"/>
      <c r="O341" s="189"/>
      <c r="P341" s="135"/>
      <c r="Q341" s="229"/>
      <c r="R341" s="135"/>
      <c r="S341" s="135"/>
      <c r="T341" s="135"/>
      <c r="U341" s="135"/>
      <c r="V341" s="135"/>
    </row>
    <row r="342" customFormat="false" ht="15.75" hidden="false" customHeight="true" outlineLevel="0" collapsed="false">
      <c r="A342" s="135"/>
      <c r="B342" s="135"/>
      <c r="C342" s="135"/>
      <c r="D342" s="135"/>
      <c r="E342" s="135"/>
      <c r="F342" s="135"/>
      <c r="G342" s="135"/>
      <c r="H342" s="189"/>
      <c r="I342" s="182"/>
      <c r="J342" s="189"/>
      <c r="K342" s="135"/>
      <c r="L342" s="135"/>
      <c r="M342" s="135"/>
      <c r="N342" s="135"/>
      <c r="O342" s="189"/>
      <c r="P342" s="135"/>
      <c r="Q342" s="229"/>
      <c r="R342" s="135"/>
      <c r="S342" s="135"/>
      <c r="T342" s="135"/>
      <c r="U342" s="135"/>
      <c r="V342" s="135"/>
    </row>
    <row r="343" customFormat="false" ht="15.75" hidden="false" customHeight="true" outlineLevel="0" collapsed="false">
      <c r="A343" s="135"/>
      <c r="B343" s="135"/>
      <c r="C343" s="135"/>
      <c r="D343" s="135"/>
      <c r="E343" s="135"/>
      <c r="F343" s="135"/>
      <c r="G343" s="135"/>
      <c r="H343" s="189"/>
      <c r="I343" s="182"/>
      <c r="J343" s="189"/>
      <c r="K343" s="135"/>
      <c r="L343" s="135"/>
      <c r="M343" s="135"/>
      <c r="N343" s="135"/>
      <c r="O343" s="189"/>
      <c r="P343" s="135"/>
      <c r="Q343" s="229"/>
      <c r="R343" s="135"/>
      <c r="S343" s="135"/>
      <c r="T343" s="135"/>
      <c r="U343" s="135"/>
      <c r="V343" s="135"/>
    </row>
    <row r="344" customFormat="false" ht="15.75" hidden="false" customHeight="true" outlineLevel="0" collapsed="false">
      <c r="A344" s="135"/>
      <c r="B344" s="135"/>
      <c r="C344" s="135"/>
      <c r="D344" s="135"/>
      <c r="E344" s="135"/>
      <c r="F344" s="135"/>
      <c r="G344" s="135"/>
      <c r="H344" s="189"/>
      <c r="I344" s="182"/>
      <c r="J344" s="189"/>
      <c r="K344" s="135"/>
      <c r="L344" s="135"/>
      <c r="M344" s="135"/>
      <c r="N344" s="135"/>
      <c r="O344" s="189"/>
      <c r="P344" s="135"/>
      <c r="Q344" s="229"/>
      <c r="R344" s="135"/>
      <c r="S344" s="135"/>
      <c r="T344" s="135"/>
      <c r="U344" s="135"/>
      <c r="V344" s="135"/>
    </row>
    <row r="345" customFormat="false" ht="15.75" hidden="false" customHeight="true" outlineLevel="0" collapsed="false">
      <c r="A345" s="135"/>
      <c r="B345" s="135"/>
      <c r="C345" s="135"/>
      <c r="D345" s="135"/>
      <c r="E345" s="135"/>
      <c r="F345" s="135"/>
      <c r="G345" s="135"/>
      <c r="H345" s="189"/>
      <c r="I345" s="182"/>
      <c r="J345" s="189"/>
      <c r="K345" s="135"/>
      <c r="L345" s="135"/>
      <c r="M345" s="135"/>
      <c r="N345" s="135"/>
      <c r="O345" s="189"/>
      <c r="P345" s="135"/>
      <c r="Q345" s="229"/>
      <c r="R345" s="135"/>
      <c r="S345" s="135"/>
      <c r="T345" s="135"/>
      <c r="U345" s="135"/>
      <c r="V345" s="135"/>
    </row>
    <row r="346" customFormat="false" ht="15.75" hidden="false" customHeight="true" outlineLevel="0" collapsed="false">
      <c r="A346" s="135"/>
      <c r="B346" s="135"/>
      <c r="C346" s="135"/>
      <c r="D346" s="135"/>
      <c r="E346" s="135"/>
      <c r="F346" s="135"/>
      <c r="G346" s="135"/>
      <c r="H346" s="189"/>
      <c r="I346" s="182"/>
      <c r="J346" s="189"/>
      <c r="K346" s="135"/>
      <c r="L346" s="135"/>
      <c r="M346" s="135"/>
      <c r="N346" s="135"/>
      <c r="O346" s="189"/>
      <c r="P346" s="135"/>
      <c r="Q346" s="229"/>
      <c r="R346" s="135"/>
      <c r="S346" s="135"/>
      <c r="T346" s="135"/>
      <c r="U346" s="135"/>
      <c r="V346" s="135"/>
    </row>
    <row r="347" customFormat="false" ht="15.75" hidden="false" customHeight="true" outlineLevel="0" collapsed="false">
      <c r="A347" s="135"/>
      <c r="B347" s="135"/>
      <c r="C347" s="135"/>
      <c r="D347" s="135"/>
      <c r="E347" s="135"/>
      <c r="F347" s="135"/>
      <c r="G347" s="135"/>
      <c r="H347" s="189"/>
      <c r="I347" s="182"/>
      <c r="J347" s="189"/>
      <c r="K347" s="135"/>
      <c r="L347" s="135"/>
      <c r="M347" s="135"/>
      <c r="N347" s="135"/>
      <c r="O347" s="189"/>
      <c r="P347" s="135"/>
      <c r="Q347" s="229"/>
      <c r="R347" s="135"/>
      <c r="S347" s="135"/>
      <c r="T347" s="135"/>
      <c r="U347" s="135"/>
      <c r="V347" s="135"/>
    </row>
    <row r="348" customFormat="false" ht="15.75" hidden="false" customHeight="true" outlineLevel="0" collapsed="false">
      <c r="A348" s="135"/>
      <c r="B348" s="135"/>
      <c r="C348" s="135"/>
      <c r="D348" s="135"/>
      <c r="E348" s="135"/>
      <c r="F348" s="135"/>
      <c r="G348" s="135"/>
      <c r="H348" s="189"/>
      <c r="I348" s="182"/>
      <c r="J348" s="189"/>
      <c r="K348" s="135"/>
      <c r="L348" s="135"/>
      <c r="M348" s="135"/>
      <c r="N348" s="135"/>
      <c r="O348" s="189"/>
      <c r="P348" s="135"/>
      <c r="Q348" s="229"/>
      <c r="R348" s="135"/>
      <c r="S348" s="135"/>
      <c r="T348" s="135"/>
      <c r="U348" s="135"/>
      <c r="V348" s="135"/>
    </row>
    <row r="349" customFormat="false" ht="15.75" hidden="false" customHeight="true" outlineLevel="0" collapsed="false">
      <c r="A349" s="135"/>
      <c r="B349" s="135"/>
      <c r="C349" s="135"/>
      <c r="D349" s="135"/>
      <c r="E349" s="135"/>
      <c r="F349" s="135"/>
      <c r="G349" s="135"/>
      <c r="H349" s="189"/>
      <c r="I349" s="182"/>
      <c r="J349" s="189"/>
      <c r="K349" s="135"/>
      <c r="L349" s="135"/>
      <c r="M349" s="135"/>
      <c r="N349" s="135"/>
      <c r="O349" s="189"/>
      <c r="P349" s="135"/>
      <c r="Q349" s="229"/>
      <c r="R349" s="135"/>
      <c r="S349" s="135"/>
      <c r="T349" s="135"/>
      <c r="U349" s="135"/>
      <c r="V349" s="135"/>
    </row>
    <row r="350" customFormat="false" ht="15.75" hidden="false" customHeight="true" outlineLevel="0" collapsed="false">
      <c r="A350" s="135"/>
      <c r="B350" s="135"/>
      <c r="C350" s="135"/>
      <c r="D350" s="135"/>
      <c r="E350" s="135"/>
      <c r="F350" s="135"/>
      <c r="G350" s="135"/>
      <c r="H350" s="189"/>
      <c r="I350" s="182"/>
      <c r="J350" s="189"/>
      <c r="K350" s="135"/>
      <c r="L350" s="135"/>
      <c r="M350" s="135"/>
      <c r="N350" s="135"/>
      <c r="O350" s="189"/>
      <c r="P350" s="135"/>
      <c r="Q350" s="229"/>
      <c r="R350" s="135"/>
      <c r="S350" s="135"/>
      <c r="T350" s="135"/>
      <c r="U350" s="135"/>
      <c r="V350" s="135"/>
    </row>
    <row r="351" customFormat="false" ht="15.75" hidden="false" customHeight="true" outlineLevel="0" collapsed="false">
      <c r="A351" s="135"/>
      <c r="B351" s="135"/>
      <c r="C351" s="135"/>
      <c r="D351" s="135"/>
      <c r="E351" s="135"/>
      <c r="F351" s="135"/>
      <c r="G351" s="135"/>
      <c r="H351" s="189"/>
      <c r="I351" s="182"/>
      <c r="J351" s="189"/>
      <c r="K351" s="135"/>
      <c r="L351" s="135"/>
      <c r="M351" s="135"/>
      <c r="N351" s="135"/>
      <c r="O351" s="189"/>
      <c r="P351" s="135"/>
      <c r="Q351" s="229"/>
      <c r="R351" s="135"/>
      <c r="S351" s="135"/>
      <c r="T351" s="135"/>
      <c r="U351" s="135"/>
      <c r="V351" s="135"/>
    </row>
    <row r="352" customFormat="false" ht="15.75" hidden="false" customHeight="true" outlineLevel="0" collapsed="false">
      <c r="A352" s="135"/>
      <c r="B352" s="135"/>
      <c r="C352" s="135"/>
      <c r="D352" s="135"/>
      <c r="E352" s="135"/>
      <c r="F352" s="135"/>
      <c r="G352" s="135"/>
      <c r="H352" s="189"/>
      <c r="I352" s="182"/>
      <c r="J352" s="189"/>
      <c r="K352" s="135"/>
      <c r="L352" s="135"/>
      <c r="M352" s="135"/>
      <c r="N352" s="135"/>
      <c r="O352" s="189"/>
      <c r="P352" s="135"/>
      <c r="Q352" s="229"/>
      <c r="R352" s="135"/>
      <c r="S352" s="135"/>
      <c r="T352" s="135"/>
      <c r="U352" s="135"/>
      <c r="V352" s="135"/>
    </row>
    <row r="353" customFormat="false" ht="15.75" hidden="false" customHeight="true" outlineLevel="0" collapsed="false">
      <c r="A353" s="135"/>
      <c r="B353" s="135"/>
      <c r="C353" s="135"/>
      <c r="D353" s="135"/>
      <c r="E353" s="135"/>
      <c r="F353" s="135"/>
      <c r="G353" s="135"/>
      <c r="H353" s="189"/>
      <c r="I353" s="182"/>
      <c r="J353" s="189"/>
      <c r="K353" s="135"/>
      <c r="L353" s="135"/>
      <c r="M353" s="135"/>
      <c r="N353" s="135"/>
      <c r="O353" s="189"/>
      <c r="P353" s="135"/>
      <c r="Q353" s="229"/>
      <c r="R353" s="135"/>
      <c r="S353" s="135"/>
      <c r="T353" s="135"/>
      <c r="U353" s="135"/>
      <c r="V353" s="135"/>
    </row>
    <row r="354" customFormat="false" ht="15.75" hidden="false" customHeight="true" outlineLevel="0" collapsed="false">
      <c r="A354" s="135"/>
      <c r="B354" s="135"/>
      <c r="C354" s="135"/>
      <c r="D354" s="135"/>
      <c r="E354" s="135"/>
      <c r="F354" s="135"/>
      <c r="G354" s="135"/>
      <c r="H354" s="189"/>
      <c r="I354" s="182"/>
      <c r="J354" s="189"/>
      <c r="K354" s="135"/>
      <c r="L354" s="135"/>
      <c r="M354" s="135"/>
      <c r="N354" s="135"/>
      <c r="O354" s="189"/>
      <c r="P354" s="135"/>
      <c r="Q354" s="229"/>
      <c r="R354" s="135"/>
      <c r="S354" s="135"/>
      <c r="T354" s="135"/>
      <c r="U354" s="135"/>
      <c r="V354" s="135"/>
    </row>
    <row r="355" customFormat="false" ht="15.75" hidden="false" customHeight="true" outlineLevel="0" collapsed="false">
      <c r="A355" s="135"/>
      <c r="B355" s="135"/>
      <c r="C355" s="135"/>
      <c r="D355" s="135"/>
      <c r="E355" s="135"/>
      <c r="F355" s="135"/>
      <c r="G355" s="135"/>
      <c r="H355" s="189"/>
      <c r="I355" s="182"/>
      <c r="J355" s="189"/>
      <c r="K355" s="135"/>
      <c r="L355" s="135"/>
      <c r="M355" s="135"/>
      <c r="N355" s="135"/>
      <c r="O355" s="189"/>
      <c r="P355" s="135"/>
      <c r="Q355" s="229"/>
      <c r="R355" s="135"/>
      <c r="S355" s="135"/>
      <c r="T355" s="135"/>
      <c r="U355" s="135"/>
      <c r="V355" s="135"/>
    </row>
    <row r="356" customFormat="false" ht="15.75" hidden="false" customHeight="true" outlineLevel="0" collapsed="false">
      <c r="A356" s="135"/>
      <c r="B356" s="135"/>
      <c r="C356" s="135"/>
      <c r="D356" s="135"/>
      <c r="E356" s="135"/>
      <c r="F356" s="135"/>
      <c r="G356" s="135"/>
      <c r="H356" s="189"/>
      <c r="I356" s="182"/>
      <c r="J356" s="189"/>
      <c r="K356" s="135"/>
      <c r="L356" s="135"/>
      <c r="M356" s="135"/>
      <c r="N356" s="135"/>
      <c r="O356" s="189"/>
      <c r="P356" s="135"/>
      <c r="Q356" s="229"/>
      <c r="R356" s="135"/>
      <c r="S356" s="135"/>
      <c r="T356" s="135"/>
      <c r="U356" s="135"/>
      <c r="V356" s="135"/>
    </row>
    <row r="357" customFormat="false" ht="15.75" hidden="false" customHeight="true" outlineLevel="0" collapsed="false">
      <c r="A357" s="135"/>
      <c r="B357" s="135"/>
      <c r="C357" s="135"/>
      <c r="D357" s="135"/>
      <c r="E357" s="135"/>
      <c r="F357" s="135"/>
      <c r="G357" s="135"/>
      <c r="H357" s="189"/>
      <c r="I357" s="182"/>
      <c r="J357" s="189"/>
      <c r="K357" s="135"/>
      <c r="L357" s="135"/>
      <c r="M357" s="135"/>
      <c r="N357" s="135"/>
      <c r="O357" s="189"/>
      <c r="P357" s="135"/>
      <c r="Q357" s="229"/>
      <c r="R357" s="135"/>
      <c r="S357" s="135"/>
      <c r="T357" s="135"/>
      <c r="U357" s="135"/>
      <c r="V357" s="135"/>
    </row>
    <row r="358" customFormat="false" ht="15.75" hidden="false" customHeight="true" outlineLevel="0" collapsed="false">
      <c r="A358" s="135"/>
      <c r="B358" s="135"/>
      <c r="C358" s="135"/>
      <c r="D358" s="135"/>
      <c r="E358" s="135"/>
      <c r="F358" s="135"/>
      <c r="G358" s="135"/>
      <c r="H358" s="189"/>
      <c r="I358" s="182"/>
      <c r="J358" s="189"/>
      <c r="K358" s="135"/>
      <c r="L358" s="135"/>
      <c r="M358" s="135"/>
      <c r="N358" s="135"/>
      <c r="O358" s="189"/>
      <c r="P358" s="135"/>
      <c r="Q358" s="229"/>
      <c r="R358" s="135"/>
      <c r="S358" s="135"/>
      <c r="T358" s="135"/>
      <c r="U358" s="135"/>
      <c r="V358" s="135"/>
    </row>
    <row r="359" customFormat="false" ht="15.75" hidden="false" customHeight="true" outlineLevel="0" collapsed="false">
      <c r="A359" s="135"/>
      <c r="B359" s="135"/>
      <c r="C359" s="135"/>
      <c r="D359" s="135"/>
      <c r="E359" s="135"/>
      <c r="F359" s="135"/>
      <c r="G359" s="135"/>
      <c r="H359" s="189"/>
      <c r="I359" s="182"/>
      <c r="J359" s="189"/>
      <c r="K359" s="135"/>
      <c r="L359" s="135"/>
      <c r="M359" s="135"/>
      <c r="N359" s="135"/>
      <c r="O359" s="189"/>
      <c r="P359" s="135"/>
      <c r="Q359" s="229"/>
      <c r="R359" s="135"/>
      <c r="S359" s="135"/>
      <c r="T359" s="135"/>
      <c r="U359" s="135"/>
      <c r="V359" s="135"/>
    </row>
    <row r="360" customFormat="false" ht="15.75" hidden="false" customHeight="true" outlineLevel="0" collapsed="false">
      <c r="A360" s="135"/>
      <c r="B360" s="135"/>
      <c r="C360" s="135"/>
      <c r="D360" s="135"/>
      <c r="E360" s="135"/>
      <c r="F360" s="135"/>
      <c r="G360" s="135"/>
      <c r="H360" s="189"/>
      <c r="I360" s="182"/>
      <c r="J360" s="189"/>
      <c r="K360" s="135"/>
      <c r="L360" s="135"/>
      <c r="M360" s="135"/>
      <c r="N360" s="135"/>
      <c r="O360" s="189"/>
      <c r="P360" s="135"/>
      <c r="Q360" s="229"/>
      <c r="R360" s="135"/>
      <c r="S360" s="135"/>
      <c r="T360" s="135"/>
      <c r="U360" s="135"/>
      <c r="V360" s="135"/>
    </row>
    <row r="361" customFormat="false" ht="15.75" hidden="false" customHeight="true" outlineLevel="0" collapsed="false">
      <c r="A361" s="135"/>
      <c r="B361" s="135"/>
      <c r="C361" s="135"/>
      <c r="D361" s="135"/>
      <c r="E361" s="135"/>
      <c r="F361" s="135"/>
      <c r="G361" s="135"/>
      <c r="H361" s="189"/>
      <c r="I361" s="182"/>
      <c r="J361" s="189"/>
      <c r="K361" s="135"/>
      <c r="L361" s="135"/>
      <c r="M361" s="135"/>
      <c r="N361" s="135"/>
      <c r="O361" s="189"/>
      <c r="P361" s="135"/>
      <c r="Q361" s="229"/>
      <c r="R361" s="135"/>
      <c r="S361" s="135"/>
      <c r="T361" s="135"/>
      <c r="U361" s="135"/>
      <c r="V361" s="135"/>
    </row>
    <row r="362" customFormat="false" ht="15.75" hidden="false" customHeight="true" outlineLevel="0" collapsed="false">
      <c r="A362" s="135"/>
      <c r="B362" s="135"/>
      <c r="C362" s="135"/>
      <c r="D362" s="135"/>
      <c r="E362" s="135"/>
      <c r="F362" s="135"/>
      <c r="G362" s="135"/>
      <c r="H362" s="189"/>
      <c r="I362" s="182"/>
      <c r="J362" s="189"/>
      <c r="K362" s="135"/>
      <c r="L362" s="135"/>
      <c r="M362" s="135"/>
      <c r="N362" s="135"/>
      <c r="O362" s="189"/>
      <c r="P362" s="135"/>
      <c r="Q362" s="229"/>
      <c r="R362" s="135"/>
      <c r="S362" s="135"/>
      <c r="T362" s="135"/>
      <c r="U362" s="135"/>
      <c r="V362" s="135"/>
    </row>
    <row r="363" customFormat="false" ht="15.75" hidden="false" customHeight="true" outlineLevel="0" collapsed="false">
      <c r="A363" s="135"/>
      <c r="B363" s="135"/>
      <c r="C363" s="135"/>
      <c r="D363" s="135"/>
      <c r="E363" s="135"/>
      <c r="F363" s="135"/>
      <c r="G363" s="135"/>
      <c r="H363" s="189"/>
      <c r="I363" s="182"/>
      <c r="J363" s="189"/>
      <c r="K363" s="135"/>
      <c r="L363" s="135"/>
      <c r="M363" s="135"/>
      <c r="N363" s="135"/>
      <c r="O363" s="189"/>
      <c r="P363" s="135"/>
      <c r="Q363" s="229"/>
      <c r="R363" s="135"/>
      <c r="S363" s="135"/>
      <c r="T363" s="135"/>
      <c r="U363" s="135"/>
      <c r="V363" s="135"/>
    </row>
    <row r="364" customFormat="false" ht="15.75" hidden="false" customHeight="true" outlineLevel="0" collapsed="false">
      <c r="A364" s="135"/>
      <c r="B364" s="135"/>
      <c r="C364" s="135"/>
      <c r="D364" s="135"/>
      <c r="E364" s="135"/>
      <c r="F364" s="135"/>
      <c r="G364" s="135"/>
      <c r="H364" s="189"/>
      <c r="I364" s="182"/>
      <c r="J364" s="189"/>
      <c r="K364" s="135"/>
      <c r="L364" s="135"/>
      <c r="M364" s="135"/>
      <c r="N364" s="135"/>
      <c r="O364" s="189"/>
      <c r="P364" s="135"/>
      <c r="Q364" s="229"/>
      <c r="R364" s="135"/>
      <c r="S364" s="135"/>
      <c r="T364" s="135"/>
      <c r="U364" s="135"/>
      <c r="V364" s="135"/>
    </row>
    <row r="365" customFormat="false" ht="15.75" hidden="false" customHeight="true" outlineLevel="0" collapsed="false">
      <c r="A365" s="135"/>
      <c r="B365" s="135"/>
      <c r="C365" s="135"/>
      <c r="D365" s="135"/>
      <c r="E365" s="135"/>
      <c r="F365" s="135"/>
      <c r="G365" s="135"/>
      <c r="H365" s="189"/>
      <c r="I365" s="182"/>
      <c r="J365" s="189"/>
      <c r="K365" s="135"/>
      <c r="L365" s="135"/>
      <c r="M365" s="135"/>
      <c r="N365" s="135"/>
      <c r="O365" s="189"/>
      <c r="P365" s="135"/>
      <c r="Q365" s="229"/>
      <c r="R365" s="135"/>
      <c r="S365" s="135"/>
      <c r="T365" s="135"/>
      <c r="U365" s="135"/>
      <c r="V365" s="135"/>
    </row>
    <row r="366" customFormat="false" ht="15.75" hidden="false" customHeight="true" outlineLevel="0" collapsed="false">
      <c r="A366" s="135"/>
      <c r="B366" s="135"/>
      <c r="C366" s="135"/>
      <c r="D366" s="135"/>
      <c r="E366" s="135"/>
      <c r="F366" s="135"/>
      <c r="G366" s="135"/>
      <c r="H366" s="189"/>
      <c r="I366" s="182"/>
      <c r="J366" s="189"/>
      <c r="K366" s="135"/>
      <c r="L366" s="135"/>
      <c r="M366" s="135"/>
      <c r="N366" s="135"/>
      <c r="O366" s="189"/>
      <c r="P366" s="135"/>
      <c r="Q366" s="229"/>
      <c r="R366" s="135"/>
      <c r="S366" s="135"/>
      <c r="T366" s="135"/>
      <c r="U366" s="135"/>
      <c r="V366" s="135"/>
    </row>
    <row r="367" customFormat="false" ht="15.75" hidden="false" customHeight="true" outlineLevel="0" collapsed="false">
      <c r="A367" s="135"/>
      <c r="B367" s="135"/>
      <c r="C367" s="135"/>
      <c r="D367" s="135"/>
      <c r="E367" s="135"/>
      <c r="F367" s="135"/>
      <c r="G367" s="135"/>
      <c r="H367" s="189"/>
      <c r="I367" s="182"/>
      <c r="J367" s="189"/>
      <c r="K367" s="135"/>
      <c r="L367" s="135"/>
      <c r="M367" s="135"/>
      <c r="N367" s="135"/>
      <c r="O367" s="189"/>
      <c r="P367" s="135"/>
      <c r="Q367" s="229"/>
      <c r="R367" s="135"/>
      <c r="S367" s="135"/>
      <c r="T367" s="135"/>
      <c r="U367" s="135"/>
      <c r="V367" s="135"/>
    </row>
    <row r="368" customFormat="false" ht="15.75" hidden="false" customHeight="true" outlineLevel="0" collapsed="false">
      <c r="A368" s="135"/>
      <c r="B368" s="135"/>
      <c r="C368" s="135"/>
      <c r="D368" s="135"/>
      <c r="E368" s="135"/>
      <c r="F368" s="135"/>
      <c r="G368" s="135"/>
      <c r="H368" s="189"/>
      <c r="I368" s="182"/>
      <c r="J368" s="189"/>
      <c r="K368" s="135"/>
      <c r="L368" s="135"/>
      <c r="M368" s="135"/>
      <c r="N368" s="135"/>
      <c r="O368" s="189"/>
      <c r="P368" s="135"/>
      <c r="Q368" s="229"/>
      <c r="R368" s="135"/>
      <c r="S368" s="135"/>
      <c r="T368" s="135"/>
      <c r="U368" s="135"/>
      <c r="V368" s="135"/>
    </row>
    <row r="369" customFormat="false" ht="15.75" hidden="false" customHeight="true" outlineLevel="0" collapsed="false">
      <c r="A369" s="135"/>
      <c r="B369" s="135"/>
      <c r="C369" s="135"/>
      <c r="D369" s="135"/>
      <c r="E369" s="135"/>
      <c r="F369" s="135"/>
      <c r="G369" s="135"/>
      <c r="H369" s="189"/>
      <c r="I369" s="182"/>
      <c r="J369" s="189"/>
      <c r="K369" s="135"/>
      <c r="L369" s="135"/>
      <c r="M369" s="135"/>
      <c r="N369" s="135"/>
      <c r="O369" s="189"/>
      <c r="P369" s="135"/>
      <c r="Q369" s="229"/>
      <c r="R369" s="135"/>
      <c r="S369" s="135"/>
      <c r="T369" s="135"/>
      <c r="U369" s="135"/>
      <c r="V369" s="135"/>
    </row>
    <row r="370" customFormat="false" ht="15.75" hidden="false" customHeight="true" outlineLevel="0" collapsed="false">
      <c r="A370" s="135"/>
      <c r="B370" s="135"/>
      <c r="C370" s="135"/>
      <c r="D370" s="135"/>
      <c r="E370" s="135"/>
      <c r="F370" s="135"/>
      <c r="G370" s="135"/>
      <c r="H370" s="189"/>
      <c r="I370" s="182"/>
      <c r="J370" s="189"/>
      <c r="K370" s="135"/>
      <c r="L370" s="135"/>
      <c r="M370" s="135"/>
      <c r="N370" s="135"/>
      <c r="O370" s="189"/>
      <c r="P370" s="135"/>
      <c r="Q370" s="229"/>
      <c r="R370" s="135"/>
      <c r="S370" s="135"/>
      <c r="T370" s="135"/>
      <c r="U370" s="135"/>
      <c r="V370" s="135"/>
    </row>
    <row r="371" customFormat="false" ht="15.75" hidden="false" customHeight="true" outlineLevel="0" collapsed="false">
      <c r="A371" s="135"/>
      <c r="B371" s="135"/>
      <c r="C371" s="135"/>
      <c r="D371" s="135"/>
      <c r="E371" s="135"/>
      <c r="F371" s="135"/>
      <c r="G371" s="135"/>
      <c r="H371" s="189"/>
      <c r="I371" s="182"/>
      <c r="J371" s="189"/>
      <c r="K371" s="135"/>
      <c r="L371" s="135"/>
      <c r="M371" s="135"/>
      <c r="N371" s="135"/>
      <c r="O371" s="189"/>
      <c r="P371" s="135"/>
      <c r="Q371" s="229"/>
      <c r="R371" s="135"/>
      <c r="S371" s="135"/>
      <c r="T371" s="135"/>
      <c r="U371" s="135"/>
      <c r="V371" s="135"/>
    </row>
    <row r="372" customFormat="false" ht="15.75" hidden="false" customHeight="true" outlineLevel="0" collapsed="false">
      <c r="A372" s="135"/>
      <c r="B372" s="135"/>
      <c r="C372" s="135"/>
      <c r="D372" s="135"/>
      <c r="E372" s="135"/>
      <c r="F372" s="135"/>
      <c r="G372" s="135"/>
      <c r="H372" s="189"/>
      <c r="I372" s="182"/>
      <c r="J372" s="189"/>
      <c r="K372" s="135"/>
      <c r="L372" s="135"/>
      <c r="M372" s="135"/>
      <c r="N372" s="135"/>
      <c r="O372" s="189"/>
      <c r="P372" s="135"/>
      <c r="Q372" s="229"/>
      <c r="R372" s="135"/>
      <c r="S372" s="135"/>
      <c r="T372" s="135"/>
      <c r="U372" s="135"/>
      <c r="V372" s="135"/>
    </row>
    <row r="373" customFormat="false" ht="15.75" hidden="false" customHeight="true" outlineLevel="0" collapsed="false">
      <c r="A373" s="135"/>
      <c r="B373" s="135"/>
      <c r="C373" s="135"/>
      <c r="D373" s="135"/>
      <c r="E373" s="135"/>
      <c r="F373" s="135"/>
      <c r="G373" s="135"/>
      <c r="H373" s="189"/>
      <c r="I373" s="182"/>
      <c r="J373" s="189"/>
      <c r="K373" s="135"/>
      <c r="L373" s="135"/>
      <c r="M373" s="135"/>
      <c r="N373" s="135"/>
      <c r="O373" s="189"/>
      <c r="P373" s="135"/>
      <c r="Q373" s="229"/>
      <c r="R373" s="135"/>
      <c r="S373" s="135"/>
      <c r="T373" s="135"/>
      <c r="U373" s="135"/>
      <c r="V373" s="135"/>
    </row>
    <row r="374" customFormat="false" ht="15.75" hidden="false" customHeight="true" outlineLevel="0" collapsed="false">
      <c r="A374" s="135"/>
      <c r="B374" s="135"/>
      <c r="C374" s="135"/>
      <c r="D374" s="135"/>
      <c r="E374" s="135"/>
      <c r="F374" s="135"/>
      <c r="G374" s="135"/>
      <c r="H374" s="189"/>
      <c r="I374" s="182"/>
      <c r="J374" s="189"/>
      <c r="K374" s="135"/>
      <c r="L374" s="135"/>
      <c r="M374" s="135"/>
      <c r="N374" s="135"/>
      <c r="O374" s="189"/>
      <c r="P374" s="135"/>
      <c r="Q374" s="229"/>
      <c r="R374" s="135"/>
      <c r="S374" s="135"/>
      <c r="T374" s="135"/>
      <c r="U374" s="135"/>
      <c r="V374" s="135"/>
    </row>
    <row r="375" customFormat="false" ht="15.75" hidden="false" customHeight="true" outlineLevel="0" collapsed="false">
      <c r="A375" s="135"/>
      <c r="B375" s="135"/>
      <c r="C375" s="135"/>
      <c r="D375" s="135"/>
      <c r="E375" s="135"/>
      <c r="F375" s="135"/>
      <c r="G375" s="135"/>
      <c r="H375" s="189"/>
      <c r="I375" s="182"/>
      <c r="J375" s="189"/>
      <c r="K375" s="135"/>
      <c r="L375" s="135"/>
      <c r="M375" s="135"/>
      <c r="N375" s="135"/>
      <c r="O375" s="189"/>
      <c r="P375" s="135"/>
      <c r="Q375" s="229"/>
      <c r="R375" s="135"/>
      <c r="S375" s="135"/>
      <c r="T375" s="135"/>
      <c r="U375" s="135"/>
      <c r="V375" s="135"/>
    </row>
    <row r="376" customFormat="false" ht="15.75" hidden="false" customHeight="true" outlineLevel="0" collapsed="false">
      <c r="A376" s="135"/>
      <c r="B376" s="135"/>
      <c r="C376" s="135"/>
      <c r="D376" s="135"/>
      <c r="E376" s="135"/>
      <c r="F376" s="135"/>
      <c r="G376" s="135"/>
      <c r="H376" s="189"/>
      <c r="I376" s="182"/>
      <c r="J376" s="189"/>
      <c r="K376" s="135"/>
      <c r="L376" s="135"/>
      <c r="M376" s="135"/>
      <c r="N376" s="135"/>
      <c r="O376" s="189"/>
      <c r="P376" s="135"/>
      <c r="Q376" s="229"/>
      <c r="R376" s="135"/>
      <c r="S376" s="135"/>
      <c r="T376" s="135"/>
      <c r="U376" s="135"/>
      <c r="V376" s="135"/>
    </row>
    <row r="377" customFormat="false" ht="15.75" hidden="false" customHeight="true" outlineLevel="0" collapsed="false">
      <c r="A377" s="135"/>
      <c r="B377" s="135"/>
      <c r="C377" s="135"/>
      <c r="D377" s="135"/>
      <c r="E377" s="135"/>
      <c r="F377" s="135"/>
      <c r="G377" s="135"/>
      <c r="H377" s="189"/>
      <c r="I377" s="182"/>
      <c r="J377" s="189"/>
      <c r="K377" s="135"/>
      <c r="L377" s="135"/>
      <c r="M377" s="135"/>
      <c r="N377" s="135"/>
      <c r="O377" s="189"/>
      <c r="P377" s="135"/>
      <c r="Q377" s="229"/>
      <c r="R377" s="135"/>
      <c r="S377" s="135"/>
      <c r="T377" s="135"/>
      <c r="U377" s="135"/>
      <c r="V377" s="135"/>
    </row>
    <row r="378" customFormat="false" ht="15.75" hidden="false" customHeight="true" outlineLevel="0" collapsed="false">
      <c r="A378" s="135"/>
      <c r="B378" s="135"/>
      <c r="C378" s="135"/>
      <c r="D378" s="135"/>
      <c r="E378" s="135"/>
      <c r="F378" s="135"/>
      <c r="G378" s="135"/>
      <c r="H378" s="189"/>
      <c r="I378" s="182"/>
      <c r="J378" s="189"/>
      <c r="K378" s="135"/>
      <c r="L378" s="135"/>
      <c r="M378" s="135"/>
      <c r="N378" s="135"/>
      <c r="O378" s="189"/>
      <c r="P378" s="135"/>
      <c r="Q378" s="229"/>
      <c r="R378" s="135"/>
      <c r="S378" s="135"/>
      <c r="T378" s="135"/>
      <c r="U378" s="135"/>
      <c r="V378" s="135"/>
    </row>
    <row r="379" customFormat="false" ht="15.75" hidden="false" customHeight="true" outlineLevel="0" collapsed="false">
      <c r="A379" s="135"/>
      <c r="B379" s="135"/>
      <c r="C379" s="135"/>
      <c r="D379" s="135"/>
      <c r="E379" s="135"/>
      <c r="F379" s="135"/>
      <c r="G379" s="135"/>
      <c r="H379" s="189"/>
      <c r="I379" s="182"/>
      <c r="J379" s="189"/>
      <c r="K379" s="135"/>
      <c r="L379" s="135"/>
      <c r="M379" s="135"/>
      <c r="N379" s="135"/>
      <c r="O379" s="189"/>
      <c r="P379" s="135"/>
      <c r="Q379" s="229"/>
      <c r="R379" s="135"/>
      <c r="S379" s="135"/>
      <c r="T379" s="135"/>
      <c r="U379" s="135"/>
      <c r="V379" s="135"/>
    </row>
    <row r="380" customFormat="false" ht="15.75" hidden="false" customHeight="true" outlineLevel="0" collapsed="false">
      <c r="A380" s="135"/>
      <c r="B380" s="135"/>
      <c r="C380" s="135"/>
      <c r="D380" s="135"/>
      <c r="E380" s="135"/>
      <c r="F380" s="135"/>
      <c r="G380" s="135"/>
      <c r="H380" s="189"/>
      <c r="I380" s="182"/>
      <c r="J380" s="189"/>
      <c r="K380" s="135"/>
      <c r="L380" s="135"/>
      <c r="M380" s="135"/>
      <c r="N380" s="135"/>
      <c r="O380" s="189"/>
      <c r="P380" s="135"/>
      <c r="Q380" s="229"/>
      <c r="R380" s="135"/>
      <c r="S380" s="135"/>
      <c r="T380" s="135"/>
      <c r="U380" s="135"/>
      <c r="V380" s="135"/>
    </row>
    <row r="381" customFormat="false" ht="15.75" hidden="false" customHeight="true" outlineLevel="0" collapsed="false">
      <c r="A381" s="135"/>
      <c r="B381" s="135"/>
      <c r="C381" s="135"/>
      <c r="D381" s="135"/>
      <c r="E381" s="135"/>
      <c r="F381" s="135"/>
      <c r="G381" s="135"/>
      <c r="H381" s="189"/>
      <c r="I381" s="182"/>
      <c r="J381" s="189"/>
      <c r="K381" s="135"/>
      <c r="L381" s="135"/>
      <c r="M381" s="135"/>
      <c r="N381" s="135"/>
      <c r="O381" s="189"/>
      <c r="P381" s="135"/>
      <c r="Q381" s="229"/>
      <c r="R381" s="135"/>
      <c r="S381" s="135"/>
      <c r="T381" s="135"/>
      <c r="U381" s="135"/>
      <c r="V381" s="135"/>
    </row>
    <row r="382" customFormat="false" ht="15.75" hidden="false" customHeight="true" outlineLevel="0" collapsed="false">
      <c r="A382" s="135"/>
      <c r="B382" s="135"/>
      <c r="C382" s="135"/>
      <c r="D382" s="135"/>
      <c r="E382" s="135"/>
      <c r="F382" s="135"/>
      <c r="G382" s="135"/>
      <c r="H382" s="189"/>
      <c r="I382" s="182"/>
      <c r="J382" s="189"/>
      <c r="K382" s="135"/>
      <c r="L382" s="135"/>
      <c r="M382" s="135"/>
      <c r="N382" s="135"/>
      <c r="O382" s="189"/>
      <c r="P382" s="135"/>
      <c r="Q382" s="229"/>
      <c r="R382" s="135"/>
      <c r="S382" s="135"/>
      <c r="T382" s="135"/>
      <c r="U382" s="135"/>
      <c r="V382" s="135"/>
    </row>
    <row r="383" customFormat="false" ht="15.75" hidden="false" customHeight="true" outlineLevel="0" collapsed="false">
      <c r="A383" s="135"/>
      <c r="B383" s="135"/>
      <c r="C383" s="135"/>
      <c r="D383" s="135"/>
      <c r="E383" s="135"/>
      <c r="F383" s="135"/>
      <c r="G383" s="135"/>
      <c r="H383" s="189"/>
      <c r="I383" s="182"/>
      <c r="J383" s="189"/>
      <c r="K383" s="135"/>
      <c r="L383" s="135"/>
      <c r="M383" s="135"/>
      <c r="N383" s="135"/>
      <c r="O383" s="189"/>
      <c r="P383" s="135"/>
      <c r="Q383" s="229"/>
      <c r="R383" s="135"/>
      <c r="S383" s="135"/>
      <c r="T383" s="135"/>
      <c r="U383" s="135"/>
      <c r="V383" s="135"/>
    </row>
    <row r="384" customFormat="false" ht="15.75" hidden="false" customHeight="true" outlineLevel="0" collapsed="false">
      <c r="A384" s="135"/>
      <c r="B384" s="135"/>
      <c r="C384" s="135"/>
      <c r="D384" s="135"/>
      <c r="E384" s="135"/>
      <c r="F384" s="135"/>
      <c r="G384" s="135"/>
      <c r="H384" s="189"/>
      <c r="I384" s="182"/>
      <c r="J384" s="189"/>
      <c r="K384" s="135"/>
      <c r="L384" s="135"/>
      <c r="M384" s="135"/>
      <c r="N384" s="135"/>
      <c r="O384" s="189"/>
      <c r="P384" s="135"/>
      <c r="Q384" s="229"/>
      <c r="R384" s="135"/>
      <c r="S384" s="135"/>
      <c r="T384" s="135"/>
      <c r="U384" s="135"/>
      <c r="V384" s="135"/>
    </row>
    <row r="385" customFormat="false" ht="15.75" hidden="false" customHeight="true" outlineLevel="0" collapsed="false">
      <c r="A385" s="135"/>
      <c r="B385" s="135"/>
      <c r="C385" s="135"/>
      <c r="D385" s="135"/>
      <c r="E385" s="135"/>
      <c r="F385" s="135"/>
      <c r="G385" s="135"/>
      <c r="H385" s="189"/>
      <c r="I385" s="182"/>
      <c r="J385" s="189"/>
      <c r="K385" s="135"/>
      <c r="L385" s="135"/>
      <c r="M385" s="135"/>
      <c r="N385" s="135"/>
      <c r="O385" s="189"/>
      <c r="P385" s="135"/>
      <c r="Q385" s="229"/>
      <c r="R385" s="135"/>
      <c r="S385" s="135"/>
      <c r="T385" s="135"/>
      <c r="U385" s="135"/>
      <c r="V385" s="135"/>
    </row>
    <row r="386" customFormat="false" ht="15.75" hidden="false" customHeight="true" outlineLevel="0" collapsed="false">
      <c r="A386" s="135"/>
      <c r="B386" s="135"/>
      <c r="C386" s="135"/>
      <c r="D386" s="135"/>
      <c r="E386" s="135"/>
      <c r="F386" s="135"/>
      <c r="G386" s="135"/>
      <c r="H386" s="189"/>
      <c r="I386" s="182"/>
      <c r="J386" s="189"/>
      <c r="K386" s="135"/>
      <c r="L386" s="135"/>
      <c r="M386" s="135"/>
      <c r="N386" s="135"/>
      <c r="O386" s="189"/>
      <c r="P386" s="135"/>
      <c r="Q386" s="229"/>
      <c r="R386" s="135"/>
      <c r="S386" s="135"/>
      <c r="T386" s="135"/>
      <c r="U386" s="135"/>
      <c r="V386" s="135"/>
    </row>
    <row r="387" customFormat="false" ht="15.75" hidden="false" customHeight="true" outlineLevel="0" collapsed="false">
      <c r="A387" s="135"/>
      <c r="B387" s="135"/>
      <c r="C387" s="135"/>
      <c r="D387" s="135"/>
      <c r="E387" s="135"/>
      <c r="F387" s="135"/>
      <c r="G387" s="135"/>
      <c r="H387" s="189"/>
      <c r="I387" s="182"/>
      <c r="J387" s="189"/>
      <c r="K387" s="135"/>
      <c r="L387" s="135"/>
      <c r="M387" s="135"/>
      <c r="N387" s="135"/>
      <c r="O387" s="189"/>
      <c r="P387" s="135"/>
      <c r="Q387" s="229"/>
      <c r="R387" s="135"/>
      <c r="S387" s="135"/>
      <c r="T387" s="135"/>
      <c r="U387" s="135"/>
      <c r="V387" s="135"/>
    </row>
    <row r="388" customFormat="false" ht="15.75" hidden="false" customHeight="true" outlineLevel="0" collapsed="false">
      <c r="A388" s="135"/>
      <c r="B388" s="135"/>
      <c r="C388" s="135"/>
      <c r="D388" s="135"/>
      <c r="E388" s="135"/>
      <c r="F388" s="135"/>
      <c r="G388" s="135"/>
      <c r="H388" s="189"/>
      <c r="I388" s="182"/>
      <c r="J388" s="189"/>
      <c r="K388" s="135"/>
      <c r="L388" s="135"/>
      <c r="M388" s="135"/>
      <c r="N388" s="135"/>
      <c r="O388" s="189"/>
      <c r="P388" s="135"/>
      <c r="Q388" s="229"/>
      <c r="R388" s="135"/>
      <c r="S388" s="135"/>
      <c r="T388" s="135"/>
      <c r="U388" s="135"/>
      <c r="V388" s="135"/>
    </row>
    <row r="389" customFormat="false" ht="15.75" hidden="false" customHeight="true" outlineLevel="0" collapsed="false">
      <c r="A389" s="135"/>
      <c r="B389" s="135"/>
      <c r="C389" s="135"/>
      <c r="D389" s="135"/>
      <c r="E389" s="135"/>
      <c r="F389" s="135"/>
      <c r="G389" s="135"/>
      <c r="H389" s="189"/>
      <c r="I389" s="182"/>
      <c r="J389" s="189"/>
      <c r="K389" s="135"/>
      <c r="L389" s="135"/>
      <c r="M389" s="135"/>
      <c r="N389" s="135"/>
      <c r="O389" s="189"/>
      <c r="P389" s="135"/>
      <c r="Q389" s="229"/>
      <c r="R389" s="135"/>
      <c r="S389" s="135"/>
      <c r="T389" s="135"/>
      <c r="U389" s="135"/>
      <c r="V389" s="135"/>
    </row>
    <row r="390" customFormat="false" ht="15.75" hidden="false" customHeight="true" outlineLevel="0" collapsed="false">
      <c r="A390" s="135"/>
      <c r="B390" s="135"/>
      <c r="C390" s="135"/>
      <c r="D390" s="135"/>
      <c r="E390" s="135"/>
      <c r="F390" s="135"/>
      <c r="G390" s="135"/>
      <c r="H390" s="189"/>
      <c r="I390" s="182"/>
      <c r="J390" s="189"/>
      <c r="K390" s="135"/>
      <c r="L390" s="135"/>
      <c r="M390" s="135"/>
      <c r="N390" s="135"/>
      <c r="O390" s="189"/>
      <c r="P390" s="135"/>
      <c r="Q390" s="229"/>
      <c r="R390" s="135"/>
      <c r="S390" s="135"/>
      <c r="T390" s="135"/>
      <c r="U390" s="135"/>
      <c r="V390" s="135"/>
    </row>
    <row r="391" customFormat="false" ht="15.75" hidden="false" customHeight="true" outlineLevel="0" collapsed="false">
      <c r="A391" s="135"/>
      <c r="B391" s="135"/>
      <c r="C391" s="135"/>
      <c r="D391" s="135"/>
      <c r="E391" s="135"/>
      <c r="F391" s="135"/>
      <c r="G391" s="135"/>
      <c r="H391" s="189"/>
      <c r="I391" s="182"/>
      <c r="J391" s="189"/>
      <c r="K391" s="135"/>
      <c r="L391" s="135"/>
      <c r="M391" s="135"/>
      <c r="N391" s="135"/>
      <c r="O391" s="189"/>
      <c r="P391" s="135"/>
      <c r="Q391" s="229"/>
      <c r="R391" s="135"/>
      <c r="S391" s="135"/>
      <c r="T391" s="135"/>
      <c r="U391" s="135"/>
      <c r="V391" s="135"/>
    </row>
    <row r="392" customFormat="false" ht="15.75" hidden="false" customHeight="true" outlineLevel="0" collapsed="false">
      <c r="A392" s="135"/>
      <c r="B392" s="135"/>
      <c r="C392" s="135"/>
      <c r="D392" s="135"/>
      <c r="E392" s="135"/>
      <c r="F392" s="135"/>
      <c r="G392" s="135"/>
      <c r="H392" s="189"/>
      <c r="I392" s="182"/>
      <c r="J392" s="189"/>
      <c r="K392" s="135"/>
      <c r="L392" s="135"/>
      <c r="M392" s="135"/>
      <c r="N392" s="135"/>
      <c r="O392" s="189"/>
      <c r="P392" s="135"/>
      <c r="Q392" s="229"/>
      <c r="R392" s="135"/>
      <c r="S392" s="135"/>
      <c r="T392" s="135"/>
      <c r="U392" s="135"/>
      <c r="V392" s="135"/>
    </row>
    <row r="393" customFormat="false" ht="15.75" hidden="false" customHeight="true" outlineLevel="0" collapsed="false">
      <c r="A393" s="135"/>
      <c r="B393" s="135"/>
      <c r="C393" s="135"/>
      <c r="D393" s="135"/>
      <c r="E393" s="135"/>
      <c r="F393" s="135"/>
      <c r="G393" s="135"/>
      <c r="H393" s="189"/>
      <c r="I393" s="182"/>
      <c r="J393" s="189"/>
      <c r="K393" s="135"/>
      <c r="L393" s="135"/>
      <c r="M393" s="135"/>
      <c r="N393" s="135"/>
      <c r="O393" s="189"/>
      <c r="P393" s="135"/>
      <c r="Q393" s="229"/>
      <c r="R393" s="135"/>
      <c r="S393" s="135"/>
      <c r="T393" s="135"/>
      <c r="U393" s="135"/>
      <c r="V393" s="135"/>
    </row>
    <row r="394" customFormat="false" ht="15.75" hidden="false" customHeight="true" outlineLevel="0" collapsed="false">
      <c r="A394" s="135"/>
      <c r="B394" s="135"/>
      <c r="C394" s="135"/>
      <c r="D394" s="135"/>
      <c r="E394" s="135"/>
      <c r="F394" s="135"/>
      <c r="G394" s="135"/>
      <c r="H394" s="189"/>
      <c r="I394" s="182"/>
      <c r="J394" s="189"/>
      <c r="K394" s="135"/>
      <c r="L394" s="135"/>
      <c r="M394" s="135"/>
      <c r="N394" s="135"/>
      <c r="O394" s="189"/>
      <c r="P394" s="135"/>
      <c r="Q394" s="229"/>
      <c r="R394" s="135"/>
      <c r="S394" s="135"/>
      <c r="T394" s="135"/>
      <c r="U394" s="135"/>
      <c r="V394" s="135"/>
    </row>
    <row r="395" customFormat="false" ht="15.75" hidden="false" customHeight="true" outlineLevel="0" collapsed="false">
      <c r="A395" s="135"/>
      <c r="B395" s="135"/>
      <c r="C395" s="135"/>
      <c r="D395" s="135"/>
      <c r="E395" s="135"/>
      <c r="F395" s="135"/>
      <c r="G395" s="135"/>
      <c r="H395" s="189"/>
      <c r="I395" s="182"/>
      <c r="J395" s="189"/>
      <c r="K395" s="135"/>
      <c r="L395" s="135"/>
      <c r="M395" s="135"/>
      <c r="N395" s="135"/>
      <c r="O395" s="189"/>
      <c r="P395" s="135"/>
      <c r="Q395" s="229"/>
      <c r="R395" s="135"/>
      <c r="S395" s="135"/>
      <c r="T395" s="135"/>
      <c r="U395" s="135"/>
      <c r="V395" s="135"/>
    </row>
    <row r="396" customFormat="false" ht="15.75" hidden="false" customHeight="true" outlineLevel="0" collapsed="false">
      <c r="A396" s="135"/>
      <c r="B396" s="135"/>
      <c r="C396" s="135"/>
      <c r="D396" s="135"/>
      <c r="E396" s="135"/>
      <c r="F396" s="135"/>
      <c r="G396" s="135"/>
      <c r="H396" s="189"/>
      <c r="I396" s="182"/>
      <c r="J396" s="189"/>
      <c r="K396" s="135"/>
      <c r="L396" s="135"/>
      <c r="M396" s="135"/>
      <c r="N396" s="135"/>
      <c r="O396" s="189"/>
      <c r="P396" s="135"/>
      <c r="Q396" s="229"/>
      <c r="R396" s="135"/>
      <c r="S396" s="135"/>
      <c r="T396" s="135"/>
      <c r="U396" s="135"/>
      <c r="V396" s="135"/>
    </row>
    <row r="397" customFormat="false" ht="15.75" hidden="false" customHeight="true" outlineLevel="0" collapsed="false">
      <c r="A397" s="135"/>
      <c r="B397" s="135"/>
      <c r="C397" s="135"/>
      <c r="D397" s="135"/>
      <c r="E397" s="135"/>
      <c r="F397" s="135"/>
      <c r="G397" s="135"/>
      <c r="H397" s="189"/>
      <c r="I397" s="182"/>
      <c r="J397" s="189"/>
      <c r="K397" s="135"/>
      <c r="L397" s="135"/>
      <c r="M397" s="135"/>
      <c r="N397" s="135"/>
      <c r="O397" s="189"/>
      <c r="P397" s="135"/>
      <c r="Q397" s="229"/>
      <c r="R397" s="135"/>
      <c r="S397" s="135"/>
      <c r="T397" s="135"/>
      <c r="U397" s="135"/>
      <c r="V397" s="135"/>
    </row>
    <row r="398" customFormat="false" ht="15.75" hidden="false" customHeight="true" outlineLevel="0" collapsed="false">
      <c r="A398" s="135"/>
      <c r="B398" s="135"/>
      <c r="C398" s="135"/>
      <c r="D398" s="135"/>
      <c r="E398" s="135"/>
      <c r="F398" s="135"/>
      <c r="G398" s="135"/>
      <c r="H398" s="189"/>
      <c r="I398" s="182"/>
      <c r="J398" s="189"/>
      <c r="K398" s="135"/>
      <c r="L398" s="135"/>
      <c r="M398" s="135"/>
      <c r="N398" s="135"/>
      <c r="O398" s="189"/>
      <c r="P398" s="135"/>
      <c r="Q398" s="229"/>
      <c r="R398" s="135"/>
      <c r="S398" s="135"/>
      <c r="T398" s="135"/>
      <c r="U398" s="135"/>
      <c r="V398" s="135"/>
    </row>
    <row r="399" customFormat="false" ht="15.75" hidden="false" customHeight="true" outlineLevel="0" collapsed="false">
      <c r="A399" s="135"/>
      <c r="B399" s="135"/>
      <c r="C399" s="135"/>
      <c r="D399" s="135"/>
      <c r="E399" s="135"/>
      <c r="F399" s="135"/>
      <c r="G399" s="135"/>
      <c r="H399" s="189"/>
      <c r="I399" s="182"/>
      <c r="J399" s="189"/>
      <c r="K399" s="135"/>
      <c r="L399" s="135"/>
      <c r="M399" s="135"/>
      <c r="N399" s="135"/>
      <c r="O399" s="189"/>
      <c r="P399" s="135"/>
      <c r="Q399" s="229"/>
      <c r="R399" s="135"/>
      <c r="S399" s="135"/>
      <c r="T399" s="135"/>
      <c r="U399" s="135"/>
      <c r="V399" s="135"/>
    </row>
    <row r="400" customFormat="false" ht="15.75" hidden="false" customHeight="true" outlineLevel="0" collapsed="false">
      <c r="A400" s="135"/>
      <c r="B400" s="135"/>
      <c r="C400" s="135"/>
      <c r="D400" s="135"/>
      <c r="E400" s="135"/>
      <c r="F400" s="135"/>
      <c r="G400" s="135"/>
      <c r="H400" s="189"/>
      <c r="I400" s="182"/>
      <c r="J400" s="189"/>
      <c r="K400" s="135"/>
      <c r="L400" s="135"/>
      <c r="M400" s="135"/>
      <c r="N400" s="135"/>
      <c r="O400" s="189"/>
      <c r="P400" s="135"/>
      <c r="Q400" s="229"/>
      <c r="R400" s="135"/>
      <c r="S400" s="135"/>
      <c r="T400" s="135"/>
      <c r="U400" s="135"/>
      <c r="V400" s="135"/>
    </row>
    <row r="401" customFormat="false" ht="15.75" hidden="false" customHeight="true" outlineLevel="0" collapsed="false">
      <c r="A401" s="135"/>
      <c r="B401" s="135"/>
      <c r="C401" s="135"/>
      <c r="D401" s="135"/>
      <c r="E401" s="135"/>
      <c r="F401" s="135"/>
      <c r="G401" s="135"/>
      <c r="H401" s="189"/>
      <c r="I401" s="182"/>
      <c r="J401" s="189"/>
      <c r="K401" s="135"/>
      <c r="L401" s="135"/>
      <c r="M401" s="135"/>
      <c r="N401" s="135"/>
      <c r="O401" s="189"/>
      <c r="P401" s="135"/>
      <c r="Q401" s="229"/>
      <c r="R401" s="135"/>
      <c r="S401" s="135"/>
      <c r="T401" s="135"/>
      <c r="U401" s="135"/>
      <c r="V401" s="135"/>
    </row>
    <row r="402" customFormat="false" ht="15.75" hidden="false" customHeight="true" outlineLevel="0" collapsed="false">
      <c r="A402" s="135"/>
      <c r="B402" s="135"/>
      <c r="C402" s="135"/>
      <c r="D402" s="135"/>
      <c r="E402" s="135"/>
      <c r="F402" s="135"/>
      <c r="G402" s="135"/>
      <c r="H402" s="189"/>
      <c r="I402" s="182"/>
      <c r="J402" s="189"/>
      <c r="K402" s="135"/>
      <c r="L402" s="135"/>
      <c r="M402" s="135"/>
      <c r="N402" s="135"/>
      <c r="O402" s="189"/>
      <c r="P402" s="135"/>
      <c r="Q402" s="229"/>
      <c r="R402" s="135"/>
      <c r="S402" s="135"/>
      <c r="T402" s="135"/>
      <c r="U402" s="135"/>
      <c r="V402" s="135"/>
    </row>
    <row r="403" customFormat="false" ht="15.75" hidden="false" customHeight="true" outlineLevel="0" collapsed="false">
      <c r="A403" s="135"/>
      <c r="B403" s="135"/>
      <c r="C403" s="135"/>
      <c r="D403" s="135"/>
      <c r="E403" s="135"/>
      <c r="F403" s="135"/>
      <c r="G403" s="135"/>
      <c r="H403" s="189"/>
      <c r="I403" s="182"/>
      <c r="J403" s="189"/>
      <c r="K403" s="135"/>
      <c r="L403" s="135"/>
      <c r="M403" s="135"/>
      <c r="N403" s="135"/>
      <c r="O403" s="189"/>
      <c r="P403" s="135"/>
      <c r="Q403" s="229"/>
      <c r="R403" s="135"/>
      <c r="S403" s="135"/>
      <c r="T403" s="135"/>
      <c r="U403" s="135"/>
      <c r="V403" s="135"/>
    </row>
    <row r="404" customFormat="false" ht="15.75" hidden="false" customHeight="true" outlineLevel="0" collapsed="false">
      <c r="A404" s="135"/>
      <c r="B404" s="135"/>
      <c r="C404" s="135"/>
      <c r="D404" s="135"/>
      <c r="E404" s="135"/>
      <c r="F404" s="135"/>
      <c r="G404" s="135"/>
      <c r="H404" s="189"/>
      <c r="I404" s="182"/>
      <c r="J404" s="189"/>
      <c r="K404" s="135"/>
      <c r="L404" s="135"/>
      <c r="M404" s="135"/>
      <c r="N404" s="135"/>
      <c r="O404" s="189"/>
      <c r="P404" s="135"/>
      <c r="Q404" s="229"/>
      <c r="R404" s="135"/>
      <c r="S404" s="135"/>
      <c r="T404" s="135"/>
      <c r="U404" s="135"/>
      <c r="V404" s="135"/>
    </row>
    <row r="405" customFormat="false" ht="15.75" hidden="false" customHeight="true" outlineLevel="0" collapsed="false">
      <c r="A405" s="135"/>
      <c r="B405" s="135"/>
      <c r="C405" s="135"/>
      <c r="D405" s="135"/>
      <c r="E405" s="135"/>
      <c r="F405" s="135"/>
      <c r="G405" s="135"/>
      <c r="H405" s="189"/>
      <c r="I405" s="182"/>
      <c r="J405" s="189"/>
      <c r="K405" s="135"/>
      <c r="L405" s="135"/>
      <c r="M405" s="135"/>
      <c r="N405" s="135"/>
      <c r="O405" s="189"/>
      <c r="P405" s="135"/>
      <c r="Q405" s="229"/>
      <c r="R405" s="135"/>
      <c r="S405" s="135"/>
      <c r="T405" s="135"/>
      <c r="U405" s="135"/>
      <c r="V405" s="135"/>
    </row>
    <row r="406" customFormat="false" ht="15.75" hidden="false" customHeight="true" outlineLevel="0" collapsed="false">
      <c r="A406" s="135"/>
      <c r="B406" s="135"/>
      <c r="C406" s="135"/>
      <c r="D406" s="135"/>
      <c r="E406" s="135"/>
      <c r="F406" s="135"/>
      <c r="G406" s="135"/>
      <c r="H406" s="189"/>
      <c r="I406" s="182"/>
      <c r="J406" s="189"/>
      <c r="K406" s="135"/>
      <c r="L406" s="135"/>
      <c r="M406" s="135"/>
      <c r="N406" s="135"/>
      <c r="O406" s="189"/>
      <c r="P406" s="135"/>
      <c r="Q406" s="229"/>
      <c r="R406" s="135"/>
      <c r="S406" s="135"/>
      <c r="T406" s="135"/>
      <c r="U406" s="135"/>
      <c r="V406" s="135"/>
    </row>
    <row r="407" customFormat="false" ht="15.75" hidden="false" customHeight="true" outlineLevel="0" collapsed="false">
      <c r="A407" s="135"/>
      <c r="B407" s="135"/>
      <c r="C407" s="135"/>
      <c r="D407" s="135"/>
      <c r="E407" s="135"/>
      <c r="F407" s="135"/>
      <c r="G407" s="135"/>
      <c r="H407" s="189"/>
      <c r="I407" s="182"/>
      <c r="J407" s="189"/>
      <c r="K407" s="135"/>
      <c r="L407" s="135"/>
      <c r="M407" s="135"/>
      <c r="N407" s="135"/>
      <c r="O407" s="189"/>
      <c r="P407" s="135"/>
      <c r="Q407" s="229"/>
      <c r="R407" s="135"/>
      <c r="S407" s="135"/>
      <c r="T407" s="135"/>
      <c r="U407" s="135"/>
      <c r="V407" s="135"/>
    </row>
    <row r="408" customFormat="false" ht="15.75" hidden="false" customHeight="true" outlineLevel="0" collapsed="false">
      <c r="A408" s="135"/>
      <c r="B408" s="135"/>
      <c r="C408" s="135"/>
      <c r="D408" s="135"/>
      <c r="E408" s="135"/>
      <c r="F408" s="135"/>
      <c r="G408" s="135"/>
      <c r="H408" s="189"/>
      <c r="I408" s="182"/>
      <c r="J408" s="189"/>
      <c r="K408" s="135"/>
      <c r="L408" s="135"/>
      <c r="M408" s="135"/>
      <c r="N408" s="135"/>
      <c r="O408" s="189"/>
      <c r="P408" s="135"/>
      <c r="Q408" s="229"/>
      <c r="R408" s="135"/>
      <c r="S408" s="135"/>
      <c r="T408" s="135"/>
      <c r="U408" s="135"/>
      <c r="V408" s="135"/>
    </row>
    <row r="409" customFormat="false" ht="15.75" hidden="false" customHeight="true" outlineLevel="0" collapsed="false">
      <c r="A409" s="135"/>
      <c r="B409" s="135"/>
      <c r="C409" s="135"/>
      <c r="D409" s="135"/>
      <c r="E409" s="135"/>
      <c r="F409" s="135"/>
      <c r="G409" s="135"/>
      <c r="H409" s="189"/>
      <c r="I409" s="182"/>
      <c r="J409" s="189"/>
      <c r="K409" s="135"/>
      <c r="L409" s="135"/>
      <c r="M409" s="135"/>
      <c r="N409" s="135"/>
      <c r="O409" s="189"/>
      <c r="P409" s="135"/>
      <c r="Q409" s="229"/>
      <c r="R409" s="135"/>
      <c r="S409" s="135"/>
      <c r="T409" s="135"/>
      <c r="U409" s="135"/>
      <c r="V409" s="135"/>
    </row>
    <row r="410" customFormat="false" ht="15.75" hidden="false" customHeight="true" outlineLevel="0" collapsed="false">
      <c r="A410" s="135"/>
      <c r="B410" s="135"/>
      <c r="C410" s="135"/>
      <c r="D410" s="135"/>
      <c r="E410" s="135"/>
      <c r="F410" s="135"/>
      <c r="G410" s="135"/>
      <c r="H410" s="189"/>
      <c r="I410" s="182"/>
      <c r="J410" s="189"/>
      <c r="K410" s="135"/>
      <c r="L410" s="135"/>
      <c r="M410" s="135"/>
      <c r="N410" s="135"/>
      <c r="O410" s="189"/>
      <c r="P410" s="135"/>
      <c r="Q410" s="229"/>
      <c r="R410" s="135"/>
      <c r="S410" s="135"/>
      <c r="T410" s="135"/>
      <c r="U410" s="135"/>
      <c r="V410" s="135"/>
    </row>
    <row r="411" customFormat="false" ht="15.75" hidden="false" customHeight="true" outlineLevel="0" collapsed="false">
      <c r="A411" s="135"/>
      <c r="B411" s="135"/>
      <c r="C411" s="135"/>
      <c r="D411" s="135"/>
      <c r="E411" s="135"/>
      <c r="F411" s="135"/>
      <c r="G411" s="135"/>
      <c r="H411" s="189"/>
      <c r="I411" s="182"/>
      <c r="J411" s="189"/>
      <c r="K411" s="135"/>
      <c r="L411" s="135"/>
      <c r="M411" s="135"/>
      <c r="N411" s="135"/>
      <c r="O411" s="189"/>
      <c r="P411" s="135"/>
      <c r="Q411" s="229"/>
      <c r="R411" s="135"/>
      <c r="S411" s="135"/>
      <c r="T411" s="135"/>
      <c r="U411" s="135"/>
      <c r="V411" s="135"/>
    </row>
    <row r="412" customFormat="false" ht="15.75" hidden="false" customHeight="true" outlineLevel="0" collapsed="false">
      <c r="A412" s="135"/>
      <c r="B412" s="135"/>
      <c r="C412" s="135"/>
      <c r="D412" s="135"/>
      <c r="E412" s="135"/>
      <c r="F412" s="135"/>
      <c r="G412" s="135"/>
      <c r="H412" s="189"/>
      <c r="I412" s="182"/>
      <c r="J412" s="189"/>
      <c r="K412" s="135"/>
      <c r="L412" s="135"/>
      <c r="M412" s="135"/>
      <c r="N412" s="135"/>
      <c r="O412" s="189"/>
      <c r="P412" s="135"/>
      <c r="Q412" s="229"/>
      <c r="R412" s="135"/>
      <c r="S412" s="135"/>
      <c r="T412" s="135"/>
      <c r="U412" s="135"/>
      <c r="V412" s="135"/>
    </row>
    <row r="413" customFormat="false" ht="15.75" hidden="false" customHeight="true" outlineLevel="0" collapsed="false">
      <c r="A413" s="135"/>
      <c r="B413" s="135"/>
      <c r="C413" s="135"/>
      <c r="D413" s="135"/>
      <c r="E413" s="135"/>
      <c r="F413" s="135"/>
      <c r="G413" s="135"/>
      <c r="H413" s="189"/>
      <c r="I413" s="182"/>
      <c r="J413" s="189"/>
      <c r="K413" s="135"/>
      <c r="L413" s="135"/>
      <c r="M413" s="135"/>
      <c r="N413" s="135"/>
      <c r="O413" s="189"/>
      <c r="P413" s="135"/>
      <c r="Q413" s="229"/>
      <c r="R413" s="135"/>
      <c r="S413" s="135"/>
      <c r="T413" s="135"/>
      <c r="U413" s="135"/>
      <c r="V413" s="135"/>
    </row>
    <row r="414" customFormat="false" ht="15.75" hidden="false" customHeight="true" outlineLevel="0" collapsed="false">
      <c r="A414" s="135"/>
      <c r="B414" s="135"/>
      <c r="C414" s="135"/>
      <c r="D414" s="135"/>
      <c r="E414" s="135"/>
      <c r="F414" s="135"/>
      <c r="G414" s="135"/>
      <c r="H414" s="189"/>
      <c r="I414" s="182"/>
      <c r="J414" s="189"/>
      <c r="K414" s="135"/>
      <c r="L414" s="135"/>
      <c r="M414" s="135"/>
      <c r="N414" s="135"/>
      <c r="O414" s="189"/>
      <c r="P414" s="135"/>
      <c r="Q414" s="229"/>
      <c r="R414" s="135"/>
      <c r="S414" s="135"/>
      <c r="T414" s="135"/>
      <c r="U414" s="135"/>
      <c r="V414" s="135"/>
    </row>
    <row r="415" customFormat="false" ht="15.75" hidden="false" customHeight="true" outlineLevel="0" collapsed="false">
      <c r="A415" s="135"/>
      <c r="B415" s="135"/>
      <c r="C415" s="135"/>
      <c r="D415" s="135"/>
      <c r="E415" s="135"/>
      <c r="F415" s="135"/>
      <c r="G415" s="135"/>
      <c r="H415" s="189"/>
      <c r="I415" s="182"/>
      <c r="J415" s="189"/>
      <c r="K415" s="135"/>
      <c r="L415" s="135"/>
      <c r="M415" s="135"/>
      <c r="N415" s="135"/>
      <c r="O415" s="189"/>
      <c r="P415" s="135"/>
      <c r="Q415" s="229"/>
      <c r="R415" s="135"/>
      <c r="S415" s="135"/>
      <c r="T415" s="135"/>
      <c r="U415" s="135"/>
      <c r="V415" s="135"/>
    </row>
    <row r="416" customFormat="false" ht="15.75" hidden="false" customHeight="true" outlineLevel="0" collapsed="false">
      <c r="A416" s="135"/>
      <c r="B416" s="135"/>
      <c r="C416" s="135"/>
      <c r="D416" s="135"/>
      <c r="E416" s="135"/>
      <c r="F416" s="135"/>
      <c r="G416" s="135"/>
      <c r="H416" s="189"/>
      <c r="I416" s="182"/>
      <c r="J416" s="189"/>
      <c r="K416" s="135"/>
      <c r="L416" s="135"/>
      <c r="M416" s="135"/>
      <c r="N416" s="135"/>
      <c r="O416" s="189"/>
      <c r="P416" s="135"/>
      <c r="Q416" s="229"/>
      <c r="R416" s="135"/>
      <c r="S416" s="135"/>
      <c r="T416" s="135"/>
      <c r="U416" s="135"/>
      <c r="V416" s="135"/>
    </row>
    <row r="417" customFormat="false" ht="15.75" hidden="false" customHeight="true" outlineLevel="0" collapsed="false">
      <c r="A417" s="135"/>
      <c r="B417" s="135"/>
      <c r="C417" s="135"/>
      <c r="D417" s="135"/>
      <c r="E417" s="135"/>
      <c r="F417" s="135"/>
      <c r="G417" s="135"/>
      <c r="H417" s="189"/>
      <c r="I417" s="182"/>
      <c r="J417" s="189"/>
      <c r="K417" s="135"/>
      <c r="L417" s="135"/>
      <c r="M417" s="135"/>
      <c r="N417" s="135"/>
      <c r="O417" s="189"/>
      <c r="P417" s="135"/>
      <c r="Q417" s="229"/>
      <c r="R417" s="135"/>
      <c r="S417" s="135"/>
      <c r="T417" s="135"/>
      <c r="U417" s="135"/>
      <c r="V417" s="135"/>
    </row>
    <row r="418" customFormat="false" ht="15.75" hidden="false" customHeight="true" outlineLevel="0" collapsed="false">
      <c r="A418" s="135"/>
      <c r="B418" s="135"/>
      <c r="C418" s="135"/>
      <c r="D418" s="135"/>
      <c r="E418" s="135"/>
      <c r="F418" s="135"/>
      <c r="G418" s="135"/>
      <c r="H418" s="189"/>
      <c r="I418" s="182"/>
      <c r="J418" s="189"/>
      <c r="K418" s="135"/>
      <c r="L418" s="135"/>
      <c r="M418" s="135"/>
      <c r="N418" s="135"/>
      <c r="O418" s="189"/>
      <c r="P418" s="135"/>
      <c r="Q418" s="229"/>
      <c r="R418" s="135"/>
      <c r="S418" s="135"/>
      <c r="T418" s="135"/>
      <c r="U418" s="135"/>
      <c r="V418" s="135"/>
    </row>
    <row r="419" customFormat="false" ht="15.75" hidden="false" customHeight="true" outlineLevel="0" collapsed="false">
      <c r="A419" s="135"/>
      <c r="B419" s="135"/>
      <c r="C419" s="135"/>
      <c r="D419" s="135"/>
      <c r="E419" s="135"/>
      <c r="F419" s="135"/>
      <c r="G419" s="135"/>
      <c r="H419" s="189"/>
      <c r="I419" s="182"/>
      <c r="J419" s="189"/>
      <c r="K419" s="135"/>
      <c r="L419" s="135"/>
      <c r="M419" s="135"/>
      <c r="N419" s="135"/>
      <c r="O419" s="189"/>
      <c r="P419" s="135"/>
      <c r="Q419" s="229"/>
      <c r="R419" s="135"/>
      <c r="S419" s="135"/>
      <c r="T419" s="135"/>
      <c r="U419" s="135"/>
      <c r="V419" s="135"/>
    </row>
    <row r="420" customFormat="false" ht="15.75" hidden="false" customHeight="true" outlineLevel="0" collapsed="false">
      <c r="A420" s="135"/>
      <c r="B420" s="135"/>
      <c r="C420" s="135"/>
      <c r="D420" s="135"/>
      <c r="E420" s="135"/>
      <c r="F420" s="135"/>
      <c r="G420" s="135"/>
      <c r="H420" s="189"/>
      <c r="I420" s="182"/>
      <c r="J420" s="189"/>
      <c r="K420" s="135"/>
      <c r="L420" s="135"/>
      <c r="M420" s="135"/>
      <c r="N420" s="135"/>
      <c r="O420" s="189"/>
      <c r="P420" s="135"/>
      <c r="Q420" s="229"/>
      <c r="R420" s="135"/>
      <c r="S420" s="135"/>
      <c r="T420" s="135"/>
      <c r="U420" s="135"/>
      <c r="V420" s="135"/>
    </row>
    <row r="421" customFormat="false" ht="15.75" hidden="false" customHeight="true" outlineLevel="0" collapsed="false">
      <c r="A421" s="135"/>
      <c r="B421" s="135"/>
      <c r="C421" s="135"/>
      <c r="D421" s="135"/>
      <c r="E421" s="135"/>
      <c r="F421" s="135"/>
      <c r="G421" s="135"/>
      <c r="H421" s="189"/>
      <c r="I421" s="182"/>
      <c r="J421" s="189"/>
      <c r="K421" s="135"/>
      <c r="L421" s="135"/>
      <c r="M421" s="135"/>
      <c r="N421" s="135"/>
      <c r="O421" s="189"/>
      <c r="P421" s="135"/>
      <c r="Q421" s="229"/>
      <c r="R421" s="135"/>
      <c r="S421" s="135"/>
      <c r="T421" s="135"/>
      <c r="U421" s="135"/>
      <c r="V421" s="135"/>
    </row>
    <row r="422" customFormat="false" ht="15.75" hidden="false" customHeight="true" outlineLevel="0" collapsed="false">
      <c r="A422" s="135"/>
      <c r="B422" s="135"/>
      <c r="C422" s="135"/>
      <c r="D422" s="135"/>
      <c r="E422" s="135"/>
      <c r="F422" s="135"/>
      <c r="G422" s="135"/>
      <c r="H422" s="189"/>
      <c r="I422" s="182"/>
      <c r="J422" s="189"/>
      <c r="K422" s="135"/>
      <c r="L422" s="135"/>
      <c r="M422" s="135"/>
      <c r="N422" s="135"/>
      <c r="O422" s="189"/>
      <c r="P422" s="135"/>
      <c r="Q422" s="229"/>
      <c r="R422" s="135"/>
      <c r="S422" s="135"/>
      <c r="T422" s="135"/>
      <c r="U422" s="135"/>
      <c r="V422" s="135"/>
    </row>
    <row r="423" customFormat="false" ht="15.75" hidden="false" customHeight="true" outlineLevel="0" collapsed="false">
      <c r="A423" s="135"/>
      <c r="B423" s="135"/>
      <c r="C423" s="135"/>
      <c r="D423" s="135"/>
      <c r="E423" s="135"/>
      <c r="F423" s="135"/>
      <c r="G423" s="135"/>
      <c r="H423" s="189"/>
      <c r="I423" s="182"/>
      <c r="J423" s="189"/>
      <c r="K423" s="135"/>
      <c r="L423" s="135"/>
      <c r="M423" s="135"/>
      <c r="N423" s="135"/>
      <c r="O423" s="189"/>
      <c r="P423" s="135"/>
      <c r="Q423" s="229"/>
      <c r="R423" s="135"/>
      <c r="S423" s="135"/>
      <c r="T423" s="135"/>
      <c r="U423" s="135"/>
      <c r="V423" s="135"/>
    </row>
    <row r="424" customFormat="false" ht="15.75" hidden="false" customHeight="true" outlineLevel="0" collapsed="false">
      <c r="A424" s="135"/>
      <c r="B424" s="135"/>
      <c r="C424" s="135"/>
      <c r="D424" s="135"/>
      <c r="E424" s="135"/>
      <c r="F424" s="135"/>
      <c r="G424" s="135"/>
      <c r="H424" s="189"/>
      <c r="I424" s="182"/>
      <c r="J424" s="189"/>
      <c r="K424" s="135"/>
      <c r="L424" s="135"/>
      <c r="M424" s="135"/>
      <c r="N424" s="135"/>
      <c r="O424" s="189"/>
      <c r="P424" s="135"/>
      <c r="Q424" s="229"/>
      <c r="R424" s="135"/>
      <c r="S424" s="135"/>
      <c r="T424" s="135"/>
      <c r="U424" s="135"/>
      <c r="V424" s="135"/>
    </row>
    <row r="425" customFormat="false" ht="15.75" hidden="false" customHeight="true" outlineLevel="0" collapsed="false">
      <c r="A425" s="135"/>
      <c r="B425" s="135"/>
      <c r="C425" s="135"/>
      <c r="D425" s="135"/>
      <c r="E425" s="135"/>
      <c r="F425" s="135"/>
      <c r="G425" s="135"/>
      <c r="H425" s="189"/>
      <c r="I425" s="182"/>
      <c r="J425" s="189"/>
      <c r="K425" s="135"/>
      <c r="L425" s="135"/>
      <c r="M425" s="135"/>
      <c r="N425" s="135"/>
      <c r="O425" s="189"/>
      <c r="P425" s="135"/>
      <c r="Q425" s="229"/>
      <c r="R425" s="135"/>
      <c r="S425" s="135"/>
      <c r="T425" s="135"/>
      <c r="U425" s="135"/>
      <c r="V425" s="135"/>
    </row>
    <row r="426" customFormat="false" ht="15.75" hidden="false" customHeight="true" outlineLevel="0" collapsed="false">
      <c r="A426" s="135"/>
      <c r="B426" s="135"/>
      <c r="C426" s="135"/>
      <c r="D426" s="135"/>
      <c r="E426" s="135"/>
      <c r="F426" s="135"/>
      <c r="G426" s="135"/>
      <c r="H426" s="189"/>
      <c r="I426" s="182"/>
      <c r="J426" s="189"/>
      <c r="K426" s="135"/>
      <c r="L426" s="135"/>
      <c r="M426" s="135"/>
      <c r="N426" s="135"/>
      <c r="O426" s="189"/>
      <c r="P426" s="135"/>
      <c r="Q426" s="229"/>
      <c r="R426" s="135"/>
      <c r="S426" s="135"/>
      <c r="T426" s="135"/>
      <c r="U426" s="135"/>
      <c r="V426" s="135"/>
    </row>
    <row r="427" customFormat="false" ht="15.75" hidden="false" customHeight="true" outlineLevel="0" collapsed="false">
      <c r="A427" s="135"/>
      <c r="B427" s="135"/>
      <c r="C427" s="135"/>
      <c r="D427" s="135"/>
      <c r="E427" s="135"/>
      <c r="F427" s="135"/>
      <c r="G427" s="135"/>
      <c r="H427" s="189"/>
      <c r="I427" s="182"/>
      <c r="J427" s="189"/>
      <c r="K427" s="135"/>
      <c r="L427" s="135"/>
      <c r="M427" s="135"/>
      <c r="N427" s="135"/>
      <c r="O427" s="189"/>
      <c r="P427" s="135"/>
      <c r="Q427" s="229"/>
      <c r="R427" s="135"/>
      <c r="S427" s="135"/>
      <c r="T427" s="135"/>
      <c r="U427" s="135"/>
      <c r="V427" s="135"/>
    </row>
    <row r="428" customFormat="false" ht="15.75" hidden="false" customHeight="true" outlineLevel="0" collapsed="false">
      <c r="A428" s="135"/>
      <c r="B428" s="135"/>
      <c r="C428" s="135"/>
      <c r="D428" s="135"/>
      <c r="E428" s="135"/>
      <c r="F428" s="135"/>
      <c r="G428" s="135"/>
      <c r="H428" s="189"/>
      <c r="I428" s="182"/>
      <c r="J428" s="189"/>
      <c r="K428" s="135"/>
      <c r="L428" s="135"/>
      <c r="M428" s="135"/>
      <c r="N428" s="135"/>
      <c r="O428" s="189"/>
      <c r="P428" s="135"/>
      <c r="Q428" s="229"/>
      <c r="R428" s="135"/>
      <c r="S428" s="135"/>
      <c r="T428" s="135"/>
      <c r="U428" s="135"/>
      <c r="V428" s="135"/>
    </row>
    <row r="429" customFormat="false" ht="15.75" hidden="false" customHeight="true" outlineLevel="0" collapsed="false">
      <c r="A429" s="135"/>
      <c r="B429" s="135"/>
      <c r="C429" s="135"/>
      <c r="D429" s="135"/>
      <c r="E429" s="135"/>
      <c r="F429" s="135"/>
      <c r="G429" s="135"/>
      <c r="H429" s="189"/>
      <c r="I429" s="182"/>
      <c r="J429" s="189"/>
      <c r="K429" s="135"/>
      <c r="L429" s="135"/>
      <c r="M429" s="135"/>
      <c r="N429" s="135"/>
      <c r="O429" s="189"/>
      <c r="P429" s="135"/>
      <c r="Q429" s="229"/>
      <c r="R429" s="135"/>
      <c r="S429" s="135"/>
      <c r="T429" s="135"/>
      <c r="U429" s="135"/>
      <c r="V429" s="135"/>
    </row>
    <row r="430" customFormat="false" ht="15.75" hidden="false" customHeight="true" outlineLevel="0" collapsed="false">
      <c r="A430" s="135"/>
      <c r="B430" s="135"/>
      <c r="C430" s="135"/>
      <c r="D430" s="135"/>
      <c r="E430" s="135"/>
      <c r="F430" s="135"/>
      <c r="G430" s="135"/>
      <c r="H430" s="189"/>
      <c r="I430" s="182"/>
      <c r="J430" s="189"/>
      <c r="K430" s="135"/>
      <c r="L430" s="135"/>
      <c r="M430" s="135"/>
      <c r="N430" s="135"/>
      <c r="O430" s="189"/>
      <c r="P430" s="135"/>
      <c r="Q430" s="229"/>
      <c r="R430" s="135"/>
      <c r="S430" s="135"/>
      <c r="T430" s="135"/>
      <c r="U430" s="135"/>
      <c r="V430" s="135"/>
    </row>
    <row r="431" customFormat="false" ht="15.75" hidden="false" customHeight="true" outlineLevel="0" collapsed="false">
      <c r="A431" s="135"/>
      <c r="B431" s="135"/>
      <c r="C431" s="135"/>
      <c r="D431" s="135"/>
      <c r="E431" s="135"/>
      <c r="F431" s="135"/>
      <c r="G431" s="135"/>
      <c r="H431" s="189"/>
      <c r="I431" s="182"/>
      <c r="J431" s="189"/>
      <c r="K431" s="135"/>
      <c r="L431" s="135"/>
      <c r="M431" s="135"/>
      <c r="N431" s="135"/>
      <c r="O431" s="189"/>
      <c r="P431" s="135"/>
      <c r="Q431" s="229"/>
      <c r="R431" s="135"/>
      <c r="S431" s="135"/>
      <c r="T431" s="135"/>
      <c r="U431" s="135"/>
      <c r="V431" s="135"/>
    </row>
    <row r="432" customFormat="false" ht="15.75" hidden="false" customHeight="true" outlineLevel="0" collapsed="false">
      <c r="A432" s="135"/>
      <c r="B432" s="135"/>
      <c r="C432" s="135"/>
      <c r="D432" s="135"/>
      <c r="E432" s="135"/>
      <c r="F432" s="135"/>
      <c r="G432" s="135"/>
      <c r="H432" s="189"/>
      <c r="I432" s="182"/>
      <c r="J432" s="189"/>
      <c r="K432" s="135"/>
      <c r="L432" s="135"/>
      <c r="M432" s="135"/>
      <c r="N432" s="135"/>
      <c r="O432" s="189"/>
      <c r="P432" s="135"/>
      <c r="Q432" s="229"/>
      <c r="R432" s="135"/>
      <c r="S432" s="135"/>
      <c r="T432" s="135"/>
      <c r="U432" s="135"/>
      <c r="V432" s="135"/>
    </row>
    <row r="433" customFormat="false" ht="15.75" hidden="false" customHeight="true" outlineLevel="0" collapsed="false">
      <c r="A433" s="135"/>
      <c r="B433" s="135"/>
      <c r="C433" s="135"/>
      <c r="D433" s="135"/>
      <c r="E433" s="135"/>
      <c r="F433" s="135"/>
      <c r="G433" s="135"/>
      <c r="H433" s="189"/>
      <c r="I433" s="182"/>
      <c r="J433" s="189"/>
      <c r="K433" s="135"/>
      <c r="L433" s="135"/>
      <c r="M433" s="135"/>
      <c r="N433" s="135"/>
      <c r="O433" s="189"/>
      <c r="P433" s="135"/>
      <c r="Q433" s="229"/>
      <c r="R433" s="135"/>
      <c r="S433" s="135"/>
      <c r="T433" s="135"/>
      <c r="U433" s="135"/>
      <c r="V433" s="135"/>
    </row>
    <row r="434" customFormat="false" ht="15.75" hidden="false" customHeight="true" outlineLevel="0" collapsed="false">
      <c r="A434" s="135"/>
      <c r="B434" s="135"/>
      <c r="C434" s="135"/>
      <c r="D434" s="135"/>
      <c r="E434" s="135"/>
      <c r="F434" s="135"/>
      <c r="G434" s="135"/>
      <c r="H434" s="189"/>
      <c r="I434" s="182"/>
      <c r="J434" s="189"/>
      <c r="K434" s="135"/>
      <c r="L434" s="135"/>
      <c r="M434" s="135"/>
      <c r="N434" s="135"/>
      <c r="O434" s="189"/>
      <c r="P434" s="135"/>
      <c r="Q434" s="229"/>
      <c r="R434" s="135"/>
      <c r="S434" s="135"/>
      <c r="T434" s="135"/>
      <c r="U434" s="135"/>
      <c r="V434" s="135"/>
    </row>
    <row r="435" customFormat="false" ht="15.75" hidden="false" customHeight="true" outlineLevel="0" collapsed="false">
      <c r="A435" s="135"/>
      <c r="B435" s="135"/>
      <c r="C435" s="135"/>
      <c r="D435" s="135"/>
      <c r="E435" s="135"/>
      <c r="F435" s="135"/>
      <c r="G435" s="135"/>
      <c r="H435" s="189"/>
      <c r="I435" s="182"/>
      <c r="J435" s="189"/>
      <c r="K435" s="135"/>
      <c r="L435" s="135"/>
      <c r="M435" s="135"/>
      <c r="N435" s="135"/>
      <c r="O435" s="189"/>
      <c r="P435" s="135"/>
      <c r="Q435" s="229"/>
      <c r="R435" s="135"/>
      <c r="S435" s="135"/>
      <c r="T435" s="135"/>
      <c r="U435" s="135"/>
      <c r="V435" s="135"/>
    </row>
    <row r="436" customFormat="false" ht="15.75" hidden="false" customHeight="true" outlineLevel="0" collapsed="false">
      <c r="A436" s="135"/>
      <c r="B436" s="135"/>
      <c r="C436" s="135"/>
      <c r="D436" s="135"/>
      <c r="E436" s="135"/>
      <c r="F436" s="135"/>
      <c r="G436" s="135"/>
      <c r="H436" s="189"/>
      <c r="I436" s="182"/>
      <c r="J436" s="189"/>
      <c r="K436" s="135"/>
      <c r="L436" s="135"/>
      <c r="M436" s="135"/>
      <c r="N436" s="135"/>
      <c r="O436" s="189"/>
      <c r="P436" s="135"/>
      <c r="Q436" s="229"/>
      <c r="R436" s="135"/>
      <c r="S436" s="135"/>
      <c r="T436" s="135"/>
      <c r="U436" s="135"/>
      <c r="V436" s="135"/>
    </row>
    <row r="437" customFormat="false" ht="15.75" hidden="false" customHeight="true" outlineLevel="0" collapsed="false">
      <c r="A437" s="135"/>
      <c r="B437" s="135"/>
      <c r="C437" s="135"/>
      <c r="D437" s="135"/>
      <c r="E437" s="135"/>
      <c r="F437" s="135"/>
      <c r="G437" s="135"/>
      <c r="H437" s="189"/>
      <c r="I437" s="182"/>
      <c r="J437" s="189"/>
      <c r="K437" s="135"/>
      <c r="L437" s="135"/>
      <c r="M437" s="135"/>
      <c r="N437" s="135"/>
      <c r="O437" s="189"/>
      <c r="P437" s="135"/>
      <c r="Q437" s="229"/>
      <c r="R437" s="135"/>
      <c r="S437" s="135"/>
      <c r="T437" s="135"/>
      <c r="U437" s="135"/>
      <c r="V437" s="135"/>
    </row>
    <row r="438" customFormat="false" ht="15.75" hidden="false" customHeight="true" outlineLevel="0" collapsed="false">
      <c r="A438" s="135"/>
      <c r="B438" s="135"/>
      <c r="C438" s="135"/>
      <c r="D438" s="135"/>
      <c r="E438" s="135"/>
      <c r="F438" s="135"/>
      <c r="G438" s="135"/>
      <c r="H438" s="189"/>
      <c r="I438" s="182"/>
      <c r="J438" s="189"/>
      <c r="K438" s="135"/>
      <c r="L438" s="135"/>
      <c r="M438" s="135"/>
      <c r="N438" s="135"/>
      <c r="O438" s="189"/>
      <c r="P438" s="135"/>
      <c r="Q438" s="229"/>
      <c r="R438" s="135"/>
      <c r="S438" s="135"/>
      <c r="T438" s="135"/>
      <c r="U438" s="135"/>
      <c r="V438" s="135"/>
    </row>
    <row r="439" customFormat="false" ht="15.75" hidden="false" customHeight="true" outlineLevel="0" collapsed="false">
      <c r="A439" s="135"/>
      <c r="B439" s="135"/>
      <c r="C439" s="135"/>
      <c r="D439" s="135"/>
      <c r="E439" s="135"/>
      <c r="F439" s="135"/>
      <c r="G439" s="135"/>
      <c r="H439" s="189"/>
      <c r="I439" s="182"/>
      <c r="J439" s="189"/>
      <c r="K439" s="135"/>
      <c r="L439" s="135"/>
      <c r="M439" s="135"/>
      <c r="N439" s="135"/>
      <c r="O439" s="189"/>
      <c r="P439" s="135"/>
      <c r="Q439" s="229"/>
      <c r="R439" s="135"/>
      <c r="S439" s="135"/>
      <c r="T439" s="135"/>
      <c r="U439" s="135"/>
      <c r="V439" s="135"/>
    </row>
    <row r="440" customFormat="false" ht="15.75" hidden="false" customHeight="true" outlineLevel="0" collapsed="false">
      <c r="A440" s="135"/>
      <c r="B440" s="135"/>
      <c r="C440" s="135"/>
      <c r="D440" s="135"/>
      <c r="E440" s="135"/>
      <c r="F440" s="135"/>
      <c r="G440" s="135"/>
      <c r="H440" s="189"/>
      <c r="I440" s="182"/>
      <c r="J440" s="189"/>
      <c r="K440" s="135"/>
      <c r="L440" s="135"/>
      <c r="M440" s="135"/>
      <c r="N440" s="135"/>
      <c r="O440" s="189"/>
      <c r="P440" s="135"/>
      <c r="Q440" s="229"/>
      <c r="R440" s="135"/>
      <c r="S440" s="135"/>
      <c r="T440" s="135"/>
      <c r="U440" s="135"/>
      <c r="V440" s="135"/>
    </row>
    <row r="441" customFormat="false" ht="15.75" hidden="false" customHeight="true" outlineLevel="0" collapsed="false">
      <c r="A441" s="135"/>
      <c r="B441" s="135"/>
      <c r="C441" s="135"/>
      <c r="D441" s="135"/>
      <c r="E441" s="135"/>
      <c r="F441" s="135"/>
      <c r="G441" s="135"/>
      <c r="H441" s="189"/>
      <c r="I441" s="182"/>
      <c r="J441" s="189"/>
      <c r="K441" s="135"/>
      <c r="L441" s="135"/>
      <c r="M441" s="135"/>
      <c r="N441" s="135"/>
      <c r="O441" s="189"/>
      <c r="P441" s="135"/>
      <c r="Q441" s="229"/>
      <c r="R441" s="135"/>
      <c r="S441" s="135"/>
      <c r="T441" s="135"/>
      <c r="U441" s="135"/>
      <c r="V441" s="135"/>
    </row>
    <row r="442" customFormat="false" ht="15.75" hidden="false" customHeight="true" outlineLevel="0" collapsed="false">
      <c r="A442" s="135"/>
      <c r="B442" s="135"/>
      <c r="C442" s="135"/>
      <c r="D442" s="135"/>
      <c r="E442" s="135"/>
      <c r="F442" s="135"/>
      <c r="G442" s="135"/>
      <c r="H442" s="189"/>
      <c r="I442" s="182"/>
      <c r="J442" s="189"/>
      <c r="K442" s="135"/>
      <c r="L442" s="135"/>
      <c r="M442" s="135"/>
      <c r="N442" s="135"/>
      <c r="O442" s="189"/>
      <c r="P442" s="135"/>
      <c r="Q442" s="229"/>
      <c r="R442" s="135"/>
      <c r="S442" s="135"/>
      <c r="T442" s="135"/>
      <c r="U442" s="135"/>
      <c r="V442" s="135"/>
    </row>
    <row r="443" customFormat="false" ht="15.75" hidden="false" customHeight="true" outlineLevel="0" collapsed="false">
      <c r="A443" s="135"/>
      <c r="B443" s="135"/>
      <c r="C443" s="135"/>
      <c r="D443" s="135"/>
      <c r="E443" s="135"/>
      <c r="F443" s="135"/>
      <c r="G443" s="135"/>
      <c r="H443" s="189"/>
      <c r="I443" s="182"/>
      <c r="J443" s="189"/>
      <c r="K443" s="135"/>
      <c r="L443" s="135"/>
      <c r="M443" s="135"/>
      <c r="N443" s="135"/>
      <c r="O443" s="189"/>
      <c r="P443" s="135"/>
      <c r="Q443" s="229"/>
      <c r="R443" s="135"/>
      <c r="S443" s="135"/>
      <c r="T443" s="135"/>
      <c r="U443" s="135"/>
      <c r="V443" s="135"/>
    </row>
    <row r="444" customFormat="false" ht="15.75" hidden="false" customHeight="true" outlineLevel="0" collapsed="false">
      <c r="A444" s="135"/>
      <c r="B444" s="135"/>
      <c r="C444" s="135"/>
      <c r="D444" s="135"/>
      <c r="E444" s="135"/>
      <c r="F444" s="135"/>
      <c r="G444" s="135"/>
      <c r="H444" s="189"/>
      <c r="I444" s="182"/>
      <c r="J444" s="189"/>
      <c r="K444" s="135"/>
      <c r="L444" s="135"/>
      <c r="M444" s="135"/>
      <c r="N444" s="135"/>
      <c r="O444" s="189"/>
      <c r="P444" s="135"/>
      <c r="Q444" s="229"/>
      <c r="R444" s="135"/>
      <c r="S444" s="135"/>
      <c r="T444" s="135"/>
      <c r="U444" s="135"/>
      <c r="V444" s="135"/>
    </row>
    <row r="445" customFormat="false" ht="15.75" hidden="false" customHeight="true" outlineLevel="0" collapsed="false">
      <c r="A445" s="135"/>
      <c r="B445" s="135"/>
      <c r="C445" s="135"/>
      <c r="D445" s="135"/>
      <c r="E445" s="135"/>
      <c r="F445" s="135"/>
      <c r="G445" s="135"/>
      <c r="H445" s="189"/>
      <c r="I445" s="182"/>
      <c r="J445" s="189"/>
      <c r="K445" s="135"/>
      <c r="L445" s="135"/>
      <c r="M445" s="135"/>
      <c r="N445" s="135"/>
      <c r="O445" s="189"/>
      <c r="P445" s="135"/>
      <c r="Q445" s="229"/>
      <c r="R445" s="135"/>
      <c r="S445" s="135"/>
      <c r="T445" s="135"/>
      <c r="U445" s="135"/>
      <c r="V445" s="135"/>
    </row>
    <row r="446" customFormat="false" ht="15.75" hidden="false" customHeight="true" outlineLevel="0" collapsed="false">
      <c r="A446" s="135"/>
      <c r="B446" s="135"/>
      <c r="C446" s="135"/>
      <c r="D446" s="135"/>
      <c r="E446" s="135"/>
      <c r="F446" s="135"/>
      <c r="G446" s="135"/>
      <c r="H446" s="189"/>
      <c r="I446" s="182"/>
      <c r="J446" s="189"/>
      <c r="K446" s="135"/>
      <c r="L446" s="135"/>
      <c r="M446" s="135"/>
      <c r="N446" s="135"/>
      <c r="O446" s="189"/>
      <c r="P446" s="135"/>
      <c r="Q446" s="229"/>
      <c r="R446" s="135"/>
      <c r="S446" s="135"/>
      <c r="T446" s="135"/>
      <c r="U446" s="135"/>
      <c r="V446" s="135"/>
    </row>
    <row r="447" customFormat="false" ht="15.75" hidden="false" customHeight="true" outlineLevel="0" collapsed="false">
      <c r="A447" s="135"/>
      <c r="B447" s="135"/>
      <c r="C447" s="135"/>
      <c r="D447" s="135"/>
      <c r="E447" s="135"/>
      <c r="F447" s="135"/>
      <c r="G447" s="135"/>
      <c r="H447" s="189"/>
      <c r="I447" s="182"/>
      <c r="J447" s="189"/>
      <c r="K447" s="135"/>
      <c r="L447" s="135"/>
      <c r="M447" s="135"/>
      <c r="N447" s="135"/>
      <c r="O447" s="189"/>
      <c r="P447" s="135"/>
      <c r="Q447" s="229"/>
      <c r="R447" s="135"/>
      <c r="S447" s="135"/>
      <c r="T447" s="135"/>
      <c r="U447" s="135"/>
      <c r="V447" s="135"/>
    </row>
    <row r="448" customFormat="false" ht="15.75" hidden="false" customHeight="true" outlineLevel="0" collapsed="false">
      <c r="A448" s="135"/>
      <c r="B448" s="135"/>
      <c r="C448" s="135"/>
      <c r="D448" s="135"/>
      <c r="E448" s="135"/>
      <c r="F448" s="135"/>
      <c r="G448" s="135"/>
      <c r="H448" s="189"/>
      <c r="I448" s="182"/>
      <c r="J448" s="189"/>
      <c r="K448" s="135"/>
      <c r="L448" s="135"/>
      <c r="M448" s="135"/>
      <c r="N448" s="135"/>
      <c r="O448" s="189"/>
      <c r="P448" s="135"/>
      <c r="Q448" s="229"/>
      <c r="R448" s="135"/>
      <c r="S448" s="135"/>
      <c r="T448" s="135"/>
      <c r="U448" s="135"/>
      <c r="V448" s="135"/>
    </row>
    <row r="449" customFormat="false" ht="15.75" hidden="false" customHeight="true" outlineLevel="0" collapsed="false">
      <c r="A449" s="135"/>
      <c r="B449" s="135"/>
      <c r="C449" s="135"/>
      <c r="D449" s="135"/>
      <c r="E449" s="135"/>
      <c r="F449" s="135"/>
      <c r="G449" s="135"/>
      <c r="H449" s="189"/>
      <c r="I449" s="182"/>
      <c r="J449" s="189"/>
      <c r="K449" s="135"/>
      <c r="L449" s="135"/>
      <c r="M449" s="135"/>
      <c r="N449" s="135"/>
      <c r="O449" s="189"/>
      <c r="P449" s="135"/>
      <c r="Q449" s="229"/>
      <c r="R449" s="135"/>
      <c r="S449" s="135"/>
      <c r="T449" s="135"/>
      <c r="U449" s="135"/>
      <c r="V449" s="135"/>
    </row>
    <row r="450" customFormat="false" ht="15.75" hidden="false" customHeight="true" outlineLevel="0" collapsed="false">
      <c r="A450" s="135"/>
      <c r="B450" s="135"/>
      <c r="C450" s="135"/>
      <c r="D450" s="135"/>
      <c r="E450" s="135"/>
      <c r="F450" s="135"/>
      <c r="G450" s="135"/>
      <c r="H450" s="189"/>
      <c r="I450" s="182"/>
      <c r="J450" s="189"/>
      <c r="K450" s="135"/>
      <c r="L450" s="135"/>
      <c r="M450" s="135"/>
      <c r="N450" s="135"/>
      <c r="O450" s="189"/>
      <c r="P450" s="135"/>
      <c r="Q450" s="229"/>
      <c r="R450" s="135"/>
      <c r="S450" s="135"/>
      <c r="T450" s="135"/>
      <c r="U450" s="135"/>
      <c r="V450" s="135"/>
    </row>
    <row r="451" customFormat="false" ht="15.75" hidden="false" customHeight="true" outlineLevel="0" collapsed="false">
      <c r="A451" s="135"/>
      <c r="B451" s="135"/>
      <c r="C451" s="135"/>
      <c r="D451" s="135"/>
      <c r="E451" s="135"/>
      <c r="F451" s="135"/>
      <c r="G451" s="135"/>
      <c r="H451" s="189"/>
      <c r="I451" s="182"/>
      <c r="J451" s="189"/>
      <c r="K451" s="135"/>
      <c r="L451" s="135"/>
      <c r="M451" s="135"/>
      <c r="N451" s="135"/>
      <c r="O451" s="189"/>
      <c r="P451" s="135"/>
      <c r="Q451" s="229"/>
      <c r="R451" s="135"/>
      <c r="S451" s="135"/>
      <c r="T451" s="135"/>
      <c r="U451" s="135"/>
      <c r="V451" s="135"/>
    </row>
    <row r="452" customFormat="false" ht="15.75" hidden="false" customHeight="true" outlineLevel="0" collapsed="false">
      <c r="A452" s="135"/>
      <c r="B452" s="135"/>
      <c r="C452" s="135"/>
      <c r="D452" s="135"/>
      <c r="E452" s="135"/>
      <c r="F452" s="135"/>
      <c r="G452" s="135"/>
      <c r="H452" s="189"/>
      <c r="I452" s="182"/>
      <c r="J452" s="189"/>
      <c r="K452" s="135"/>
      <c r="L452" s="135"/>
      <c r="M452" s="135"/>
      <c r="N452" s="135"/>
      <c r="O452" s="189"/>
      <c r="P452" s="135"/>
      <c r="Q452" s="229"/>
      <c r="R452" s="135"/>
      <c r="S452" s="135"/>
      <c r="T452" s="135"/>
      <c r="U452" s="135"/>
      <c r="V452" s="135"/>
    </row>
    <row r="453" customFormat="false" ht="15.75" hidden="false" customHeight="true" outlineLevel="0" collapsed="false">
      <c r="A453" s="135"/>
      <c r="B453" s="135"/>
      <c r="C453" s="135"/>
      <c r="D453" s="135"/>
      <c r="E453" s="135"/>
      <c r="F453" s="135"/>
      <c r="G453" s="135"/>
      <c r="H453" s="189"/>
      <c r="I453" s="182"/>
      <c r="J453" s="189"/>
      <c r="K453" s="135"/>
      <c r="L453" s="135"/>
      <c r="M453" s="135"/>
      <c r="N453" s="135"/>
      <c r="O453" s="189"/>
      <c r="P453" s="135"/>
      <c r="Q453" s="229"/>
      <c r="R453" s="135"/>
      <c r="S453" s="135"/>
      <c r="T453" s="135"/>
      <c r="U453" s="135"/>
      <c r="V453" s="135"/>
    </row>
    <row r="454" customFormat="false" ht="15.75" hidden="false" customHeight="true" outlineLevel="0" collapsed="false">
      <c r="A454" s="135"/>
      <c r="B454" s="135"/>
      <c r="C454" s="135"/>
      <c r="D454" s="135"/>
      <c r="E454" s="135"/>
      <c r="F454" s="135"/>
      <c r="G454" s="135"/>
      <c r="H454" s="189"/>
      <c r="I454" s="182"/>
      <c r="J454" s="189"/>
      <c r="K454" s="135"/>
      <c r="L454" s="135"/>
      <c r="M454" s="135"/>
      <c r="N454" s="135"/>
      <c r="O454" s="189"/>
      <c r="P454" s="135"/>
      <c r="Q454" s="229"/>
      <c r="R454" s="135"/>
      <c r="S454" s="135"/>
      <c r="T454" s="135"/>
      <c r="U454" s="135"/>
      <c r="V454" s="135"/>
    </row>
    <row r="455" customFormat="false" ht="15.75" hidden="false" customHeight="true" outlineLevel="0" collapsed="false">
      <c r="A455" s="135"/>
      <c r="B455" s="135"/>
      <c r="C455" s="135"/>
      <c r="D455" s="135"/>
      <c r="E455" s="135"/>
      <c r="F455" s="135"/>
      <c r="G455" s="135"/>
      <c r="H455" s="189"/>
      <c r="I455" s="182"/>
      <c r="J455" s="189"/>
      <c r="K455" s="135"/>
      <c r="L455" s="135"/>
      <c r="M455" s="135"/>
      <c r="N455" s="135"/>
      <c r="O455" s="189"/>
      <c r="P455" s="135"/>
      <c r="Q455" s="229"/>
      <c r="R455" s="135"/>
      <c r="S455" s="135"/>
      <c r="T455" s="135"/>
      <c r="U455" s="135"/>
      <c r="V455" s="135"/>
    </row>
    <row r="456" customFormat="false" ht="15.75" hidden="false" customHeight="true" outlineLevel="0" collapsed="false">
      <c r="A456" s="135"/>
      <c r="B456" s="135"/>
      <c r="C456" s="135"/>
      <c r="D456" s="135"/>
      <c r="E456" s="135"/>
      <c r="F456" s="135"/>
      <c r="G456" s="135"/>
      <c r="H456" s="189"/>
      <c r="I456" s="182"/>
      <c r="J456" s="189"/>
      <c r="K456" s="135"/>
      <c r="L456" s="135"/>
      <c r="M456" s="135"/>
      <c r="N456" s="135"/>
      <c r="O456" s="189"/>
      <c r="P456" s="135"/>
      <c r="Q456" s="229"/>
      <c r="R456" s="135"/>
      <c r="S456" s="135"/>
      <c r="T456" s="135"/>
      <c r="U456" s="135"/>
      <c r="V456" s="135"/>
    </row>
    <row r="457" customFormat="false" ht="15.75" hidden="false" customHeight="true" outlineLevel="0" collapsed="false">
      <c r="A457" s="135"/>
      <c r="B457" s="135"/>
      <c r="C457" s="135"/>
      <c r="D457" s="135"/>
      <c r="E457" s="135"/>
      <c r="F457" s="135"/>
      <c r="G457" s="135"/>
      <c r="H457" s="189"/>
      <c r="I457" s="182"/>
      <c r="J457" s="189"/>
      <c r="K457" s="135"/>
      <c r="L457" s="135"/>
      <c r="M457" s="135"/>
      <c r="N457" s="135"/>
      <c r="O457" s="189"/>
      <c r="P457" s="135"/>
      <c r="Q457" s="229"/>
      <c r="R457" s="135"/>
      <c r="S457" s="135"/>
      <c r="T457" s="135"/>
      <c r="U457" s="135"/>
      <c r="V457" s="135"/>
    </row>
    <row r="458" customFormat="false" ht="15.75" hidden="false" customHeight="true" outlineLevel="0" collapsed="false">
      <c r="A458" s="135"/>
      <c r="B458" s="135"/>
      <c r="C458" s="135"/>
      <c r="D458" s="135"/>
      <c r="E458" s="135"/>
      <c r="F458" s="135"/>
      <c r="G458" s="135"/>
      <c r="H458" s="189"/>
      <c r="I458" s="182"/>
      <c r="J458" s="189"/>
      <c r="K458" s="135"/>
      <c r="L458" s="135"/>
      <c r="M458" s="135"/>
      <c r="N458" s="135"/>
      <c r="O458" s="189"/>
      <c r="P458" s="135"/>
      <c r="Q458" s="229"/>
      <c r="R458" s="135"/>
      <c r="S458" s="135"/>
      <c r="T458" s="135"/>
      <c r="U458" s="135"/>
      <c r="V458" s="135"/>
    </row>
    <row r="459" customFormat="false" ht="15.75" hidden="false" customHeight="true" outlineLevel="0" collapsed="false">
      <c r="A459" s="135"/>
      <c r="B459" s="135"/>
      <c r="C459" s="135"/>
      <c r="D459" s="135"/>
      <c r="E459" s="135"/>
      <c r="F459" s="135"/>
      <c r="G459" s="135"/>
      <c r="H459" s="189"/>
      <c r="I459" s="182"/>
      <c r="J459" s="189"/>
      <c r="K459" s="135"/>
      <c r="L459" s="135"/>
      <c r="M459" s="135"/>
      <c r="N459" s="135"/>
      <c r="O459" s="189"/>
      <c r="P459" s="135"/>
      <c r="Q459" s="229"/>
      <c r="R459" s="135"/>
      <c r="S459" s="135"/>
      <c r="T459" s="135"/>
      <c r="U459" s="135"/>
      <c r="V459" s="135"/>
    </row>
    <row r="460" customFormat="false" ht="15.75" hidden="false" customHeight="true" outlineLevel="0" collapsed="false">
      <c r="A460" s="135"/>
      <c r="B460" s="135"/>
      <c r="C460" s="135"/>
      <c r="D460" s="135"/>
      <c r="E460" s="135"/>
      <c r="F460" s="135"/>
      <c r="G460" s="135"/>
      <c r="H460" s="189"/>
      <c r="I460" s="182"/>
      <c r="J460" s="189"/>
      <c r="K460" s="135"/>
      <c r="L460" s="135"/>
      <c r="M460" s="135"/>
      <c r="N460" s="135"/>
      <c r="O460" s="189"/>
      <c r="P460" s="135"/>
      <c r="Q460" s="229"/>
      <c r="R460" s="135"/>
      <c r="S460" s="135"/>
      <c r="T460" s="135"/>
      <c r="U460" s="135"/>
      <c r="V460" s="135"/>
    </row>
    <row r="461" customFormat="false" ht="15.75" hidden="false" customHeight="true" outlineLevel="0" collapsed="false">
      <c r="A461" s="135"/>
      <c r="B461" s="135"/>
      <c r="C461" s="135"/>
      <c r="D461" s="135"/>
      <c r="E461" s="135"/>
      <c r="F461" s="135"/>
      <c r="G461" s="135"/>
      <c r="H461" s="189"/>
      <c r="I461" s="182"/>
      <c r="J461" s="189"/>
      <c r="K461" s="135"/>
      <c r="L461" s="135"/>
      <c r="M461" s="135"/>
      <c r="N461" s="135"/>
      <c r="O461" s="189"/>
      <c r="P461" s="135"/>
      <c r="Q461" s="229"/>
      <c r="R461" s="135"/>
      <c r="S461" s="135"/>
      <c r="T461" s="135"/>
      <c r="U461" s="135"/>
      <c r="V461" s="135"/>
    </row>
    <row r="462" customFormat="false" ht="15.75" hidden="false" customHeight="true" outlineLevel="0" collapsed="false">
      <c r="A462" s="135"/>
      <c r="B462" s="135"/>
      <c r="C462" s="135"/>
      <c r="D462" s="135"/>
      <c r="E462" s="135"/>
      <c r="F462" s="135"/>
      <c r="G462" s="135"/>
      <c r="H462" s="189"/>
      <c r="I462" s="182"/>
      <c r="J462" s="189"/>
      <c r="K462" s="135"/>
      <c r="L462" s="135"/>
      <c r="M462" s="135"/>
      <c r="N462" s="135"/>
      <c r="O462" s="189"/>
      <c r="P462" s="135"/>
      <c r="Q462" s="229"/>
      <c r="R462" s="135"/>
      <c r="S462" s="135"/>
      <c r="T462" s="135"/>
      <c r="U462" s="135"/>
      <c r="V462" s="135"/>
    </row>
    <row r="463" customFormat="false" ht="15.75" hidden="false" customHeight="true" outlineLevel="0" collapsed="false">
      <c r="A463" s="135"/>
      <c r="B463" s="135"/>
      <c r="C463" s="135"/>
      <c r="D463" s="135"/>
      <c r="E463" s="135"/>
      <c r="F463" s="135"/>
      <c r="G463" s="135"/>
      <c r="H463" s="189"/>
      <c r="I463" s="182"/>
      <c r="J463" s="189"/>
      <c r="K463" s="135"/>
      <c r="L463" s="135"/>
      <c r="M463" s="135"/>
      <c r="N463" s="135"/>
      <c r="O463" s="189"/>
      <c r="P463" s="135"/>
      <c r="Q463" s="229"/>
      <c r="R463" s="135"/>
      <c r="S463" s="135"/>
      <c r="T463" s="135"/>
      <c r="U463" s="135"/>
      <c r="V463" s="135"/>
    </row>
    <row r="464" customFormat="false" ht="15.75" hidden="false" customHeight="true" outlineLevel="0" collapsed="false">
      <c r="A464" s="135"/>
      <c r="B464" s="135"/>
      <c r="C464" s="135"/>
      <c r="D464" s="135"/>
      <c r="E464" s="135"/>
      <c r="F464" s="135"/>
      <c r="G464" s="135"/>
      <c r="H464" s="189"/>
      <c r="I464" s="182"/>
      <c r="J464" s="189"/>
      <c r="K464" s="135"/>
      <c r="L464" s="135"/>
      <c r="M464" s="135"/>
      <c r="N464" s="135"/>
      <c r="O464" s="189"/>
      <c r="P464" s="135"/>
      <c r="Q464" s="229"/>
      <c r="R464" s="135"/>
      <c r="S464" s="135"/>
      <c r="T464" s="135"/>
      <c r="U464" s="135"/>
      <c r="V464" s="135"/>
    </row>
    <row r="465" customFormat="false" ht="15.75" hidden="false" customHeight="true" outlineLevel="0" collapsed="false">
      <c r="A465" s="135"/>
      <c r="B465" s="135"/>
      <c r="C465" s="135"/>
      <c r="D465" s="135"/>
      <c r="E465" s="135"/>
      <c r="F465" s="135"/>
      <c r="G465" s="135"/>
      <c r="H465" s="189"/>
      <c r="I465" s="182"/>
      <c r="J465" s="189"/>
      <c r="K465" s="135"/>
      <c r="L465" s="135"/>
      <c r="M465" s="135"/>
      <c r="N465" s="135"/>
      <c r="O465" s="189"/>
      <c r="P465" s="135"/>
      <c r="Q465" s="229"/>
      <c r="R465" s="135"/>
      <c r="S465" s="135"/>
      <c r="T465" s="135"/>
      <c r="U465" s="135"/>
      <c r="V465" s="135"/>
    </row>
    <row r="466" customFormat="false" ht="15.75" hidden="false" customHeight="true" outlineLevel="0" collapsed="false">
      <c r="A466" s="135"/>
      <c r="B466" s="135"/>
      <c r="C466" s="135"/>
      <c r="D466" s="135"/>
      <c r="E466" s="135"/>
      <c r="F466" s="135"/>
      <c r="G466" s="135"/>
      <c r="H466" s="189"/>
      <c r="I466" s="182"/>
      <c r="J466" s="189"/>
      <c r="K466" s="135"/>
      <c r="L466" s="135"/>
      <c r="M466" s="135"/>
      <c r="N466" s="135"/>
      <c r="O466" s="189"/>
      <c r="P466" s="135"/>
      <c r="Q466" s="229"/>
      <c r="R466" s="135"/>
      <c r="S466" s="135"/>
      <c r="T466" s="135"/>
      <c r="U466" s="135"/>
      <c r="V466" s="135"/>
    </row>
    <row r="467" customFormat="false" ht="15.75" hidden="false" customHeight="true" outlineLevel="0" collapsed="false">
      <c r="A467" s="135"/>
      <c r="B467" s="135"/>
      <c r="C467" s="135"/>
      <c r="D467" s="135"/>
      <c r="E467" s="135"/>
      <c r="F467" s="135"/>
      <c r="G467" s="135"/>
      <c r="H467" s="189"/>
      <c r="I467" s="182"/>
      <c r="J467" s="189"/>
      <c r="K467" s="135"/>
      <c r="L467" s="135"/>
      <c r="M467" s="135"/>
      <c r="N467" s="135"/>
      <c r="O467" s="189"/>
      <c r="P467" s="135"/>
      <c r="Q467" s="229"/>
      <c r="R467" s="135"/>
      <c r="S467" s="135"/>
      <c r="T467" s="135"/>
      <c r="U467" s="135"/>
      <c r="V467" s="135"/>
    </row>
    <row r="468" customFormat="false" ht="15.75" hidden="false" customHeight="true" outlineLevel="0" collapsed="false">
      <c r="A468" s="135"/>
      <c r="B468" s="135"/>
      <c r="C468" s="135"/>
      <c r="D468" s="135"/>
      <c r="E468" s="135"/>
      <c r="F468" s="135"/>
      <c r="G468" s="135"/>
      <c r="H468" s="189"/>
      <c r="I468" s="182"/>
      <c r="J468" s="189"/>
      <c r="K468" s="135"/>
      <c r="L468" s="135"/>
      <c r="M468" s="135"/>
      <c r="N468" s="135"/>
      <c r="O468" s="189"/>
      <c r="P468" s="135"/>
      <c r="Q468" s="229"/>
      <c r="R468" s="135"/>
      <c r="S468" s="135"/>
      <c r="T468" s="135"/>
      <c r="U468" s="135"/>
      <c r="V468" s="135"/>
    </row>
    <row r="469" customFormat="false" ht="15.75" hidden="false" customHeight="true" outlineLevel="0" collapsed="false">
      <c r="A469" s="135"/>
      <c r="B469" s="135"/>
      <c r="C469" s="135"/>
      <c r="D469" s="135"/>
      <c r="E469" s="135"/>
      <c r="F469" s="135"/>
      <c r="G469" s="135"/>
      <c r="H469" s="189"/>
      <c r="I469" s="182"/>
      <c r="J469" s="189"/>
      <c r="K469" s="135"/>
      <c r="L469" s="135"/>
      <c r="M469" s="135"/>
      <c r="N469" s="135"/>
      <c r="O469" s="189"/>
      <c r="P469" s="135"/>
      <c r="Q469" s="229"/>
      <c r="R469" s="135"/>
      <c r="S469" s="135"/>
      <c r="T469" s="135"/>
      <c r="U469" s="135"/>
      <c r="V469" s="135"/>
    </row>
    <row r="470" customFormat="false" ht="15.75" hidden="false" customHeight="true" outlineLevel="0" collapsed="false">
      <c r="A470" s="135"/>
      <c r="B470" s="135"/>
      <c r="C470" s="135"/>
      <c r="D470" s="135"/>
      <c r="E470" s="135"/>
      <c r="F470" s="135"/>
      <c r="G470" s="135"/>
      <c r="H470" s="189"/>
      <c r="I470" s="182"/>
      <c r="J470" s="189"/>
      <c r="K470" s="135"/>
      <c r="L470" s="135"/>
      <c r="M470" s="135"/>
      <c r="N470" s="135"/>
      <c r="O470" s="189"/>
      <c r="P470" s="135"/>
      <c r="Q470" s="229"/>
      <c r="R470" s="135"/>
      <c r="S470" s="135"/>
      <c r="T470" s="135"/>
      <c r="U470" s="135"/>
      <c r="V470" s="135"/>
    </row>
    <row r="471" customFormat="false" ht="15.75" hidden="false" customHeight="true" outlineLevel="0" collapsed="false">
      <c r="A471" s="135"/>
      <c r="B471" s="135"/>
      <c r="C471" s="135"/>
      <c r="D471" s="135"/>
      <c r="E471" s="135"/>
      <c r="F471" s="135"/>
      <c r="G471" s="135"/>
      <c r="H471" s="189"/>
      <c r="I471" s="182"/>
      <c r="J471" s="189"/>
      <c r="K471" s="135"/>
      <c r="L471" s="135"/>
      <c r="M471" s="135"/>
      <c r="N471" s="135"/>
      <c r="O471" s="189"/>
      <c r="P471" s="135"/>
      <c r="Q471" s="229"/>
      <c r="R471" s="135"/>
      <c r="S471" s="135"/>
      <c r="T471" s="135"/>
      <c r="U471" s="135"/>
      <c r="V471" s="135"/>
    </row>
    <row r="472" customFormat="false" ht="15.75" hidden="false" customHeight="true" outlineLevel="0" collapsed="false">
      <c r="A472" s="135"/>
      <c r="B472" s="135"/>
      <c r="C472" s="135"/>
      <c r="D472" s="135"/>
      <c r="E472" s="135"/>
      <c r="F472" s="135"/>
      <c r="G472" s="135"/>
      <c r="H472" s="189"/>
      <c r="I472" s="182"/>
      <c r="J472" s="189"/>
      <c r="K472" s="135"/>
      <c r="L472" s="135"/>
      <c r="M472" s="135"/>
      <c r="N472" s="135"/>
      <c r="O472" s="189"/>
      <c r="P472" s="135"/>
      <c r="Q472" s="229"/>
      <c r="R472" s="135"/>
      <c r="S472" s="135"/>
      <c r="T472" s="135"/>
      <c r="U472" s="135"/>
      <c r="V472" s="135"/>
    </row>
    <row r="473" customFormat="false" ht="15.75" hidden="false" customHeight="true" outlineLevel="0" collapsed="false">
      <c r="A473" s="135"/>
      <c r="B473" s="135"/>
      <c r="C473" s="135"/>
      <c r="D473" s="135"/>
      <c r="E473" s="135"/>
      <c r="F473" s="135"/>
      <c r="G473" s="135"/>
      <c r="H473" s="189"/>
      <c r="I473" s="182"/>
      <c r="J473" s="189"/>
      <c r="K473" s="135"/>
      <c r="L473" s="135"/>
      <c r="M473" s="135"/>
      <c r="N473" s="135"/>
      <c r="O473" s="189"/>
      <c r="P473" s="135"/>
      <c r="Q473" s="229"/>
      <c r="R473" s="135"/>
      <c r="S473" s="135"/>
      <c r="T473" s="135"/>
      <c r="U473" s="135"/>
      <c r="V473" s="135"/>
    </row>
    <row r="474" customFormat="false" ht="15.75" hidden="false" customHeight="true" outlineLevel="0" collapsed="false">
      <c r="A474" s="135"/>
      <c r="B474" s="135"/>
      <c r="C474" s="135"/>
      <c r="D474" s="135"/>
      <c r="E474" s="135"/>
      <c r="F474" s="135"/>
      <c r="G474" s="135"/>
      <c r="H474" s="189"/>
      <c r="I474" s="182"/>
      <c r="J474" s="189"/>
      <c r="K474" s="135"/>
      <c r="L474" s="135"/>
      <c r="M474" s="135"/>
      <c r="N474" s="135"/>
      <c r="O474" s="189"/>
      <c r="P474" s="135"/>
      <c r="Q474" s="229"/>
      <c r="R474" s="135"/>
      <c r="S474" s="135"/>
      <c r="T474" s="135"/>
      <c r="U474" s="135"/>
      <c r="V474" s="135"/>
    </row>
    <row r="475" customFormat="false" ht="15.75" hidden="false" customHeight="true" outlineLevel="0" collapsed="false">
      <c r="A475" s="135"/>
      <c r="B475" s="135"/>
      <c r="C475" s="135"/>
      <c r="D475" s="135"/>
      <c r="E475" s="135"/>
      <c r="F475" s="135"/>
      <c r="G475" s="135"/>
      <c r="H475" s="189"/>
      <c r="I475" s="182"/>
      <c r="J475" s="189"/>
      <c r="K475" s="135"/>
      <c r="L475" s="135"/>
      <c r="M475" s="135"/>
      <c r="N475" s="135"/>
      <c r="O475" s="189"/>
      <c r="P475" s="135"/>
      <c r="Q475" s="229"/>
      <c r="R475" s="135"/>
      <c r="S475" s="135"/>
      <c r="T475" s="135"/>
      <c r="U475" s="135"/>
      <c r="V475" s="135"/>
    </row>
    <row r="476" customFormat="false" ht="15.75" hidden="false" customHeight="true" outlineLevel="0" collapsed="false">
      <c r="A476" s="135"/>
      <c r="B476" s="135"/>
      <c r="C476" s="135"/>
      <c r="D476" s="135"/>
      <c r="E476" s="135"/>
      <c r="F476" s="135"/>
      <c r="G476" s="135"/>
      <c r="H476" s="189"/>
      <c r="I476" s="182"/>
      <c r="J476" s="189"/>
      <c r="K476" s="135"/>
      <c r="L476" s="135"/>
      <c r="M476" s="135"/>
      <c r="N476" s="135"/>
      <c r="O476" s="189"/>
      <c r="P476" s="135"/>
      <c r="Q476" s="229"/>
      <c r="R476" s="135"/>
      <c r="S476" s="135"/>
      <c r="T476" s="135"/>
      <c r="U476" s="135"/>
      <c r="V476" s="135"/>
    </row>
    <row r="477" customFormat="false" ht="15.75" hidden="false" customHeight="true" outlineLevel="0" collapsed="false">
      <c r="A477" s="135"/>
      <c r="B477" s="135"/>
      <c r="C477" s="135"/>
      <c r="D477" s="135"/>
      <c r="E477" s="135"/>
      <c r="F477" s="135"/>
      <c r="G477" s="135"/>
      <c r="H477" s="189"/>
      <c r="I477" s="182"/>
      <c r="J477" s="189"/>
      <c r="K477" s="135"/>
      <c r="L477" s="135"/>
      <c r="M477" s="135"/>
      <c r="N477" s="135"/>
      <c r="O477" s="189"/>
      <c r="P477" s="135"/>
      <c r="Q477" s="229"/>
      <c r="R477" s="135"/>
      <c r="S477" s="135"/>
      <c r="T477" s="135"/>
      <c r="U477" s="135"/>
      <c r="V477" s="135"/>
    </row>
    <row r="478" customFormat="false" ht="15.75" hidden="false" customHeight="true" outlineLevel="0" collapsed="false">
      <c r="A478" s="135"/>
      <c r="B478" s="135"/>
      <c r="C478" s="135"/>
      <c r="D478" s="135"/>
      <c r="E478" s="135"/>
      <c r="F478" s="135"/>
      <c r="G478" s="135"/>
      <c r="H478" s="189"/>
      <c r="I478" s="182"/>
      <c r="J478" s="189"/>
      <c r="K478" s="135"/>
      <c r="L478" s="135"/>
      <c r="M478" s="135"/>
      <c r="N478" s="135"/>
      <c r="O478" s="189"/>
      <c r="P478" s="135"/>
      <c r="Q478" s="229"/>
      <c r="R478" s="135"/>
      <c r="S478" s="135"/>
      <c r="T478" s="135"/>
      <c r="U478" s="135"/>
      <c r="V478" s="135"/>
    </row>
    <row r="479" customFormat="false" ht="15.75" hidden="false" customHeight="true" outlineLevel="0" collapsed="false">
      <c r="A479" s="135"/>
      <c r="B479" s="135"/>
      <c r="C479" s="135"/>
      <c r="D479" s="135"/>
      <c r="E479" s="135"/>
      <c r="F479" s="135"/>
      <c r="G479" s="135"/>
      <c r="H479" s="189"/>
      <c r="I479" s="182"/>
      <c r="J479" s="189"/>
      <c r="K479" s="135"/>
      <c r="L479" s="135"/>
      <c r="M479" s="135"/>
      <c r="N479" s="135"/>
      <c r="O479" s="189"/>
      <c r="P479" s="135"/>
      <c r="Q479" s="229"/>
      <c r="R479" s="135"/>
      <c r="S479" s="135"/>
      <c r="T479" s="135"/>
      <c r="U479" s="135"/>
      <c r="V479" s="135"/>
    </row>
    <row r="480" customFormat="false" ht="15.75" hidden="false" customHeight="true" outlineLevel="0" collapsed="false">
      <c r="A480" s="135"/>
      <c r="B480" s="135"/>
      <c r="C480" s="135"/>
      <c r="D480" s="135"/>
      <c r="E480" s="135"/>
      <c r="F480" s="135"/>
      <c r="G480" s="135"/>
      <c r="H480" s="189"/>
      <c r="I480" s="182"/>
      <c r="J480" s="189"/>
      <c r="K480" s="135"/>
      <c r="L480" s="135"/>
      <c r="M480" s="135"/>
      <c r="N480" s="135"/>
      <c r="O480" s="189"/>
      <c r="P480" s="135"/>
      <c r="Q480" s="229"/>
      <c r="R480" s="135"/>
      <c r="S480" s="135"/>
      <c r="T480" s="135"/>
      <c r="U480" s="135"/>
      <c r="V480" s="135"/>
    </row>
    <row r="481" customFormat="false" ht="15.75" hidden="false" customHeight="true" outlineLevel="0" collapsed="false">
      <c r="A481" s="135"/>
      <c r="B481" s="135"/>
      <c r="C481" s="135"/>
      <c r="D481" s="135"/>
      <c r="E481" s="135"/>
      <c r="F481" s="135"/>
      <c r="G481" s="135"/>
      <c r="H481" s="189"/>
      <c r="I481" s="182"/>
      <c r="J481" s="189"/>
      <c r="K481" s="135"/>
      <c r="L481" s="135"/>
      <c r="M481" s="135"/>
      <c r="N481" s="135"/>
      <c r="O481" s="189"/>
      <c r="P481" s="135"/>
      <c r="Q481" s="229"/>
      <c r="R481" s="135"/>
      <c r="S481" s="135"/>
      <c r="T481" s="135"/>
      <c r="U481" s="135"/>
      <c r="V481" s="135"/>
    </row>
    <row r="482" customFormat="false" ht="15.75" hidden="false" customHeight="true" outlineLevel="0" collapsed="false">
      <c r="A482" s="135"/>
      <c r="B482" s="135"/>
      <c r="C482" s="135"/>
      <c r="D482" s="135"/>
      <c r="E482" s="135"/>
      <c r="F482" s="135"/>
      <c r="G482" s="135"/>
      <c r="H482" s="189"/>
      <c r="I482" s="182"/>
      <c r="J482" s="189"/>
      <c r="K482" s="135"/>
      <c r="L482" s="135"/>
      <c r="M482" s="135"/>
      <c r="N482" s="135"/>
      <c r="O482" s="189"/>
      <c r="P482" s="135"/>
      <c r="Q482" s="229"/>
      <c r="R482" s="135"/>
      <c r="S482" s="135"/>
      <c r="T482" s="135"/>
      <c r="U482" s="135"/>
      <c r="V482" s="135"/>
    </row>
    <row r="483" customFormat="false" ht="15.75" hidden="false" customHeight="true" outlineLevel="0" collapsed="false">
      <c r="A483" s="135"/>
      <c r="B483" s="135"/>
      <c r="C483" s="135"/>
      <c r="D483" s="135"/>
      <c r="E483" s="135"/>
      <c r="F483" s="135"/>
      <c r="G483" s="135"/>
      <c r="H483" s="189"/>
      <c r="I483" s="182"/>
      <c r="J483" s="189"/>
      <c r="K483" s="135"/>
      <c r="L483" s="135"/>
      <c r="M483" s="135"/>
      <c r="N483" s="135"/>
      <c r="O483" s="189"/>
      <c r="P483" s="135"/>
      <c r="Q483" s="229"/>
      <c r="R483" s="135"/>
      <c r="S483" s="135"/>
      <c r="T483" s="135"/>
      <c r="U483" s="135"/>
      <c r="V483" s="135"/>
    </row>
    <row r="484" customFormat="false" ht="15.75" hidden="false" customHeight="true" outlineLevel="0" collapsed="false">
      <c r="A484" s="135"/>
      <c r="B484" s="135"/>
      <c r="C484" s="135"/>
      <c r="D484" s="135"/>
      <c r="E484" s="135"/>
      <c r="F484" s="135"/>
      <c r="G484" s="135"/>
      <c r="H484" s="189"/>
      <c r="I484" s="182"/>
      <c r="J484" s="189"/>
      <c r="K484" s="135"/>
      <c r="L484" s="135"/>
      <c r="M484" s="135"/>
      <c r="N484" s="135"/>
      <c r="O484" s="189"/>
      <c r="P484" s="135"/>
      <c r="Q484" s="229"/>
      <c r="R484" s="135"/>
      <c r="S484" s="135"/>
      <c r="T484" s="135"/>
      <c r="U484" s="135"/>
      <c r="V484" s="135"/>
    </row>
    <row r="485" customFormat="false" ht="15.75" hidden="false" customHeight="true" outlineLevel="0" collapsed="false">
      <c r="A485" s="135"/>
      <c r="B485" s="135"/>
      <c r="C485" s="135"/>
      <c r="D485" s="135"/>
      <c r="E485" s="135"/>
      <c r="F485" s="135"/>
      <c r="G485" s="135"/>
      <c r="H485" s="189"/>
      <c r="I485" s="182"/>
      <c r="J485" s="189"/>
      <c r="K485" s="135"/>
      <c r="L485" s="135"/>
      <c r="M485" s="135"/>
      <c r="N485" s="135"/>
      <c r="O485" s="189"/>
      <c r="P485" s="135"/>
      <c r="Q485" s="229"/>
      <c r="R485" s="135"/>
      <c r="S485" s="135"/>
      <c r="T485" s="135"/>
      <c r="U485" s="135"/>
      <c r="V485" s="135"/>
    </row>
    <row r="486" customFormat="false" ht="15.75" hidden="false" customHeight="true" outlineLevel="0" collapsed="false">
      <c r="A486" s="135"/>
      <c r="B486" s="135"/>
      <c r="C486" s="135"/>
      <c r="D486" s="135"/>
      <c r="E486" s="135"/>
      <c r="F486" s="135"/>
      <c r="G486" s="135"/>
      <c r="H486" s="189"/>
      <c r="I486" s="182"/>
      <c r="J486" s="189"/>
      <c r="K486" s="135"/>
      <c r="L486" s="135"/>
      <c r="M486" s="135"/>
      <c r="N486" s="135"/>
      <c r="O486" s="189"/>
      <c r="P486" s="135"/>
      <c r="Q486" s="229"/>
      <c r="R486" s="135"/>
      <c r="S486" s="135"/>
      <c r="T486" s="135"/>
      <c r="U486" s="135"/>
      <c r="V486" s="135"/>
    </row>
    <row r="487" customFormat="false" ht="15.75" hidden="false" customHeight="true" outlineLevel="0" collapsed="false">
      <c r="A487" s="135"/>
      <c r="B487" s="135"/>
      <c r="C487" s="135"/>
      <c r="D487" s="135"/>
      <c r="E487" s="135"/>
      <c r="F487" s="135"/>
      <c r="G487" s="135"/>
      <c r="H487" s="189"/>
      <c r="I487" s="182"/>
      <c r="J487" s="189"/>
      <c r="K487" s="135"/>
      <c r="L487" s="135"/>
      <c r="M487" s="135"/>
      <c r="N487" s="135"/>
      <c r="O487" s="189"/>
      <c r="P487" s="135"/>
      <c r="Q487" s="229"/>
      <c r="R487" s="135"/>
      <c r="S487" s="135"/>
      <c r="T487" s="135"/>
      <c r="U487" s="135"/>
      <c r="V487" s="135"/>
    </row>
    <row r="488" customFormat="false" ht="15.75" hidden="false" customHeight="true" outlineLevel="0" collapsed="false">
      <c r="A488" s="135"/>
      <c r="B488" s="135"/>
      <c r="C488" s="135"/>
      <c r="D488" s="135"/>
      <c r="E488" s="135"/>
      <c r="F488" s="135"/>
      <c r="G488" s="135"/>
      <c r="H488" s="189"/>
      <c r="I488" s="182"/>
      <c r="J488" s="189"/>
      <c r="K488" s="135"/>
      <c r="L488" s="135"/>
      <c r="M488" s="135"/>
      <c r="N488" s="135"/>
      <c r="O488" s="189"/>
      <c r="P488" s="135"/>
      <c r="Q488" s="229"/>
      <c r="R488" s="135"/>
      <c r="S488" s="135"/>
      <c r="T488" s="135"/>
      <c r="U488" s="135"/>
      <c r="V488" s="135"/>
    </row>
    <row r="489" customFormat="false" ht="15.75" hidden="false" customHeight="true" outlineLevel="0" collapsed="false">
      <c r="A489" s="135"/>
      <c r="B489" s="135"/>
      <c r="C489" s="135"/>
      <c r="D489" s="135"/>
      <c r="E489" s="135"/>
      <c r="F489" s="135"/>
      <c r="G489" s="135"/>
      <c r="H489" s="189"/>
      <c r="I489" s="182"/>
      <c r="J489" s="189"/>
      <c r="K489" s="135"/>
      <c r="L489" s="135"/>
      <c r="M489" s="135"/>
      <c r="N489" s="135"/>
      <c r="O489" s="189"/>
      <c r="P489" s="135"/>
      <c r="Q489" s="229"/>
      <c r="R489" s="135"/>
      <c r="S489" s="135"/>
      <c r="T489" s="135"/>
      <c r="U489" s="135"/>
      <c r="V489" s="135"/>
    </row>
    <row r="490" customFormat="false" ht="15.75" hidden="false" customHeight="true" outlineLevel="0" collapsed="false">
      <c r="A490" s="135"/>
      <c r="B490" s="135"/>
      <c r="C490" s="135"/>
      <c r="D490" s="135"/>
      <c r="E490" s="135"/>
      <c r="F490" s="135"/>
      <c r="G490" s="135"/>
      <c r="H490" s="189"/>
      <c r="I490" s="182"/>
      <c r="J490" s="189"/>
      <c r="K490" s="135"/>
      <c r="L490" s="135"/>
      <c r="M490" s="135"/>
      <c r="N490" s="135"/>
      <c r="O490" s="189"/>
      <c r="P490" s="135"/>
      <c r="Q490" s="229"/>
      <c r="R490" s="135"/>
      <c r="S490" s="135"/>
      <c r="T490" s="135"/>
      <c r="U490" s="135"/>
      <c r="V490" s="135"/>
    </row>
    <row r="491" customFormat="false" ht="15.75" hidden="false" customHeight="true" outlineLevel="0" collapsed="false">
      <c r="A491" s="135"/>
      <c r="B491" s="135"/>
      <c r="C491" s="135"/>
      <c r="D491" s="135"/>
      <c r="E491" s="135"/>
      <c r="F491" s="135"/>
      <c r="G491" s="135"/>
      <c r="H491" s="189"/>
      <c r="I491" s="182"/>
      <c r="J491" s="189"/>
      <c r="K491" s="135"/>
      <c r="L491" s="135"/>
      <c r="M491" s="135"/>
      <c r="N491" s="135"/>
      <c r="O491" s="189"/>
      <c r="P491" s="135"/>
      <c r="Q491" s="229"/>
      <c r="R491" s="135"/>
      <c r="S491" s="135"/>
      <c r="T491" s="135"/>
      <c r="U491" s="135"/>
      <c r="V491" s="135"/>
    </row>
    <row r="492" customFormat="false" ht="15.75" hidden="false" customHeight="true" outlineLevel="0" collapsed="false">
      <c r="A492" s="135"/>
      <c r="B492" s="135"/>
      <c r="C492" s="135"/>
      <c r="D492" s="135"/>
      <c r="E492" s="135"/>
      <c r="F492" s="135"/>
      <c r="G492" s="135"/>
      <c r="H492" s="189"/>
      <c r="I492" s="182"/>
      <c r="J492" s="189"/>
      <c r="K492" s="135"/>
      <c r="L492" s="135"/>
      <c r="M492" s="135"/>
      <c r="N492" s="135"/>
      <c r="O492" s="189"/>
      <c r="P492" s="135"/>
      <c r="Q492" s="229"/>
      <c r="R492" s="135"/>
      <c r="S492" s="135"/>
      <c r="T492" s="135"/>
      <c r="U492" s="135"/>
      <c r="V492" s="135"/>
    </row>
    <row r="493" customFormat="false" ht="15.75" hidden="false" customHeight="true" outlineLevel="0" collapsed="false">
      <c r="A493" s="135"/>
      <c r="B493" s="135"/>
      <c r="C493" s="135"/>
      <c r="D493" s="135"/>
      <c r="E493" s="135"/>
      <c r="F493" s="135"/>
      <c r="G493" s="135"/>
      <c r="H493" s="189"/>
      <c r="I493" s="182"/>
      <c r="J493" s="189"/>
      <c r="K493" s="135"/>
      <c r="L493" s="135"/>
      <c r="M493" s="135"/>
      <c r="N493" s="135"/>
      <c r="O493" s="189"/>
      <c r="P493" s="135"/>
      <c r="Q493" s="229"/>
      <c r="R493" s="135"/>
      <c r="S493" s="135"/>
      <c r="T493" s="135"/>
      <c r="U493" s="135"/>
      <c r="V493" s="135"/>
    </row>
    <row r="494" customFormat="false" ht="15.75" hidden="false" customHeight="true" outlineLevel="0" collapsed="false">
      <c r="A494" s="135"/>
      <c r="B494" s="135"/>
      <c r="C494" s="135"/>
      <c r="D494" s="135"/>
      <c r="E494" s="135"/>
      <c r="F494" s="135"/>
      <c r="G494" s="135"/>
      <c r="H494" s="189"/>
      <c r="I494" s="182"/>
      <c r="J494" s="189"/>
      <c r="K494" s="135"/>
      <c r="L494" s="135"/>
      <c r="M494" s="135"/>
      <c r="N494" s="135"/>
      <c r="O494" s="189"/>
      <c r="P494" s="135"/>
      <c r="Q494" s="229"/>
      <c r="R494" s="135"/>
      <c r="S494" s="135"/>
      <c r="T494" s="135"/>
      <c r="U494" s="135"/>
      <c r="V494" s="135"/>
    </row>
    <row r="495" customFormat="false" ht="15.75" hidden="false" customHeight="true" outlineLevel="0" collapsed="false">
      <c r="A495" s="135"/>
      <c r="B495" s="135"/>
      <c r="C495" s="135"/>
      <c r="D495" s="135"/>
      <c r="E495" s="135"/>
      <c r="F495" s="135"/>
      <c r="G495" s="135"/>
      <c r="H495" s="189"/>
      <c r="I495" s="182"/>
      <c r="J495" s="189"/>
      <c r="K495" s="135"/>
      <c r="L495" s="135"/>
      <c r="M495" s="135"/>
      <c r="N495" s="135"/>
      <c r="O495" s="189"/>
      <c r="P495" s="135"/>
      <c r="Q495" s="229"/>
      <c r="R495" s="135"/>
      <c r="S495" s="135"/>
      <c r="T495" s="135"/>
      <c r="U495" s="135"/>
      <c r="V495" s="135"/>
    </row>
    <row r="496" customFormat="false" ht="15.75" hidden="false" customHeight="true" outlineLevel="0" collapsed="false">
      <c r="A496" s="135"/>
      <c r="B496" s="135"/>
      <c r="C496" s="135"/>
      <c r="D496" s="135"/>
      <c r="E496" s="135"/>
      <c r="F496" s="135"/>
      <c r="G496" s="135"/>
      <c r="H496" s="189"/>
      <c r="I496" s="182"/>
      <c r="J496" s="189"/>
      <c r="K496" s="135"/>
      <c r="L496" s="135"/>
      <c r="M496" s="135"/>
      <c r="N496" s="135"/>
      <c r="O496" s="189"/>
      <c r="P496" s="135"/>
      <c r="Q496" s="229"/>
      <c r="R496" s="135"/>
      <c r="S496" s="135"/>
      <c r="T496" s="135"/>
      <c r="U496" s="135"/>
      <c r="V496" s="135"/>
    </row>
    <row r="497" customFormat="false" ht="15.75" hidden="false" customHeight="true" outlineLevel="0" collapsed="false">
      <c r="A497" s="135"/>
      <c r="B497" s="135"/>
      <c r="C497" s="135"/>
      <c r="D497" s="135"/>
      <c r="E497" s="135"/>
      <c r="F497" s="135"/>
      <c r="G497" s="135"/>
      <c r="H497" s="189"/>
      <c r="I497" s="182"/>
      <c r="J497" s="189"/>
      <c r="K497" s="135"/>
      <c r="L497" s="135"/>
      <c r="M497" s="135"/>
      <c r="N497" s="135"/>
      <c r="O497" s="189"/>
      <c r="P497" s="135"/>
      <c r="Q497" s="229"/>
      <c r="R497" s="135"/>
      <c r="S497" s="135"/>
      <c r="T497" s="135"/>
      <c r="U497" s="135"/>
      <c r="V497" s="135"/>
    </row>
    <row r="498" customFormat="false" ht="15.75" hidden="false" customHeight="true" outlineLevel="0" collapsed="false">
      <c r="A498" s="135"/>
      <c r="B498" s="135"/>
      <c r="C498" s="135"/>
      <c r="D498" s="135"/>
      <c r="E498" s="135"/>
      <c r="F498" s="135"/>
      <c r="G498" s="135"/>
      <c r="H498" s="189"/>
      <c r="I498" s="182"/>
      <c r="J498" s="189"/>
      <c r="K498" s="135"/>
      <c r="L498" s="135"/>
      <c r="M498" s="135"/>
      <c r="N498" s="135"/>
      <c r="O498" s="189"/>
      <c r="P498" s="135"/>
      <c r="Q498" s="229"/>
      <c r="R498" s="135"/>
      <c r="S498" s="135"/>
      <c r="T498" s="135"/>
      <c r="U498" s="135"/>
      <c r="V498" s="135"/>
    </row>
    <row r="499" customFormat="false" ht="15.75" hidden="false" customHeight="true" outlineLevel="0" collapsed="false">
      <c r="A499" s="135"/>
      <c r="B499" s="135"/>
      <c r="C499" s="135"/>
      <c r="D499" s="135"/>
      <c r="E499" s="135"/>
      <c r="F499" s="135"/>
      <c r="G499" s="135"/>
      <c r="H499" s="189"/>
      <c r="I499" s="182"/>
      <c r="J499" s="189"/>
      <c r="K499" s="135"/>
      <c r="L499" s="135"/>
      <c r="M499" s="135"/>
      <c r="N499" s="135"/>
      <c r="O499" s="189"/>
      <c r="P499" s="135"/>
      <c r="Q499" s="229"/>
      <c r="R499" s="135"/>
      <c r="S499" s="135"/>
      <c r="T499" s="135"/>
      <c r="U499" s="135"/>
      <c r="V499" s="135"/>
    </row>
    <row r="500" customFormat="false" ht="15.75" hidden="false" customHeight="true" outlineLevel="0" collapsed="false">
      <c r="A500" s="135"/>
      <c r="B500" s="135"/>
      <c r="C500" s="135"/>
      <c r="D500" s="135"/>
      <c r="E500" s="135"/>
      <c r="F500" s="135"/>
      <c r="G500" s="135"/>
      <c r="H500" s="189"/>
      <c r="I500" s="182"/>
      <c r="J500" s="189"/>
      <c r="K500" s="135"/>
      <c r="L500" s="135"/>
      <c r="M500" s="135"/>
      <c r="N500" s="135"/>
      <c r="O500" s="189"/>
      <c r="P500" s="135"/>
      <c r="Q500" s="229"/>
      <c r="R500" s="135"/>
      <c r="S500" s="135"/>
      <c r="T500" s="135"/>
      <c r="U500" s="135"/>
      <c r="V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S9"/>
  <conditionalFormatting sqref="L3:L1000">
    <cfRule type="cellIs" priority="2" operator="equal" aboveAverage="0" equalAverage="0" bottom="0" percent="0" rank="0" text="" dxfId="14">
      <formula>"missing"</formula>
    </cfRule>
    <cfRule type="cellIs" priority="3" operator="equal" aboveAverage="0" equalAverage="0" bottom="0" percent="0" rank="0" text="" dxfId="16">
      <formula>"late_submitted"</formula>
    </cfRule>
    <cfRule type="cellIs" priority="4" operator="equal" aboveAverage="0" equalAverage="0" bottom="0" percent="0" rank="0" text="" dxfId="18">
      <formula>"graded"</formula>
    </cfRule>
  </conditionalFormatting>
  <conditionalFormatting sqref="K3:K1000">
    <cfRule type="cellIs" priority="5" operator="equal" aboveAverage="0" equalAverage="0" bottom="0" percent="0" rank="0" text="" dxfId="16">
      <formula>1</formula>
    </cfRule>
  </conditionalFormatting>
  <conditionalFormatting sqref="T4:T1000">
    <cfRule type="expression" priority="6" aboveAverage="0" equalAverage="0" bottom="0" percent="0" rank="0" text="" dxfId="14">
      <formula>OR(ISNUMBER(SEARCH("Quá SLA",T4)),ISNUMBER(SEARCH("NGAY",T4)),ISNUMBER(SEARCH("trễ",T4)),ISNUMBER(SEARCH("missing",T4)))</formula>
    </cfRule>
    <cfRule type="expression" priority="7" aboveAverage="0" equalAverage="0" bottom="0" percent="0" rank="0" text="" dxfId="15">
      <formula>OR(ISNUMBER(SEARCH("đến hạn",T4)),ISNUMBER(SEARCH("chờ",T4)),ISNUMBER(SEARCH("Chưa",T4)))</formula>
    </cfRule>
    <cfRule type="expression" priority="8" aboveAverage="0" equalAverage="0" bottom="0" percent="0" rank="0" text="" dxfId="19">
      <formula>OR(ISNUMBER(SEARCH(" ngay",T4)),ISNUMBER(SEARCH(" gấp",T4)),ISNUMBER(SEARCH("GỌI",T4)),ISNUMBER(SEARCH("NGUY",T4)))</formula>
    </cfRule>
    <cfRule type="expression" priority="9" aboveAverage="0" equalAverage="0" bottom="0" percent="0" rank="0" text="" dxfId="20">
      <formula>ISNUMBER(SEARCH("Không cần làm gì",T4))</formula>
    </cfRule>
    <cfRule type="expression" priority="10" aboveAverage="0" equalAverage="0" bottom="0" percent="0" rank="0" text="" dxfId="21">
      <formula>LEN(T4)&gt;0</formula>
    </cfRule>
  </conditionalFormatting>
  <dataValidations count="4">
    <dataValidation allowBlank="true" errorStyle="stop" operator="between" showDropDown="false" showErrorMessage="false" showInputMessage="false" sqref="G4:G1000" type="list">
      <formula1>'CH1. Danh mục lựa chọn'!$B$235:$B$241</formula1>
      <formula2>0</formula2>
    </dataValidation>
    <dataValidation allowBlank="true" errorStyle="stop" operator="between" showDropDown="false" showErrorMessage="false" showInputMessage="false" sqref="L4:L1000" type="list">
      <formula1>'CH1. Danh mục lựa chọn'!$B$227:$B$231</formula1>
      <formula2>0</formula2>
    </dataValidation>
    <dataValidation allowBlank="true" errorStyle="stop" operator="between" showDropDown="false" showErrorMessage="false" showInputMessage="false" sqref="N3" type="list">
      <formula1>"IELTS_band,percentage"</formula1>
      <formula2>0</formula2>
    </dataValidation>
    <dataValidation allowBlank="true" errorStyle="stop" operator="between" showDropDown="false" showErrorMessage="false" showInputMessage="false" sqref="N4:N1000" type="list">
      <formula1>"IELTS_band,percentage"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S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71"/>
    <col collapsed="false" customWidth="true" hidden="false" outlineLevel="0" max="2" min="2" style="1" width="19"/>
    <col collapsed="false" customWidth="true" hidden="false" outlineLevel="0" max="3" min="3" style="1" width="15.71"/>
    <col collapsed="false" customWidth="true" hidden="false" outlineLevel="0" max="4" min="4" style="1" width="20"/>
    <col collapsed="false" customWidth="true" hidden="false" outlineLevel="0" max="5" min="5" style="1" width="24.29"/>
    <col collapsed="false" customWidth="true" hidden="false" outlineLevel="0" max="6" min="6" style="1" width="39.43"/>
    <col collapsed="false" customWidth="true" hidden="false" outlineLevel="0" max="7" min="7" style="1" width="25"/>
    <col collapsed="false" customWidth="true" hidden="false" outlineLevel="0" max="8" min="8" style="1" width="19.86"/>
    <col collapsed="false" customWidth="true" hidden="false" outlineLevel="0" max="9" min="9" style="1" width="25.85"/>
    <col collapsed="false" customWidth="true" hidden="false" outlineLevel="0" max="10" min="10" style="1" width="14.29"/>
    <col collapsed="false" customWidth="true" hidden="false" outlineLevel="0" max="11" min="11" style="1" width="20.85"/>
    <col collapsed="false" customWidth="true" hidden="false" outlineLevel="0" max="12" min="12" style="1" width="30.57"/>
    <col collapsed="false" customWidth="true" hidden="false" outlineLevel="0" max="13" min="13" style="1" width="24.86"/>
    <col collapsed="false" customWidth="true" hidden="false" outlineLevel="0" max="14" min="14" style="1" width="27.57"/>
    <col collapsed="false" customWidth="true" hidden="false" outlineLevel="0" max="15" min="15" style="1" width="35.14"/>
    <col collapsed="false" customWidth="true" hidden="false" outlineLevel="0" max="16" min="16" style="1" width="22"/>
    <col collapsed="false" customWidth="true" hidden="false" outlineLevel="0" max="17" min="17" style="1" width="28"/>
    <col collapsed="false" customWidth="true" hidden="false" outlineLevel="0" max="18" min="18" style="1" width="10.14"/>
    <col collapsed="false" customWidth="true" hidden="false" outlineLevel="0" max="19" min="19" style="1" width="63.43"/>
    <col collapsed="false" customWidth="true" hidden="false" outlineLevel="0" max="26" min="20" style="1" width="8.71"/>
  </cols>
  <sheetData>
    <row r="1" customFormat="false" ht="39" hidden="false" customHeight="true" outlineLevel="0" collapsed="false">
      <c r="A1" s="100" t="s">
        <v>3420</v>
      </c>
      <c r="B1" s="100" t="s">
        <v>3421</v>
      </c>
      <c r="C1" s="100" t="s">
        <v>850</v>
      </c>
      <c r="D1" s="100" t="s">
        <v>3300</v>
      </c>
      <c r="E1" s="100" t="s">
        <v>3422</v>
      </c>
      <c r="F1" s="100" t="s">
        <v>3423</v>
      </c>
      <c r="G1" s="100" t="s">
        <v>3424</v>
      </c>
      <c r="H1" s="100" t="s">
        <v>3425</v>
      </c>
      <c r="I1" s="100" t="s">
        <v>3426</v>
      </c>
      <c r="J1" s="100" t="s">
        <v>841</v>
      </c>
      <c r="K1" s="100" t="s">
        <v>903</v>
      </c>
      <c r="L1" s="100" t="s">
        <v>3427</v>
      </c>
      <c r="M1" s="100" t="s">
        <v>3428</v>
      </c>
      <c r="N1" s="100" t="s">
        <v>3429</v>
      </c>
      <c r="O1" s="100" t="s">
        <v>3430</v>
      </c>
      <c r="P1" s="100" t="s">
        <v>904</v>
      </c>
      <c r="Q1" s="100" t="s">
        <v>905</v>
      </c>
      <c r="R1" s="100" t="s">
        <v>2270</v>
      </c>
      <c r="S1" s="183" t="s">
        <v>480</v>
      </c>
    </row>
    <row r="2" customFormat="false" ht="15" hidden="false" customHeight="true" outlineLevel="0" collapsed="false">
      <c r="A2" s="176" t="s">
        <v>3431</v>
      </c>
      <c r="B2" s="176" t="s">
        <v>3432</v>
      </c>
      <c r="C2" s="176" t="s">
        <v>3308</v>
      </c>
      <c r="D2" s="176" t="s">
        <v>3309</v>
      </c>
      <c r="E2" s="176" t="s">
        <v>3433</v>
      </c>
      <c r="F2" s="176" t="s">
        <v>470</v>
      </c>
      <c r="G2" s="176" t="s">
        <v>3434</v>
      </c>
      <c r="H2" s="176" t="s">
        <v>3360</v>
      </c>
      <c r="I2" s="176" t="s">
        <v>3435</v>
      </c>
      <c r="J2" s="176" t="s">
        <v>3436</v>
      </c>
      <c r="K2" s="176" t="s">
        <v>3437</v>
      </c>
      <c r="L2" s="176" t="s">
        <v>250</v>
      </c>
      <c r="M2" s="176" t="s">
        <v>3438</v>
      </c>
      <c r="N2" s="176" t="s">
        <v>3439</v>
      </c>
      <c r="O2" s="176" t="s">
        <v>3440</v>
      </c>
      <c r="P2" s="176" t="s">
        <v>3441</v>
      </c>
      <c r="Q2" s="176" t="s">
        <v>3442</v>
      </c>
      <c r="R2" s="176" t="s">
        <v>2281</v>
      </c>
      <c r="S2" s="176" t="s">
        <v>2503</v>
      </c>
    </row>
    <row r="3" customFormat="false" ht="24.75" hidden="false" customHeight="true" outlineLevel="0" collapsed="false">
      <c r="A3" s="195" t="s">
        <v>3443</v>
      </c>
      <c r="B3" s="195" t="s">
        <v>3444</v>
      </c>
      <c r="C3" s="195" t="s">
        <v>3315</v>
      </c>
      <c r="D3" s="195" t="s">
        <v>3316</v>
      </c>
      <c r="E3" s="195" t="s">
        <v>3445</v>
      </c>
      <c r="F3" s="195" t="s">
        <v>3446</v>
      </c>
      <c r="G3" s="195" t="s">
        <v>3447</v>
      </c>
      <c r="H3" s="195" t="s">
        <v>3372</v>
      </c>
      <c r="I3" s="195" t="s">
        <v>3448</v>
      </c>
      <c r="J3" s="195" t="s">
        <v>2716</v>
      </c>
      <c r="K3" s="195" t="s">
        <v>3449</v>
      </c>
      <c r="L3" s="195" t="s">
        <v>3270</v>
      </c>
      <c r="M3" s="195" t="s">
        <v>3450</v>
      </c>
      <c r="N3" s="195" t="s">
        <v>3451</v>
      </c>
      <c r="O3" s="195" t="s">
        <v>3452</v>
      </c>
      <c r="P3" s="195" t="s">
        <v>3453</v>
      </c>
      <c r="Q3" s="195" t="s">
        <v>3454</v>
      </c>
      <c r="R3" s="195" t="s">
        <v>2281</v>
      </c>
      <c r="S3" s="195" t="s">
        <v>3276</v>
      </c>
    </row>
    <row r="4" customFormat="false" ht="42.75" hidden="false" customHeight="true" outlineLevel="0" collapsed="false">
      <c r="A4" s="209" t="s">
        <v>3455</v>
      </c>
      <c r="B4" s="232" t="n">
        <v>46188.375</v>
      </c>
      <c r="C4" s="210" t="str">
        <f aca="false">IFERROR(HYPERLINK("#'DL09. Học viên'!A"&amp;MATCH("HV002",'DL09. Học viên'!A:A,0),"HV002"),"HV002")</f>
        <v>HV002</v>
      </c>
      <c r="D4" s="209" t="s">
        <v>2552</v>
      </c>
      <c r="E4" s="232" t="n">
        <v>46193.375</v>
      </c>
      <c r="F4" s="209" t="s">
        <v>1210</v>
      </c>
      <c r="G4" s="209" t="s">
        <v>1221</v>
      </c>
      <c r="H4" s="209" t="s">
        <v>1199</v>
      </c>
      <c r="I4" s="209" t="s">
        <v>3456</v>
      </c>
      <c r="J4" s="210" t="str">
        <f aca="false">IFERROR(HYPERLINK("#'DL09. Học viên'!A"&amp;MATCH("NV003",'DL01. Nhân viên'!A:A,0),"NV003"),"NV003")</f>
        <v>NV003</v>
      </c>
      <c r="K4" s="209" t="str">
        <f aca="false">IFERROR(VLOOKUP(J4,'DL01. Nhân viên'!$A:$B,2,FALSE()),"")</f>
        <v>Nguyễn Thanh Kiu</v>
      </c>
      <c r="L4" s="209" t="s">
        <v>1176</v>
      </c>
      <c r="M4" s="209" t="s">
        <v>3457</v>
      </c>
      <c r="N4" s="209" t="s">
        <v>1232</v>
      </c>
      <c r="O4" s="209"/>
      <c r="P4" s="236" t="b">
        <f aca="false">TRUE()</f>
        <v>1</v>
      </c>
      <c r="Q4" s="236" t="b">
        <f aca="false">TRUE()</f>
        <v>1</v>
      </c>
      <c r="R4" s="209"/>
      <c r="S4" s="237" t="str">
        <f aca="true" t="array" ref="S4:S4">IF(AND(LEFT(L4,9)="completed",P4&lt;&gt;TRUE(),(NOW()-N(E4))*24&gt;slaWowQuotaCheck_hours),INDEX('CH4. Thông điệp nhắc việc'!$G:$G,MATCH("NA074",'CH4. Thông điệp nhắc việc'!$A:$A,0)),IF(LEFT(L4,6)="booked",INDEX('CH4. Thông điệp nhắc việc'!$G:$G,MATCH("NA031",'CH4. Thông điệp nhắc việc'!$A:$A,0)),IF(LEFT(L4,9)="confirmed",IF(AND(ISNUMBER(E4),E4&lt;NOW()),INDEX('CH4. Thông điệp nhắc việc'!$G:$G,MATCH("NA032",'CH4. Thông điệp nhắc việc'!$A:$A,0)),INDEX('CH4. Thông điệp nhắc việc'!$G:$G,MATCH("NA033",'CH4. Thông điệp nhắc việc'!$A:$A,0))),IF(LEFT(L4,9)="completed",IF(M4="",IF((NOW()-N(E4))*24&gt;slaWowOutcomeRead_hours,INDEX('CH4. Thông điệp nhắc việc'!$G:$G,MATCH("NA075",'CH4. Thông điệp nhắc việc'!$A:$A,0)),INDEX('CH4. Thông điệp nhắc việc'!$G:$G,MATCH("NA076",'CH4. Thông điệp nhắc việc'!$A:$A,0))),IF(N4="",INDEX('CH4. Thông điệp nhắc việc'!$G:$G,MATCH("NA034",'CH4. Thông điệp nhắc việc'!$A:$A,0)),INDEX('CH4. Thông điệp nhắc việc'!$G:$G,MATCH("NA022",'CH4. Thông điệp nhắc việc'!$A:$A,0)))),IF(LEFT(L4,7)="no_show",INDEX('CH4. Thông điệp nhắc việc'!$G:$G,MATCH("NA035",'CH4. Thông điệp nhắc việc'!$A:$A,0)),IF(LEFT(L4,9)="cancelled",INDEX('CH4. Thông điệp nhắc việc'!$G:$G,MATCH("NA077",'CH4. Thông điệp nhắc việc'!$A:$A,0)),""))))))</f>
        <v>Đã hoàn tất. Không cần làm gì thêm ở bước này.</v>
      </c>
    </row>
    <row r="5" customFormat="false" ht="42.75" hidden="false" customHeight="true" outlineLevel="0" collapsed="false">
      <c r="A5" s="209" t="s">
        <v>3458</v>
      </c>
      <c r="B5" s="232" t="n">
        <v>46202.375</v>
      </c>
      <c r="C5" s="210" t="str">
        <f aca="false">IFERROR(HYPERLINK("#'DL09. Học viên'!A"&amp;MATCH("HV003",'DL09. Học viên'!A:A,0),"HV003"),"HV003")</f>
        <v>HV003</v>
      </c>
      <c r="D5" s="209" t="s">
        <v>2556</v>
      </c>
      <c r="E5" s="232" t="n">
        <v>46204.375</v>
      </c>
      <c r="F5" s="209" t="s">
        <v>1210</v>
      </c>
      <c r="G5" s="209" t="s">
        <v>1221</v>
      </c>
      <c r="H5" s="209" t="s">
        <v>1201</v>
      </c>
      <c r="I5" s="209" t="s">
        <v>3459</v>
      </c>
      <c r="J5" s="210" t="str">
        <f aca="false">IFERROR(HYPERLINK("#'DL09. Học viên'!A"&amp;MATCH("NV004",'DL01. Nhân viên'!A:A,0),"NV004"),"NV004")</f>
        <v>NV004</v>
      </c>
      <c r="K5" s="209" t="str">
        <f aca="false">IFERROR(VLOOKUP(J5,'DL01. Nhân viên'!$A:$B,2,FALSE()),"")</f>
        <v>Nguyễn Tuấn Phong</v>
      </c>
      <c r="L5" s="209" t="s">
        <v>1176</v>
      </c>
      <c r="M5" s="209"/>
      <c r="N5" s="209"/>
      <c r="O5" s="209"/>
      <c r="P5" s="236" t="b">
        <f aca="false">TRUE()</f>
        <v>1</v>
      </c>
      <c r="Q5" s="236" t="b">
        <f aca="false">TRUE()</f>
        <v>1</v>
      </c>
      <c r="R5" s="209"/>
      <c r="S5" s="237" t="str">
        <f aca="true" t="array" ref="S5:S5">IF(AND(LEFT(L5,9)="completed",P5&lt;&gt;TRUE(),(NOW()-N(E5))*24&gt;slaWowQuotaCheck_hours),INDEX('CH4. Thông điệp nhắc việc'!$G:$G,MATCH("NA074",'CH4. Thông điệp nhắc việc'!$A:$A,0)),IF(LEFT(L5,6)="booked",INDEX('CH4. Thông điệp nhắc việc'!$G:$G,MATCH("NA031",'CH4. Thông điệp nhắc việc'!$A:$A,0)),IF(LEFT(L5,9)="confirmed",IF(AND(ISNUMBER(E5),E5&lt;NOW()),INDEX('CH4. Thông điệp nhắc việc'!$G:$G,MATCH("NA032",'CH4. Thông điệp nhắc việc'!$A:$A,0)),INDEX('CH4. Thông điệp nhắc việc'!$G:$G,MATCH("NA033",'CH4. Thông điệp nhắc việc'!$A:$A,0))),IF(LEFT(L5,9)="completed",IF(M5="",IF((NOW()-N(E5))*24&gt;slaWowOutcomeRead_hours,INDEX('CH4. Thông điệp nhắc việc'!$G:$G,MATCH("NA075",'CH4. Thông điệp nhắc việc'!$A:$A,0)),INDEX('CH4. Thông điệp nhắc việc'!$G:$G,MATCH("NA076",'CH4. Thông điệp nhắc việc'!$A:$A,0))),IF(N5="",INDEX('CH4. Thông điệp nhắc việc'!$G:$G,MATCH("NA034",'CH4. Thông điệp nhắc việc'!$A:$A,0)),INDEX('CH4. Thông điệp nhắc việc'!$G:$G,MATCH("NA022",'CH4. Thông điệp nhắc việc'!$A:$A,0)))),IF(LEFT(L5,7)="no_show",INDEX('CH4. Thông điệp nhắc việc'!$G:$G,MATCH("NA035",'CH4. Thông điệp nhắc việc'!$A:$A,0)),IF(LEFT(L5,9)="cancelled",INDEX('CH4. Thông điệp nhắc việc'!$G:$G,MATCH("NA077",'CH4. Thông điệp nhắc việc'!$A:$A,0)),""))))))</f>
        <v>Buổi WOW đã xong nhưng quá 24 giờ (cấu hình slaWowOutcomeRead_hours) chưa ghi kết quả. Việc cần làm: viết content_note ngay.</v>
      </c>
    </row>
    <row r="6" customFormat="false" ht="42.75" hidden="false" customHeight="true" outlineLevel="0" collapsed="false">
      <c r="A6" s="209" t="s">
        <v>3460</v>
      </c>
      <c r="B6" s="232" t="n">
        <v>46206.375</v>
      </c>
      <c r="C6" s="210" t="str">
        <f aca="false">IFERROR(HYPERLINK("#'DL09. Học viên'!A"&amp;MATCH("HV004",'DL09. Học viên'!A:A,0),"HV004"),"HV004")</f>
        <v>HV004</v>
      </c>
      <c r="D6" s="209" t="s">
        <v>2560</v>
      </c>
      <c r="E6" s="232" t="n">
        <v>46210.375</v>
      </c>
      <c r="F6" s="209" t="s">
        <v>1210</v>
      </c>
      <c r="G6" s="209" t="s">
        <v>1221</v>
      </c>
      <c r="H6" s="209" t="s">
        <v>1199</v>
      </c>
      <c r="I6" s="209" t="s">
        <v>3461</v>
      </c>
      <c r="J6" s="210" t="str">
        <f aca="false">IFERROR(HYPERLINK("#'DL09. Học viên'!A"&amp;MATCH("NV003",'DL01. Nhân viên'!A:A,0),"NV003"),"NV003")</f>
        <v>NV003</v>
      </c>
      <c r="K6" s="209" t="str">
        <f aca="false">IFERROR(VLOOKUP(J6,'DL01. Nhân viên'!$A:$B,2,FALSE()),"")</f>
        <v>Nguyễn Thanh Kiu</v>
      </c>
      <c r="L6" s="209" t="s">
        <v>364</v>
      </c>
      <c r="M6" s="209"/>
      <c r="N6" s="209"/>
      <c r="O6" s="209"/>
      <c r="P6" s="236" t="b">
        <f aca="false">TRUE()</f>
        <v>1</v>
      </c>
      <c r="Q6" s="236" t="b">
        <f aca="false">TRUE()</f>
        <v>1</v>
      </c>
      <c r="R6" s="209"/>
      <c r="S6" s="237" t="str">
        <f aca="true" t="array" ref="S6:S6">IF(AND(LEFT(L6,9)="completed",P6&lt;&gt;TRUE(),(NOW()-N(E6))*24&gt;slaWowQuotaCheck_hours),INDEX('CH4. Thông điệp nhắc việc'!$G:$G,MATCH("NA074",'CH4. Thông điệp nhắc việc'!$A:$A,0)),IF(LEFT(L6,6)="booked",INDEX('CH4. Thông điệp nhắc việc'!$G:$G,MATCH("NA031",'CH4. Thông điệp nhắc việc'!$A:$A,0)),IF(LEFT(L6,9)="confirmed",IF(AND(ISNUMBER(E6),E6&lt;NOW()),INDEX('CH4. Thông điệp nhắc việc'!$G:$G,MATCH("NA032",'CH4. Thông điệp nhắc việc'!$A:$A,0)),INDEX('CH4. Thông điệp nhắc việc'!$G:$G,MATCH("NA033",'CH4. Thông điệp nhắc việc'!$A:$A,0))),IF(LEFT(L6,9)="completed",IF(M6="",IF((NOW()-N(E6))*24&gt;slaWowOutcomeRead_hours,INDEX('CH4. Thông điệp nhắc việc'!$G:$G,MATCH("NA075",'CH4. Thông điệp nhắc việc'!$A:$A,0)),INDEX('CH4. Thông điệp nhắc việc'!$G:$G,MATCH("NA076",'CH4. Thông điệp nhắc việc'!$A:$A,0))),IF(N6="",INDEX('CH4. Thông điệp nhắc việc'!$G:$G,MATCH("NA034",'CH4. Thông điệp nhắc việc'!$A:$A,0)),INDEX('CH4. Thông điệp nhắc việc'!$G:$G,MATCH("NA022",'CH4. Thông điệp nhắc việc'!$A:$A,0)))),IF(LEFT(L6,7)="no_show",INDEX('CH4. Thông điệp nhắc việc'!$G:$G,MATCH("NA035",'CH4. Thông điệp nhắc việc'!$A:$A,0)),IF(LEFT(L6,9)="cancelled",INDEX('CH4. Thông điệp nhắc việc'!$G:$G,MATCH("NA077",'CH4. Thông điệp nhắc việc'!$A:$A,0)),""))))))</f>
        <v>Buổi WOW sắp tới. Việc cần làm: chuẩn bị nội dung buổi.</v>
      </c>
    </row>
    <row r="7" customFormat="false" ht="42.75" hidden="false" customHeight="true" outlineLevel="0" collapsed="false">
      <c r="A7" s="209" t="s">
        <v>3462</v>
      </c>
      <c r="B7" s="232" t="n">
        <v>46205.375</v>
      </c>
      <c r="C7" s="210" t="str">
        <f aca="false">IFERROR(HYPERLINK("#'DL09. Học viên'!A"&amp;MATCH("HV005",'DL09. Học viên'!A:A,0),"HV005"),"HV005")</f>
        <v>HV005</v>
      </c>
      <c r="D7" s="209" t="s">
        <v>2563</v>
      </c>
      <c r="E7" s="232" t="n">
        <v>46207.375</v>
      </c>
      <c r="F7" s="209" t="s">
        <v>1210</v>
      </c>
      <c r="G7" s="209" t="s">
        <v>1221</v>
      </c>
      <c r="H7" s="209" t="s">
        <v>1195</v>
      </c>
      <c r="I7" s="209" t="s">
        <v>3463</v>
      </c>
      <c r="J7" s="210" t="str">
        <f aca="false">IFERROR(HYPERLINK("#'DL09. Học viên'!A"&amp;MATCH("NV004",'DL01. Nhân viên'!A:A,0),"NV004"),"NV004")</f>
        <v>NV004</v>
      </c>
      <c r="K7" s="209" t="str">
        <f aca="false">IFERROR(VLOOKUP(J7,'DL01. Nhân viên'!$A:$B,2,FALSE()),"")</f>
        <v>Nguyễn Tuấn Phong</v>
      </c>
      <c r="L7" s="209" t="s">
        <v>1229</v>
      </c>
      <c r="M7" s="209"/>
      <c r="N7" s="209"/>
      <c r="O7" s="209" t="s">
        <v>1239</v>
      </c>
      <c r="P7" s="236" t="b">
        <f aca="false">TRUE()</f>
        <v>1</v>
      </c>
      <c r="Q7" s="236" t="b">
        <f aca="false">TRUE()</f>
        <v>1</v>
      </c>
      <c r="R7" s="209"/>
      <c r="S7" s="237" t="str">
        <f aca="true" t="array" ref="S7:S7">IF(AND(LEFT(L7,9)="completed",P7&lt;&gt;TRUE(),(NOW()-N(E7))*24&gt;slaWowQuotaCheck_hours),INDEX('CH4. Thông điệp nhắc việc'!$G:$G,MATCH("NA074",'CH4. Thông điệp nhắc việc'!$A:$A,0)),IF(LEFT(L7,6)="booked",INDEX('CH4. Thông điệp nhắc việc'!$G:$G,MATCH("NA031",'CH4. Thông điệp nhắc việc'!$A:$A,0)),IF(LEFT(L7,9)="confirmed",IF(AND(ISNUMBER(E7),E7&lt;NOW()),INDEX('CH4. Thông điệp nhắc việc'!$G:$G,MATCH("NA032",'CH4. Thông điệp nhắc việc'!$A:$A,0)),INDEX('CH4. Thông điệp nhắc việc'!$G:$G,MATCH("NA033",'CH4. Thông điệp nhắc việc'!$A:$A,0))),IF(LEFT(L7,9)="completed",IF(M7="",IF((NOW()-N(E7))*24&gt;slaWowOutcomeRead_hours,INDEX('CH4. Thông điệp nhắc việc'!$G:$G,MATCH("NA075",'CH4. Thông điệp nhắc việc'!$A:$A,0)),INDEX('CH4. Thông điệp nhắc việc'!$G:$G,MATCH("NA076",'CH4. Thông điệp nhắc việc'!$A:$A,0))),IF(N7="",INDEX('CH4. Thông điệp nhắc việc'!$G:$G,MATCH("NA034",'CH4. Thông điệp nhắc việc'!$A:$A,0)),INDEX('CH4. Thông điệp nhắc việc'!$G:$G,MATCH("NA022",'CH4. Thông điệp nhắc việc'!$A:$A,0)))),IF(LEFT(L7,7)="no_show",INDEX('CH4. Thông điệp nhắc việc'!$G:$G,MATCH("NA035",'CH4. Thông điệp nhắc việc'!$A:$A,0)),IF(LEFT(L7,9)="cancelled",INDEX('CH4. Thông điệp nhắc việc'!$G:$G,MATCH("NA077",'CH4. Thông điệp nhắc việc'!$A:$A,0)),""))))))</f>
        <v>HV vắng buổi WOW. Việc cần làm: trừ lượt WOW và ghi lý do.</v>
      </c>
    </row>
    <row r="8" customFormat="false" ht="42.75" hidden="false" customHeight="true" outlineLevel="0" collapsed="false">
      <c r="A8" s="209" t="s">
        <v>3464</v>
      </c>
      <c r="B8" s="232" t="n">
        <v>46207.375</v>
      </c>
      <c r="C8" s="210" t="str">
        <f aca="false">IFERROR(HYPERLINK("#'DL09. Học viên'!A"&amp;MATCH("HV001",'DL09. Học viên'!A:A,0),"HV001"),"HV001")</f>
        <v>HV001</v>
      </c>
      <c r="D8" s="209" t="s">
        <v>2548</v>
      </c>
      <c r="E8" s="232" t="n">
        <v>46209.375</v>
      </c>
      <c r="F8" s="209" t="s">
        <v>1214</v>
      </c>
      <c r="G8" s="209" t="s">
        <v>1225</v>
      </c>
      <c r="H8" s="209" t="s">
        <v>1197</v>
      </c>
      <c r="I8" s="209" t="s">
        <v>3465</v>
      </c>
      <c r="J8" s="210" t="str">
        <f aca="false">IFERROR(HYPERLINK("#'DL09. Học viên'!A"&amp;MATCH("NV003",'DL01. Nhân viên'!A:A,0),"NV003"),"NV003")</f>
        <v>NV003</v>
      </c>
      <c r="K8" s="209" t="str">
        <f aca="false">IFERROR(VLOOKUP(J8,'DL01. Nhân viên'!$A:$B,2,FALSE()),"")</f>
        <v>Nguyễn Thanh Kiu</v>
      </c>
      <c r="L8" s="209" t="s">
        <v>356</v>
      </c>
      <c r="M8" s="209"/>
      <c r="N8" s="209"/>
      <c r="O8" s="209"/>
      <c r="P8" s="236" t="b">
        <f aca="false">TRUE()</f>
        <v>1</v>
      </c>
      <c r="Q8" s="236" t="b">
        <f aca="false">TRUE()</f>
        <v>1</v>
      </c>
      <c r="R8" s="209"/>
      <c r="S8" s="237" t="str">
        <f aca="true" t="array" ref="S8:S8">IF(AND(LEFT(L8,9)="completed",P8&lt;&gt;TRUE(),(NOW()-N(E8))*24&gt;slaWowQuotaCheck_hours),INDEX('CH4. Thông điệp nhắc việc'!$G:$G,MATCH("NA074",'CH4. Thông điệp nhắc việc'!$A:$A,0)),IF(LEFT(L8,6)="booked",INDEX('CH4. Thông điệp nhắc việc'!$G:$G,MATCH("NA031",'CH4. Thông điệp nhắc việc'!$A:$A,0)),IF(LEFT(L8,9)="confirmed",IF(AND(ISNUMBER(E8),E8&lt;NOW()),INDEX('CH4. Thông điệp nhắc việc'!$G:$G,MATCH("NA032",'CH4. Thông điệp nhắc việc'!$A:$A,0)),INDEX('CH4. Thông điệp nhắc việc'!$G:$G,MATCH("NA033",'CH4. Thông điệp nhắc việc'!$A:$A,0))),IF(LEFT(L8,9)="completed",IF(M8="",IF((NOW()-N(E8))*24&gt;slaWowOutcomeRead_hours,INDEX('CH4. Thông điệp nhắc việc'!$G:$G,MATCH("NA075",'CH4. Thông điệp nhắc việc'!$A:$A,0)),INDEX('CH4. Thông điệp nhắc việc'!$G:$G,MATCH("NA076",'CH4. Thông điệp nhắc việc'!$A:$A,0))),IF(N8="",INDEX('CH4. Thông điệp nhắc việc'!$G:$G,MATCH("NA034",'CH4. Thông điệp nhắc việc'!$A:$A,0)),INDEX('CH4. Thông điệp nhắc việc'!$G:$G,MATCH("NA022",'CH4. Thông điệp nhắc việc'!$A:$A,0)))),IF(LEFT(L8,7)="no_show",INDEX('CH4. Thông điệp nhắc việc'!$G:$G,MATCH("NA035",'CH4. Thông điệp nhắc việc'!$A:$A,0)),IF(LEFT(L8,9)="cancelled",INDEX('CH4. Thông điệp nhắc việc'!$G:$G,MATCH("NA077",'CH4. Thông điệp nhắc việc'!$A:$A,0)),""))))))</f>
        <v>Buổi WOW vừa được đặt. Việc cần làm: học vụ xác nhận lịch với HV sớm.</v>
      </c>
    </row>
    <row r="9" customFormat="false" ht="42.75" hidden="false" customHeight="true" outlineLevel="0" collapsed="false">
      <c r="A9" s="209" t="s">
        <v>3466</v>
      </c>
      <c r="B9" s="232" t="n">
        <v>46202.375</v>
      </c>
      <c r="C9" s="210" t="str">
        <f aca="false">IFERROR(HYPERLINK("#'DL09. Học viên'!A"&amp;MATCH("HV009",'DL09. Học viên'!A:A,0),"HV009"),"HV009")</f>
        <v>HV009</v>
      </c>
      <c r="D9" s="209" t="s">
        <v>2571</v>
      </c>
      <c r="E9" s="232" t="n">
        <v>46203.375</v>
      </c>
      <c r="F9" s="209" t="s">
        <v>1210</v>
      </c>
      <c r="G9" s="209" t="s">
        <v>1221</v>
      </c>
      <c r="H9" s="209" t="s">
        <v>1201</v>
      </c>
      <c r="I9" s="209" t="s">
        <v>3467</v>
      </c>
      <c r="J9" s="210" t="str">
        <f aca="false">IFERROR(HYPERLINK("#'DL09. Học viên'!A"&amp;MATCH("NV003",'DL01. Nhân viên'!A:A,0),"NV003"),"NV003")</f>
        <v>NV003</v>
      </c>
      <c r="K9" s="209" t="str">
        <f aca="false">IFERROR(VLOOKUP(J9,'DL01. Nhân viên'!$A:$B,2,FALSE()),"")</f>
        <v>Nguyễn Thanh Kiu</v>
      </c>
      <c r="L9" s="209" t="s">
        <v>1176</v>
      </c>
      <c r="M9" s="209" t="s">
        <v>3468</v>
      </c>
      <c r="N9" s="209" t="s">
        <v>1232</v>
      </c>
      <c r="O9" s="209"/>
      <c r="P9" s="236" t="b">
        <f aca="false">TRUE()</f>
        <v>1</v>
      </c>
      <c r="Q9" s="236" t="b">
        <f aca="false">TRUE()</f>
        <v>1</v>
      </c>
      <c r="R9" s="209"/>
      <c r="S9" s="237" t="str">
        <f aca="true" t="array" ref="S9:S9">IF(AND(LEFT(L9,9)="completed",P9&lt;&gt;TRUE(),(NOW()-N(E9))*24&gt;slaWowQuotaCheck_hours),INDEX('CH4. Thông điệp nhắc việc'!$G:$G,MATCH("NA074",'CH4. Thông điệp nhắc việc'!$A:$A,0)),IF(LEFT(L9,6)="booked",INDEX('CH4. Thông điệp nhắc việc'!$G:$G,MATCH("NA031",'CH4. Thông điệp nhắc việc'!$A:$A,0)),IF(LEFT(L9,9)="confirmed",IF(AND(ISNUMBER(E9),E9&lt;NOW()),INDEX('CH4. Thông điệp nhắc việc'!$G:$G,MATCH("NA032",'CH4. Thông điệp nhắc việc'!$A:$A,0)),INDEX('CH4. Thông điệp nhắc việc'!$G:$G,MATCH("NA033",'CH4. Thông điệp nhắc việc'!$A:$A,0))),IF(LEFT(L9,9)="completed",IF(M9="",IF((NOW()-N(E9))*24&gt;slaWowOutcomeRead_hours,INDEX('CH4. Thông điệp nhắc việc'!$G:$G,MATCH("NA075",'CH4. Thông điệp nhắc việc'!$A:$A,0)),INDEX('CH4. Thông điệp nhắc việc'!$G:$G,MATCH("NA076",'CH4. Thông điệp nhắc việc'!$A:$A,0))),IF(N9="",INDEX('CH4. Thông điệp nhắc việc'!$G:$G,MATCH("NA034",'CH4. Thông điệp nhắc việc'!$A:$A,0)),INDEX('CH4. Thông điệp nhắc việc'!$G:$G,MATCH("NA022",'CH4. Thông điệp nhắc việc'!$A:$A,0)))),IF(LEFT(L9,7)="no_show",INDEX('CH4. Thông điệp nhắc việc'!$G:$G,MATCH("NA035",'CH4. Thông điệp nhắc việc'!$A:$A,0)),IF(LEFT(L9,9)="cancelled",INDEX('CH4. Thông điệp nhắc việc'!$G:$G,MATCH("NA077",'CH4. Thông điệp nhắc việc'!$A:$A,0)),""))))))</f>
        <v>Đã hoàn tất. Không cần làm gì thêm ở bước này.</v>
      </c>
    </row>
    <row r="10" customFormat="false" ht="42.75" hidden="false" customHeight="true" outlineLevel="0" collapsed="false">
      <c r="A10" s="209" t="s">
        <v>3469</v>
      </c>
      <c r="B10" s="232" t="n">
        <v>46205.375</v>
      </c>
      <c r="C10" s="210" t="str">
        <f aca="false">IFERROR(HYPERLINK("#'DL09. Học viên'!A"&amp;MATCH("HV011",'DL09. Học viên'!A:A,0),"HV011"),"HV011")</f>
        <v>HV011</v>
      </c>
      <c r="D10" s="209" t="s">
        <v>2578</v>
      </c>
      <c r="E10" s="232" t="n">
        <v>46206.375</v>
      </c>
      <c r="F10" s="209" t="s">
        <v>1214</v>
      </c>
      <c r="G10" s="209" t="s">
        <v>1225</v>
      </c>
      <c r="H10" s="209" t="s">
        <v>1199</v>
      </c>
      <c r="I10" s="209" t="s">
        <v>3470</v>
      </c>
      <c r="J10" s="210" t="str">
        <f aca="false">IFERROR(HYPERLINK("#'DL09. Học viên'!A"&amp;MATCH("NV004",'DL01. Nhân viên'!A:A,0),"NV004"),"NV004")</f>
        <v>NV004</v>
      </c>
      <c r="K10" s="209" t="str">
        <f aca="false">IFERROR(VLOOKUP(J10,'DL01. Nhân viên'!$A:$B,2,FALSE()),"")</f>
        <v>Nguyễn Tuấn Phong</v>
      </c>
      <c r="L10" s="209" t="s">
        <v>1176</v>
      </c>
      <c r="M10" s="209" t="s">
        <v>3471</v>
      </c>
      <c r="N10" s="209" t="s">
        <v>1232</v>
      </c>
      <c r="O10" s="209"/>
      <c r="P10" s="236" t="b">
        <f aca="false">TRUE()</f>
        <v>1</v>
      </c>
      <c r="Q10" s="236" t="b">
        <f aca="false">TRUE()</f>
        <v>1</v>
      </c>
      <c r="R10" s="209"/>
      <c r="S10" s="237" t="str">
        <f aca="true" t="array" ref="S10:S10">IF(AND(LEFT(L10,9)="completed",P10&lt;&gt;TRUE(),(NOW()-N(E10))*24&gt;slaWowQuotaCheck_hours),INDEX('CH4. Thông điệp nhắc việc'!$G:$G,MATCH("NA074",'CH4. Thông điệp nhắc việc'!$A:$A,0)),IF(LEFT(L10,6)="booked",INDEX('CH4. Thông điệp nhắc việc'!$G:$G,MATCH("NA031",'CH4. Thông điệp nhắc việc'!$A:$A,0)),IF(LEFT(L10,9)="confirmed",IF(AND(ISNUMBER(E10),E10&lt;NOW()),INDEX('CH4. Thông điệp nhắc việc'!$G:$G,MATCH("NA032",'CH4. Thông điệp nhắc việc'!$A:$A,0)),INDEX('CH4. Thông điệp nhắc việc'!$G:$G,MATCH("NA033",'CH4. Thông điệp nhắc việc'!$A:$A,0))),IF(LEFT(L10,9)="completed",IF(M10="",IF((NOW()-N(E10))*24&gt;slaWowOutcomeRead_hours,INDEX('CH4. Thông điệp nhắc việc'!$G:$G,MATCH("NA075",'CH4. Thông điệp nhắc việc'!$A:$A,0)),INDEX('CH4. Thông điệp nhắc việc'!$G:$G,MATCH("NA076",'CH4. Thông điệp nhắc việc'!$A:$A,0))),IF(N10="",INDEX('CH4. Thông điệp nhắc việc'!$G:$G,MATCH("NA034",'CH4. Thông điệp nhắc việc'!$A:$A,0)),INDEX('CH4. Thông điệp nhắc việc'!$G:$G,MATCH("NA022",'CH4. Thông điệp nhắc việc'!$A:$A,0)))),IF(LEFT(L10,7)="no_show",INDEX('CH4. Thông điệp nhắc việc'!$G:$G,MATCH("NA035",'CH4. Thông điệp nhắc việc'!$A:$A,0)),IF(LEFT(L10,9)="cancelled",INDEX('CH4. Thông điệp nhắc việc'!$G:$G,MATCH("NA077",'CH4. Thông điệp nhắc việc'!$A:$A,0)),""))))))</f>
        <v>Đã hoàn tất. Không cần làm gì thêm ở bước này.</v>
      </c>
    </row>
    <row r="11" customFormat="false" ht="15" hidden="false" customHeight="true" outlineLevel="0" collapsed="false">
      <c r="A11" s="135"/>
      <c r="B11" s="182"/>
      <c r="C11" s="135"/>
      <c r="D11" s="135"/>
      <c r="E11" s="182"/>
      <c r="F11" s="135"/>
      <c r="G11" s="135"/>
      <c r="H11" s="135"/>
      <c r="I11" s="135"/>
      <c r="J11" s="135"/>
      <c r="K11" s="135"/>
      <c r="L11" s="135"/>
      <c r="M11" s="135"/>
      <c r="N11" s="135"/>
      <c r="O11" s="135"/>
      <c r="P11" s="135"/>
      <c r="Q11" s="135"/>
      <c r="R11" s="135"/>
      <c r="S11" s="135"/>
    </row>
    <row r="12" customFormat="false" ht="15" hidden="false" customHeight="true" outlineLevel="0" collapsed="false">
      <c r="A12" s="135"/>
      <c r="B12" s="182"/>
      <c r="C12" s="135"/>
      <c r="D12" s="135"/>
      <c r="E12" s="182"/>
      <c r="F12" s="135"/>
      <c r="G12" s="135"/>
      <c r="H12" s="135"/>
      <c r="I12" s="135"/>
      <c r="J12" s="135"/>
      <c r="K12" s="135"/>
      <c r="L12" s="135"/>
      <c r="M12" s="135"/>
      <c r="N12" s="135"/>
      <c r="O12" s="135"/>
      <c r="P12" s="135"/>
      <c r="Q12" s="135"/>
      <c r="R12" s="135"/>
      <c r="S12" s="135"/>
    </row>
    <row r="13" customFormat="false" ht="15" hidden="false" customHeight="true" outlineLevel="0" collapsed="false">
      <c r="A13" s="135"/>
      <c r="B13" s="182"/>
      <c r="C13" s="135"/>
      <c r="D13" s="135"/>
      <c r="E13" s="182"/>
      <c r="F13" s="135"/>
      <c r="G13" s="135"/>
      <c r="H13" s="135"/>
      <c r="I13" s="135"/>
      <c r="J13" s="135"/>
      <c r="K13" s="135"/>
      <c r="L13" s="135"/>
      <c r="M13" s="135"/>
      <c r="N13" s="135"/>
      <c r="O13" s="135"/>
      <c r="P13" s="135"/>
      <c r="Q13" s="135"/>
      <c r="R13" s="135"/>
      <c r="S13" s="135"/>
    </row>
    <row r="14" customFormat="false" ht="15" hidden="false" customHeight="true" outlineLevel="0" collapsed="false">
      <c r="A14" s="135"/>
      <c r="B14" s="182"/>
      <c r="C14" s="135"/>
      <c r="D14" s="135"/>
      <c r="E14" s="182"/>
      <c r="F14" s="135"/>
      <c r="G14" s="135"/>
      <c r="H14" s="135"/>
      <c r="I14" s="135"/>
      <c r="J14" s="135"/>
      <c r="K14" s="135"/>
      <c r="L14" s="135"/>
      <c r="M14" s="135"/>
      <c r="N14" s="135"/>
      <c r="O14" s="135"/>
      <c r="P14" s="135"/>
      <c r="Q14" s="135"/>
      <c r="R14" s="135"/>
      <c r="S14" s="135"/>
    </row>
    <row r="15" customFormat="false" ht="15" hidden="false" customHeight="true" outlineLevel="0" collapsed="false">
      <c r="A15" s="135"/>
      <c r="B15" s="182"/>
      <c r="C15" s="135"/>
      <c r="D15" s="135"/>
      <c r="E15" s="182"/>
      <c r="F15" s="135"/>
      <c r="G15" s="135"/>
      <c r="H15" s="135"/>
      <c r="I15" s="135"/>
      <c r="J15" s="135"/>
      <c r="K15" s="135"/>
      <c r="L15" s="135"/>
      <c r="M15" s="135"/>
      <c r="N15" s="135"/>
      <c r="O15" s="135"/>
      <c r="P15" s="135"/>
      <c r="Q15" s="135"/>
      <c r="R15" s="135"/>
      <c r="S15" s="135"/>
    </row>
    <row r="16" customFormat="false" ht="15" hidden="false" customHeight="true" outlineLevel="0" collapsed="false">
      <c r="A16" s="135"/>
      <c r="B16" s="182"/>
      <c r="C16" s="135"/>
      <c r="D16" s="135"/>
      <c r="E16" s="182"/>
      <c r="F16" s="135"/>
      <c r="G16" s="135"/>
      <c r="H16" s="135"/>
      <c r="I16" s="135"/>
      <c r="J16" s="135"/>
      <c r="K16" s="135"/>
      <c r="L16" s="135"/>
      <c r="M16" s="135"/>
      <c r="N16" s="135"/>
      <c r="O16" s="135"/>
      <c r="P16" s="135"/>
      <c r="Q16" s="135"/>
      <c r="R16" s="135"/>
      <c r="S16" s="135"/>
    </row>
    <row r="17" customFormat="false" ht="15" hidden="false" customHeight="true" outlineLevel="0" collapsed="false">
      <c r="A17" s="135"/>
      <c r="B17" s="182"/>
      <c r="C17" s="135"/>
      <c r="D17" s="135"/>
      <c r="E17" s="182"/>
      <c r="F17" s="135"/>
      <c r="G17" s="135"/>
      <c r="H17" s="135"/>
      <c r="I17" s="135"/>
      <c r="J17" s="135"/>
      <c r="K17" s="135"/>
      <c r="L17" s="135"/>
      <c r="M17" s="135"/>
      <c r="N17" s="135"/>
      <c r="O17" s="135"/>
      <c r="P17" s="135"/>
      <c r="Q17" s="135"/>
      <c r="R17" s="135"/>
      <c r="S17" s="135"/>
    </row>
    <row r="18" customFormat="false" ht="15" hidden="false" customHeight="true" outlineLevel="0" collapsed="false">
      <c r="A18" s="135"/>
      <c r="B18" s="182"/>
      <c r="C18" s="135"/>
      <c r="D18" s="135"/>
      <c r="E18" s="182"/>
      <c r="F18" s="135"/>
      <c r="G18" s="135"/>
      <c r="H18" s="135"/>
      <c r="I18" s="135"/>
      <c r="J18" s="135"/>
      <c r="K18" s="135"/>
      <c r="L18" s="135"/>
      <c r="M18" s="135"/>
      <c r="N18" s="135"/>
      <c r="O18" s="135"/>
      <c r="P18" s="135"/>
      <c r="Q18" s="135"/>
      <c r="R18" s="135"/>
      <c r="S18" s="135"/>
    </row>
    <row r="19" customFormat="false" ht="15" hidden="false" customHeight="true" outlineLevel="0" collapsed="false">
      <c r="A19" s="135"/>
      <c r="B19" s="182"/>
      <c r="C19" s="135"/>
      <c r="D19" s="135"/>
      <c r="E19" s="182"/>
      <c r="F19" s="135"/>
      <c r="G19" s="135"/>
      <c r="H19" s="135"/>
      <c r="I19" s="135"/>
      <c r="J19" s="135"/>
      <c r="K19" s="135"/>
      <c r="L19" s="135"/>
      <c r="M19" s="135"/>
      <c r="N19" s="135"/>
      <c r="O19" s="135"/>
      <c r="P19" s="135"/>
      <c r="Q19" s="135"/>
      <c r="R19" s="135"/>
      <c r="S19" s="135"/>
    </row>
    <row r="20" customFormat="false" ht="15" hidden="false" customHeight="true" outlineLevel="0" collapsed="false">
      <c r="A20" s="135"/>
      <c r="B20" s="182"/>
      <c r="C20" s="135"/>
      <c r="D20" s="135"/>
      <c r="E20" s="182"/>
      <c r="F20" s="135"/>
      <c r="G20" s="135"/>
      <c r="H20" s="135"/>
      <c r="I20" s="135"/>
      <c r="J20" s="135"/>
      <c r="K20" s="135"/>
      <c r="L20" s="135"/>
      <c r="M20" s="135"/>
      <c r="N20" s="135"/>
      <c r="O20" s="135"/>
      <c r="P20" s="135"/>
      <c r="Q20" s="135"/>
      <c r="R20" s="135"/>
      <c r="S20" s="135"/>
    </row>
    <row r="21" customFormat="false" ht="15.75" hidden="false" customHeight="true" outlineLevel="0" collapsed="false">
      <c r="A21" s="135"/>
      <c r="B21" s="182"/>
      <c r="C21" s="135"/>
      <c r="D21" s="135"/>
      <c r="E21" s="182"/>
      <c r="F21" s="135"/>
      <c r="G21" s="135"/>
      <c r="H21" s="135"/>
      <c r="I21" s="135"/>
      <c r="J21" s="135"/>
      <c r="K21" s="135"/>
      <c r="L21" s="135"/>
      <c r="M21" s="135"/>
      <c r="N21" s="135"/>
      <c r="O21" s="135"/>
      <c r="P21" s="135"/>
      <c r="Q21" s="135"/>
      <c r="R21" s="135"/>
      <c r="S21" s="135"/>
    </row>
    <row r="22" customFormat="false" ht="15.75" hidden="false" customHeight="true" outlineLevel="0" collapsed="false">
      <c r="A22" s="135"/>
      <c r="B22" s="182"/>
      <c r="C22" s="135"/>
      <c r="D22" s="135"/>
      <c r="E22" s="182"/>
      <c r="F22" s="135"/>
      <c r="G22" s="135"/>
      <c r="H22" s="135"/>
      <c r="I22" s="135"/>
      <c r="J22" s="135"/>
      <c r="K22" s="135"/>
      <c r="L22" s="135"/>
      <c r="M22" s="135"/>
      <c r="N22" s="135"/>
      <c r="O22" s="135"/>
      <c r="P22" s="135"/>
      <c r="Q22" s="135"/>
      <c r="R22" s="135"/>
      <c r="S22" s="135"/>
    </row>
    <row r="23" customFormat="false" ht="15.75" hidden="false" customHeight="true" outlineLevel="0" collapsed="false">
      <c r="A23" s="135"/>
      <c r="B23" s="182"/>
      <c r="C23" s="135"/>
      <c r="D23" s="135"/>
      <c r="E23" s="182"/>
      <c r="F23" s="135"/>
      <c r="G23" s="135"/>
      <c r="H23" s="135"/>
      <c r="I23" s="135"/>
      <c r="J23" s="135"/>
      <c r="K23" s="135"/>
      <c r="L23" s="135"/>
      <c r="M23" s="135"/>
      <c r="N23" s="135"/>
      <c r="O23" s="135"/>
      <c r="P23" s="135"/>
      <c r="Q23" s="135"/>
      <c r="R23" s="135"/>
      <c r="S23" s="135"/>
    </row>
    <row r="24" customFormat="false" ht="15.75" hidden="false" customHeight="true" outlineLevel="0" collapsed="false">
      <c r="A24" s="135"/>
      <c r="B24" s="182"/>
      <c r="C24" s="135"/>
      <c r="D24" s="135"/>
      <c r="E24" s="182"/>
      <c r="F24" s="135"/>
      <c r="G24" s="135"/>
      <c r="H24" s="135"/>
      <c r="I24" s="135"/>
      <c r="J24" s="135"/>
      <c r="K24" s="135"/>
      <c r="L24" s="135"/>
      <c r="M24" s="135"/>
      <c r="N24" s="135"/>
      <c r="O24" s="135"/>
      <c r="P24" s="135"/>
      <c r="Q24" s="135"/>
      <c r="R24" s="135"/>
      <c r="S24" s="135"/>
    </row>
    <row r="25" customFormat="false" ht="15.75" hidden="false" customHeight="true" outlineLevel="0" collapsed="false">
      <c r="A25" s="135"/>
      <c r="B25" s="182"/>
      <c r="C25" s="135"/>
      <c r="D25" s="135"/>
      <c r="E25" s="182"/>
      <c r="F25" s="135"/>
      <c r="G25" s="135"/>
      <c r="H25" s="135"/>
      <c r="I25" s="135"/>
      <c r="J25" s="135"/>
      <c r="K25" s="135"/>
      <c r="L25" s="135"/>
      <c r="M25" s="135"/>
      <c r="N25" s="135"/>
      <c r="O25" s="135"/>
      <c r="P25" s="135"/>
      <c r="Q25" s="135"/>
      <c r="R25" s="135"/>
      <c r="S25" s="135"/>
    </row>
    <row r="26" customFormat="false" ht="15.75" hidden="false" customHeight="true" outlineLevel="0" collapsed="false">
      <c r="A26" s="135"/>
      <c r="B26" s="182"/>
      <c r="C26" s="135"/>
      <c r="D26" s="135"/>
      <c r="E26" s="182"/>
      <c r="F26" s="135"/>
      <c r="G26" s="135"/>
      <c r="H26" s="135"/>
      <c r="I26" s="135"/>
      <c r="J26" s="135"/>
      <c r="K26" s="135"/>
      <c r="L26" s="135"/>
      <c r="M26" s="135"/>
      <c r="N26" s="135"/>
      <c r="O26" s="135"/>
      <c r="P26" s="135"/>
      <c r="Q26" s="135"/>
      <c r="R26" s="135"/>
      <c r="S26" s="135"/>
    </row>
    <row r="27" customFormat="false" ht="15.75" hidden="false" customHeight="true" outlineLevel="0" collapsed="false">
      <c r="A27" s="135"/>
      <c r="B27" s="182"/>
      <c r="C27" s="135"/>
      <c r="D27" s="135"/>
      <c r="E27" s="182"/>
      <c r="F27" s="135"/>
      <c r="G27" s="135"/>
      <c r="H27" s="135"/>
      <c r="I27" s="135"/>
      <c r="J27" s="135"/>
      <c r="K27" s="135"/>
      <c r="L27" s="135"/>
      <c r="M27" s="135"/>
      <c r="N27" s="135"/>
      <c r="O27" s="135"/>
      <c r="P27" s="135"/>
      <c r="Q27" s="135"/>
      <c r="R27" s="135"/>
      <c r="S27" s="135"/>
    </row>
    <row r="28" customFormat="false" ht="15.75" hidden="false" customHeight="true" outlineLevel="0" collapsed="false">
      <c r="A28" s="135"/>
      <c r="B28" s="182"/>
      <c r="C28" s="135"/>
      <c r="D28" s="135"/>
      <c r="E28" s="182"/>
      <c r="F28" s="135"/>
      <c r="G28" s="135"/>
      <c r="H28" s="135"/>
      <c r="I28" s="135"/>
      <c r="J28" s="135"/>
      <c r="K28" s="135"/>
      <c r="L28" s="135"/>
      <c r="M28" s="135"/>
      <c r="N28" s="135"/>
      <c r="O28" s="135"/>
      <c r="P28" s="135"/>
      <c r="Q28" s="135"/>
      <c r="R28" s="135"/>
      <c r="S28" s="135"/>
    </row>
    <row r="29" customFormat="false" ht="15.75" hidden="false" customHeight="true" outlineLevel="0" collapsed="false">
      <c r="A29" s="135"/>
      <c r="B29" s="182"/>
      <c r="C29" s="135"/>
      <c r="D29" s="135"/>
      <c r="E29" s="182"/>
      <c r="F29" s="135"/>
      <c r="G29" s="135"/>
      <c r="H29" s="135"/>
      <c r="I29" s="135"/>
      <c r="J29" s="135"/>
      <c r="K29" s="135"/>
      <c r="L29" s="135"/>
      <c r="M29" s="135"/>
      <c r="N29" s="135"/>
      <c r="O29" s="135"/>
      <c r="P29" s="135"/>
      <c r="Q29" s="135"/>
      <c r="R29" s="135"/>
      <c r="S29" s="135"/>
    </row>
    <row r="30" customFormat="false" ht="15.75" hidden="false" customHeight="true" outlineLevel="0" collapsed="false">
      <c r="A30" s="135"/>
      <c r="B30" s="182"/>
      <c r="C30" s="135"/>
      <c r="D30" s="135"/>
      <c r="E30" s="182"/>
      <c r="F30" s="135"/>
      <c r="G30" s="135"/>
      <c r="H30" s="135"/>
      <c r="I30" s="135"/>
      <c r="J30" s="135"/>
      <c r="K30" s="135"/>
      <c r="L30" s="135"/>
      <c r="M30" s="135"/>
      <c r="N30" s="135"/>
      <c r="O30" s="135"/>
      <c r="P30" s="135"/>
      <c r="Q30" s="135"/>
      <c r="R30" s="135"/>
      <c r="S30" s="135"/>
    </row>
    <row r="31" customFormat="false" ht="15.75" hidden="false" customHeight="true" outlineLevel="0" collapsed="false">
      <c r="A31" s="135"/>
      <c r="B31" s="182"/>
      <c r="C31" s="135"/>
      <c r="D31" s="135"/>
      <c r="E31" s="182"/>
      <c r="F31" s="135"/>
      <c r="G31" s="135"/>
      <c r="H31" s="135"/>
      <c r="I31" s="135"/>
      <c r="J31" s="135"/>
      <c r="K31" s="135"/>
      <c r="L31" s="135"/>
      <c r="M31" s="135"/>
      <c r="N31" s="135"/>
      <c r="O31" s="135"/>
      <c r="P31" s="135"/>
      <c r="Q31" s="135"/>
      <c r="R31" s="135"/>
      <c r="S31" s="135"/>
    </row>
    <row r="32" customFormat="false" ht="15.75" hidden="false" customHeight="true" outlineLevel="0" collapsed="false">
      <c r="A32" s="135"/>
      <c r="B32" s="182"/>
      <c r="C32" s="135"/>
      <c r="D32" s="135"/>
      <c r="E32" s="182"/>
      <c r="F32" s="135"/>
      <c r="G32" s="135"/>
      <c r="H32" s="135"/>
      <c r="I32" s="135"/>
      <c r="J32" s="135"/>
      <c r="K32" s="135"/>
      <c r="L32" s="135"/>
      <c r="M32" s="135"/>
      <c r="N32" s="135"/>
      <c r="O32" s="135"/>
      <c r="P32" s="135"/>
      <c r="Q32" s="135"/>
      <c r="R32" s="135"/>
      <c r="S32" s="135"/>
    </row>
    <row r="33" customFormat="false" ht="15.75" hidden="false" customHeight="true" outlineLevel="0" collapsed="false">
      <c r="A33" s="135"/>
      <c r="B33" s="182"/>
      <c r="C33" s="135"/>
      <c r="D33" s="135"/>
      <c r="E33" s="182"/>
      <c r="F33" s="135"/>
      <c r="G33" s="135"/>
      <c r="H33" s="135"/>
      <c r="I33" s="135"/>
      <c r="J33" s="135"/>
      <c r="K33" s="135"/>
      <c r="L33" s="135"/>
      <c r="M33" s="135"/>
      <c r="N33" s="135"/>
      <c r="O33" s="135"/>
      <c r="P33" s="135"/>
      <c r="Q33" s="135"/>
      <c r="R33" s="135"/>
      <c r="S33" s="135"/>
    </row>
    <row r="34" customFormat="false" ht="15.75" hidden="false" customHeight="true" outlineLevel="0" collapsed="false">
      <c r="A34" s="135"/>
      <c r="B34" s="182"/>
      <c r="C34" s="135"/>
      <c r="D34" s="135"/>
      <c r="E34" s="182"/>
      <c r="F34" s="135"/>
      <c r="G34" s="135"/>
      <c r="H34" s="135"/>
      <c r="I34" s="135"/>
      <c r="J34" s="135"/>
      <c r="K34" s="135"/>
      <c r="L34" s="135"/>
      <c r="M34" s="135"/>
      <c r="N34" s="135"/>
      <c r="O34" s="135"/>
      <c r="P34" s="135"/>
      <c r="Q34" s="135"/>
      <c r="R34" s="135"/>
      <c r="S34" s="135"/>
    </row>
    <row r="35" customFormat="false" ht="15.75" hidden="false" customHeight="true" outlineLevel="0" collapsed="false">
      <c r="A35" s="135"/>
      <c r="B35" s="182"/>
      <c r="C35" s="135"/>
      <c r="D35" s="135"/>
      <c r="E35" s="182"/>
      <c r="F35" s="135"/>
      <c r="G35" s="135"/>
      <c r="H35" s="135"/>
      <c r="I35" s="135"/>
      <c r="J35" s="135"/>
      <c r="K35" s="135"/>
      <c r="L35" s="135"/>
      <c r="M35" s="135"/>
      <c r="N35" s="135"/>
      <c r="O35" s="135"/>
      <c r="P35" s="135"/>
      <c r="Q35" s="135"/>
      <c r="R35" s="135"/>
      <c r="S35" s="135"/>
    </row>
    <row r="36" customFormat="false" ht="15.75" hidden="false" customHeight="true" outlineLevel="0" collapsed="false">
      <c r="A36" s="135"/>
      <c r="B36" s="182"/>
      <c r="C36" s="135"/>
      <c r="D36" s="135"/>
      <c r="E36" s="182"/>
      <c r="F36" s="135"/>
      <c r="G36" s="135"/>
      <c r="H36" s="135"/>
      <c r="I36" s="135"/>
      <c r="J36" s="135"/>
      <c r="K36" s="135"/>
      <c r="L36" s="135"/>
      <c r="M36" s="135"/>
      <c r="N36" s="135"/>
      <c r="O36" s="135"/>
      <c r="P36" s="135"/>
      <c r="Q36" s="135"/>
      <c r="R36" s="135"/>
      <c r="S36" s="135"/>
    </row>
    <row r="37" customFormat="false" ht="15.75" hidden="false" customHeight="true" outlineLevel="0" collapsed="false">
      <c r="A37" s="135"/>
      <c r="B37" s="182"/>
      <c r="C37" s="135"/>
      <c r="D37" s="135"/>
      <c r="E37" s="182"/>
      <c r="F37" s="135"/>
      <c r="G37" s="135"/>
      <c r="H37" s="135"/>
      <c r="I37" s="135"/>
      <c r="J37" s="135"/>
      <c r="K37" s="135"/>
      <c r="L37" s="135"/>
      <c r="M37" s="135"/>
      <c r="N37" s="135"/>
      <c r="O37" s="135"/>
      <c r="P37" s="135"/>
      <c r="Q37" s="135"/>
      <c r="R37" s="135"/>
      <c r="S37" s="135"/>
    </row>
    <row r="38" customFormat="false" ht="15.75" hidden="false" customHeight="true" outlineLevel="0" collapsed="false">
      <c r="A38" s="135"/>
      <c r="B38" s="182"/>
      <c r="C38" s="135"/>
      <c r="D38" s="135"/>
      <c r="E38" s="182"/>
      <c r="F38" s="135"/>
      <c r="G38" s="135"/>
      <c r="H38" s="135"/>
      <c r="I38" s="135"/>
      <c r="J38" s="135"/>
      <c r="K38" s="135"/>
      <c r="L38" s="135"/>
      <c r="M38" s="135"/>
      <c r="N38" s="135"/>
      <c r="O38" s="135"/>
      <c r="P38" s="135"/>
      <c r="Q38" s="135"/>
      <c r="R38" s="135"/>
      <c r="S38" s="135"/>
    </row>
    <row r="39" customFormat="false" ht="15.75" hidden="false" customHeight="true" outlineLevel="0" collapsed="false">
      <c r="A39" s="135"/>
      <c r="B39" s="182"/>
      <c r="C39" s="135"/>
      <c r="D39" s="135"/>
      <c r="E39" s="182"/>
      <c r="F39" s="135"/>
      <c r="G39" s="135"/>
      <c r="H39" s="135"/>
      <c r="I39" s="135"/>
      <c r="J39" s="135"/>
      <c r="K39" s="135"/>
      <c r="L39" s="135"/>
      <c r="M39" s="135"/>
      <c r="N39" s="135"/>
      <c r="O39" s="135"/>
      <c r="P39" s="135"/>
      <c r="Q39" s="135"/>
      <c r="R39" s="135"/>
      <c r="S39" s="135"/>
    </row>
    <row r="40" customFormat="false" ht="15.75" hidden="false" customHeight="true" outlineLevel="0" collapsed="false">
      <c r="A40" s="135"/>
      <c r="B40" s="182"/>
      <c r="C40" s="135"/>
      <c r="D40" s="135"/>
      <c r="E40" s="182"/>
      <c r="F40" s="135"/>
      <c r="G40" s="135"/>
      <c r="H40" s="135"/>
      <c r="I40" s="135"/>
      <c r="J40" s="135"/>
      <c r="K40" s="135"/>
      <c r="L40" s="135"/>
      <c r="M40" s="135"/>
      <c r="N40" s="135"/>
      <c r="O40" s="135"/>
      <c r="P40" s="135"/>
      <c r="Q40" s="135"/>
      <c r="R40" s="135"/>
      <c r="S40" s="135"/>
    </row>
    <row r="41" customFormat="false" ht="15.75" hidden="false" customHeight="true" outlineLevel="0" collapsed="false">
      <c r="A41" s="135"/>
      <c r="B41" s="182"/>
      <c r="C41" s="135"/>
      <c r="D41" s="135"/>
      <c r="E41" s="182"/>
      <c r="F41" s="135"/>
      <c r="G41" s="135"/>
      <c r="H41" s="135"/>
      <c r="I41" s="135"/>
      <c r="J41" s="135"/>
      <c r="K41" s="135"/>
      <c r="L41" s="135"/>
      <c r="M41" s="135"/>
      <c r="N41" s="135"/>
      <c r="O41" s="135"/>
      <c r="P41" s="135"/>
      <c r="Q41" s="135"/>
      <c r="R41" s="135"/>
      <c r="S41" s="135"/>
    </row>
    <row r="42" customFormat="false" ht="15.75" hidden="false" customHeight="true" outlineLevel="0" collapsed="false">
      <c r="A42" s="135"/>
      <c r="B42" s="182"/>
      <c r="C42" s="135"/>
      <c r="D42" s="135"/>
      <c r="E42" s="182"/>
      <c r="F42" s="135"/>
      <c r="G42" s="135"/>
      <c r="H42" s="135"/>
      <c r="I42" s="135"/>
      <c r="J42" s="135"/>
      <c r="K42" s="135"/>
      <c r="L42" s="135"/>
      <c r="M42" s="135"/>
      <c r="N42" s="135"/>
      <c r="O42" s="135"/>
      <c r="P42" s="135"/>
      <c r="Q42" s="135"/>
      <c r="R42" s="135"/>
      <c r="S42" s="135"/>
    </row>
    <row r="43" customFormat="false" ht="15.75" hidden="false" customHeight="true" outlineLevel="0" collapsed="false">
      <c r="A43" s="135"/>
      <c r="B43" s="182"/>
      <c r="C43" s="135"/>
      <c r="D43" s="135"/>
      <c r="E43" s="182"/>
      <c r="F43" s="135"/>
      <c r="G43" s="135"/>
      <c r="H43" s="135"/>
      <c r="I43" s="135"/>
      <c r="J43" s="135"/>
      <c r="K43" s="135"/>
      <c r="L43" s="135"/>
      <c r="M43" s="135"/>
      <c r="N43" s="135"/>
      <c r="O43" s="135"/>
      <c r="P43" s="135"/>
      <c r="Q43" s="135"/>
      <c r="R43" s="135"/>
      <c r="S43" s="135"/>
    </row>
    <row r="44" customFormat="false" ht="15.75" hidden="false" customHeight="true" outlineLevel="0" collapsed="false">
      <c r="A44" s="135"/>
      <c r="B44" s="182"/>
      <c r="C44" s="135"/>
      <c r="D44" s="135"/>
      <c r="E44" s="182"/>
      <c r="F44" s="135"/>
      <c r="G44" s="135"/>
      <c r="H44" s="135"/>
      <c r="I44" s="135"/>
      <c r="J44" s="135"/>
      <c r="K44" s="135"/>
      <c r="L44" s="135"/>
      <c r="M44" s="135"/>
      <c r="N44" s="135"/>
      <c r="O44" s="135"/>
      <c r="P44" s="135"/>
      <c r="Q44" s="135"/>
      <c r="R44" s="135"/>
      <c r="S44" s="135"/>
    </row>
    <row r="45" customFormat="false" ht="15.75" hidden="false" customHeight="true" outlineLevel="0" collapsed="false">
      <c r="A45" s="135"/>
      <c r="B45" s="182"/>
      <c r="C45" s="135"/>
      <c r="D45" s="135"/>
      <c r="E45" s="182"/>
      <c r="F45" s="135"/>
      <c r="G45" s="135"/>
      <c r="H45" s="135"/>
      <c r="I45" s="135"/>
      <c r="J45" s="135"/>
      <c r="K45" s="135"/>
      <c r="L45" s="135"/>
      <c r="M45" s="135"/>
      <c r="N45" s="135"/>
      <c r="O45" s="135"/>
      <c r="P45" s="135"/>
      <c r="Q45" s="135"/>
      <c r="R45" s="135"/>
      <c r="S45" s="135"/>
    </row>
    <row r="46" customFormat="false" ht="15.75" hidden="false" customHeight="true" outlineLevel="0" collapsed="false">
      <c r="A46" s="135"/>
      <c r="B46" s="182"/>
      <c r="C46" s="135"/>
      <c r="D46" s="135"/>
      <c r="E46" s="182"/>
      <c r="F46" s="135"/>
      <c r="G46" s="135"/>
      <c r="H46" s="135"/>
      <c r="I46" s="135"/>
      <c r="J46" s="135"/>
      <c r="K46" s="135"/>
      <c r="L46" s="135"/>
      <c r="M46" s="135"/>
      <c r="N46" s="135"/>
      <c r="O46" s="135"/>
      <c r="P46" s="135"/>
      <c r="Q46" s="135"/>
      <c r="R46" s="135"/>
      <c r="S46" s="135"/>
    </row>
    <row r="47" customFormat="false" ht="15.75" hidden="false" customHeight="true" outlineLevel="0" collapsed="false">
      <c r="A47" s="135"/>
      <c r="B47" s="182"/>
      <c r="C47" s="135"/>
      <c r="D47" s="135"/>
      <c r="E47" s="182"/>
      <c r="F47" s="135"/>
      <c r="G47" s="135"/>
      <c r="H47" s="135"/>
      <c r="I47" s="135"/>
      <c r="J47" s="135"/>
      <c r="K47" s="135"/>
      <c r="L47" s="135"/>
      <c r="M47" s="135"/>
      <c r="N47" s="135"/>
      <c r="O47" s="135"/>
      <c r="P47" s="135"/>
      <c r="Q47" s="135"/>
      <c r="R47" s="135"/>
      <c r="S47" s="135"/>
    </row>
    <row r="48" customFormat="false" ht="15.75" hidden="false" customHeight="true" outlineLevel="0" collapsed="false">
      <c r="A48" s="135"/>
      <c r="B48" s="182"/>
      <c r="C48" s="135"/>
      <c r="D48" s="135"/>
      <c r="E48" s="182"/>
      <c r="F48" s="135"/>
      <c r="G48" s="135"/>
      <c r="H48" s="135"/>
      <c r="I48" s="135"/>
      <c r="J48" s="135"/>
      <c r="K48" s="135"/>
      <c r="L48" s="135"/>
      <c r="M48" s="135"/>
      <c r="N48" s="135"/>
      <c r="O48" s="135"/>
      <c r="P48" s="135"/>
      <c r="Q48" s="135"/>
      <c r="R48" s="135"/>
      <c r="S48" s="135"/>
    </row>
    <row r="49" customFormat="false" ht="15.75" hidden="false" customHeight="true" outlineLevel="0" collapsed="false">
      <c r="A49" s="135"/>
      <c r="B49" s="182"/>
      <c r="C49" s="135"/>
      <c r="D49" s="135"/>
      <c r="E49" s="182"/>
      <c r="F49" s="135"/>
      <c r="G49" s="135"/>
      <c r="H49" s="135"/>
      <c r="I49" s="135"/>
      <c r="J49" s="135"/>
      <c r="K49" s="135"/>
      <c r="L49" s="135"/>
      <c r="M49" s="135"/>
      <c r="N49" s="135"/>
      <c r="O49" s="135"/>
      <c r="P49" s="135"/>
      <c r="Q49" s="135"/>
      <c r="R49" s="135"/>
      <c r="S49" s="135"/>
    </row>
    <row r="50" customFormat="false" ht="15.75" hidden="false" customHeight="true" outlineLevel="0" collapsed="false">
      <c r="A50" s="135"/>
      <c r="B50" s="182"/>
      <c r="C50" s="135"/>
      <c r="D50" s="135"/>
      <c r="E50" s="182"/>
      <c r="F50" s="135"/>
      <c r="G50" s="135"/>
      <c r="H50" s="135"/>
      <c r="I50" s="135"/>
      <c r="J50" s="135"/>
      <c r="K50" s="135"/>
      <c r="L50" s="135"/>
      <c r="M50" s="135"/>
      <c r="N50" s="135"/>
      <c r="O50" s="135"/>
      <c r="P50" s="135"/>
      <c r="Q50" s="135"/>
      <c r="R50" s="135"/>
      <c r="S50" s="135"/>
    </row>
    <row r="51" customFormat="false" ht="15.75" hidden="false" customHeight="true" outlineLevel="0" collapsed="false">
      <c r="A51" s="135"/>
      <c r="B51" s="182"/>
      <c r="C51" s="135"/>
      <c r="D51" s="135"/>
      <c r="E51" s="182"/>
      <c r="F51" s="135"/>
      <c r="G51" s="135"/>
      <c r="H51" s="135"/>
      <c r="I51" s="135"/>
      <c r="J51" s="135"/>
      <c r="K51" s="135"/>
      <c r="L51" s="135"/>
      <c r="M51" s="135"/>
      <c r="N51" s="135"/>
      <c r="O51" s="135"/>
      <c r="P51" s="135"/>
      <c r="Q51" s="135"/>
      <c r="R51" s="135"/>
      <c r="S51" s="135"/>
    </row>
    <row r="52" customFormat="false" ht="15.75" hidden="false" customHeight="true" outlineLevel="0" collapsed="false">
      <c r="A52" s="135"/>
      <c r="B52" s="182"/>
      <c r="C52" s="135"/>
      <c r="D52" s="135"/>
      <c r="E52" s="182"/>
      <c r="F52" s="135"/>
      <c r="G52" s="135"/>
      <c r="H52" s="135"/>
      <c r="I52" s="135"/>
      <c r="J52" s="135"/>
      <c r="K52" s="135"/>
      <c r="L52" s="135"/>
      <c r="M52" s="135"/>
      <c r="N52" s="135"/>
      <c r="O52" s="135"/>
      <c r="P52" s="135"/>
      <c r="Q52" s="135"/>
      <c r="R52" s="135"/>
      <c r="S52" s="135"/>
    </row>
    <row r="53" customFormat="false" ht="15.75" hidden="false" customHeight="true" outlineLevel="0" collapsed="false">
      <c r="A53" s="135"/>
      <c r="B53" s="182"/>
      <c r="C53" s="135"/>
      <c r="D53" s="135"/>
      <c r="E53" s="182"/>
      <c r="F53" s="135"/>
      <c r="G53" s="135"/>
      <c r="H53" s="135"/>
      <c r="I53" s="135"/>
      <c r="J53" s="135"/>
      <c r="K53" s="135"/>
      <c r="L53" s="135"/>
      <c r="M53" s="135"/>
      <c r="N53" s="135"/>
      <c r="O53" s="135"/>
      <c r="P53" s="135"/>
      <c r="Q53" s="135"/>
      <c r="R53" s="135"/>
      <c r="S53" s="135"/>
    </row>
    <row r="54" customFormat="false" ht="15.75" hidden="false" customHeight="true" outlineLevel="0" collapsed="false">
      <c r="A54" s="135"/>
      <c r="B54" s="182"/>
      <c r="C54" s="135"/>
      <c r="D54" s="135"/>
      <c r="E54" s="182"/>
      <c r="F54" s="135"/>
      <c r="G54" s="135"/>
      <c r="H54" s="135"/>
      <c r="I54" s="135"/>
      <c r="J54" s="135"/>
      <c r="K54" s="135"/>
      <c r="L54" s="135"/>
      <c r="M54" s="135"/>
      <c r="N54" s="135"/>
      <c r="O54" s="135"/>
      <c r="P54" s="135"/>
      <c r="Q54" s="135"/>
      <c r="R54" s="135"/>
      <c r="S54" s="135"/>
    </row>
    <row r="55" customFormat="false" ht="15.75" hidden="false" customHeight="true" outlineLevel="0" collapsed="false">
      <c r="A55" s="135"/>
      <c r="B55" s="182"/>
      <c r="C55" s="135"/>
      <c r="D55" s="135"/>
      <c r="E55" s="182"/>
      <c r="F55" s="135"/>
      <c r="G55" s="135"/>
      <c r="H55" s="135"/>
      <c r="I55" s="135"/>
      <c r="J55" s="135"/>
      <c r="K55" s="135"/>
      <c r="L55" s="135"/>
      <c r="M55" s="135"/>
      <c r="N55" s="135"/>
      <c r="O55" s="135"/>
      <c r="P55" s="135"/>
      <c r="Q55" s="135"/>
      <c r="R55" s="135"/>
      <c r="S55" s="135"/>
    </row>
    <row r="56" customFormat="false" ht="15.75" hidden="false" customHeight="true" outlineLevel="0" collapsed="false">
      <c r="A56" s="135"/>
      <c r="B56" s="182"/>
      <c r="C56" s="135"/>
      <c r="D56" s="135"/>
      <c r="E56" s="182"/>
      <c r="F56" s="135"/>
      <c r="G56" s="135"/>
      <c r="H56" s="135"/>
      <c r="I56" s="135"/>
      <c r="J56" s="135"/>
      <c r="K56" s="135"/>
      <c r="L56" s="135"/>
      <c r="M56" s="135"/>
      <c r="N56" s="135"/>
      <c r="O56" s="135"/>
      <c r="P56" s="135"/>
      <c r="Q56" s="135"/>
      <c r="R56" s="135"/>
      <c r="S56" s="135"/>
    </row>
    <row r="57" customFormat="false" ht="15.75" hidden="false" customHeight="true" outlineLevel="0" collapsed="false">
      <c r="A57" s="135"/>
      <c r="B57" s="182"/>
      <c r="C57" s="135"/>
      <c r="D57" s="135"/>
      <c r="E57" s="182"/>
      <c r="F57" s="135"/>
      <c r="G57" s="135"/>
      <c r="H57" s="135"/>
      <c r="I57" s="135"/>
      <c r="J57" s="135"/>
      <c r="K57" s="135"/>
      <c r="L57" s="135"/>
      <c r="M57" s="135"/>
      <c r="N57" s="135"/>
      <c r="O57" s="135"/>
      <c r="P57" s="135"/>
      <c r="Q57" s="135"/>
      <c r="R57" s="135"/>
      <c r="S57" s="135"/>
    </row>
    <row r="58" customFormat="false" ht="15.75" hidden="false" customHeight="true" outlineLevel="0" collapsed="false">
      <c r="A58" s="135"/>
      <c r="B58" s="182"/>
      <c r="C58" s="135"/>
      <c r="D58" s="135"/>
      <c r="E58" s="182"/>
      <c r="F58" s="135"/>
      <c r="G58" s="135"/>
      <c r="H58" s="135"/>
      <c r="I58" s="135"/>
      <c r="J58" s="135"/>
      <c r="K58" s="135"/>
      <c r="L58" s="135"/>
      <c r="M58" s="135"/>
      <c r="N58" s="135"/>
      <c r="O58" s="135"/>
      <c r="P58" s="135"/>
      <c r="Q58" s="135"/>
      <c r="R58" s="135"/>
      <c r="S58" s="135"/>
    </row>
    <row r="59" customFormat="false" ht="15.75" hidden="false" customHeight="true" outlineLevel="0" collapsed="false">
      <c r="A59" s="135"/>
      <c r="B59" s="182"/>
      <c r="C59" s="135"/>
      <c r="D59" s="135"/>
      <c r="E59" s="182"/>
      <c r="F59" s="135"/>
      <c r="G59" s="135"/>
      <c r="H59" s="135"/>
      <c r="I59" s="135"/>
      <c r="J59" s="135"/>
      <c r="K59" s="135"/>
      <c r="L59" s="135"/>
      <c r="M59" s="135"/>
      <c r="N59" s="135"/>
      <c r="O59" s="135"/>
      <c r="P59" s="135"/>
      <c r="Q59" s="135"/>
      <c r="R59" s="135"/>
      <c r="S59" s="135"/>
    </row>
    <row r="60" customFormat="false" ht="15.75" hidden="false" customHeight="true" outlineLevel="0" collapsed="false">
      <c r="A60" s="135"/>
      <c r="B60" s="182"/>
      <c r="C60" s="135"/>
      <c r="D60" s="135"/>
      <c r="E60" s="182"/>
      <c r="F60" s="135"/>
      <c r="G60" s="135"/>
      <c r="H60" s="135"/>
      <c r="I60" s="135"/>
      <c r="J60" s="135"/>
      <c r="K60" s="135"/>
      <c r="L60" s="135"/>
      <c r="M60" s="135"/>
      <c r="N60" s="135"/>
      <c r="O60" s="135"/>
      <c r="P60" s="135"/>
      <c r="Q60" s="135"/>
      <c r="R60" s="135"/>
      <c r="S60" s="135"/>
    </row>
    <row r="61" customFormat="false" ht="15.75" hidden="false" customHeight="true" outlineLevel="0" collapsed="false">
      <c r="A61" s="135"/>
      <c r="B61" s="182"/>
      <c r="C61" s="135"/>
      <c r="D61" s="135"/>
      <c r="E61" s="182"/>
      <c r="F61" s="135"/>
      <c r="G61" s="135"/>
      <c r="H61" s="135"/>
      <c r="I61" s="135"/>
      <c r="J61" s="135"/>
      <c r="K61" s="135"/>
      <c r="L61" s="135"/>
      <c r="M61" s="135"/>
      <c r="N61" s="135"/>
      <c r="O61" s="135"/>
      <c r="P61" s="135"/>
      <c r="Q61" s="135"/>
      <c r="R61" s="135"/>
      <c r="S61" s="135"/>
    </row>
    <row r="62" customFormat="false" ht="15.75" hidden="false" customHeight="true" outlineLevel="0" collapsed="false">
      <c r="A62" s="135"/>
      <c r="B62" s="182"/>
      <c r="C62" s="135"/>
      <c r="D62" s="135"/>
      <c r="E62" s="182"/>
      <c r="F62" s="135"/>
      <c r="G62" s="135"/>
      <c r="H62" s="135"/>
      <c r="I62" s="135"/>
      <c r="J62" s="135"/>
      <c r="K62" s="135"/>
      <c r="L62" s="135"/>
      <c r="M62" s="135"/>
      <c r="N62" s="135"/>
      <c r="O62" s="135"/>
      <c r="P62" s="135"/>
      <c r="Q62" s="135"/>
      <c r="R62" s="135"/>
      <c r="S62" s="135"/>
    </row>
    <row r="63" customFormat="false" ht="15.75" hidden="false" customHeight="true" outlineLevel="0" collapsed="false">
      <c r="A63" s="135"/>
      <c r="B63" s="182"/>
      <c r="C63" s="135"/>
      <c r="D63" s="135"/>
      <c r="E63" s="182"/>
      <c r="F63" s="135"/>
      <c r="G63" s="135"/>
      <c r="H63" s="135"/>
      <c r="I63" s="135"/>
      <c r="J63" s="135"/>
      <c r="K63" s="135"/>
      <c r="L63" s="135"/>
      <c r="M63" s="135"/>
      <c r="N63" s="135"/>
      <c r="O63" s="135"/>
      <c r="P63" s="135"/>
      <c r="Q63" s="135"/>
      <c r="R63" s="135"/>
      <c r="S63" s="135"/>
    </row>
    <row r="64" customFormat="false" ht="15.75" hidden="false" customHeight="true" outlineLevel="0" collapsed="false">
      <c r="A64" s="135"/>
      <c r="B64" s="182"/>
      <c r="C64" s="135"/>
      <c r="D64" s="135"/>
      <c r="E64" s="182"/>
      <c r="F64" s="135"/>
      <c r="G64" s="135"/>
      <c r="H64" s="135"/>
      <c r="I64" s="135"/>
      <c r="J64" s="135"/>
      <c r="K64" s="135"/>
      <c r="L64" s="135"/>
      <c r="M64" s="135"/>
      <c r="N64" s="135"/>
      <c r="O64" s="135"/>
      <c r="P64" s="135"/>
      <c r="Q64" s="135"/>
      <c r="R64" s="135"/>
      <c r="S64" s="135"/>
    </row>
    <row r="65" customFormat="false" ht="15.75" hidden="false" customHeight="true" outlineLevel="0" collapsed="false">
      <c r="A65" s="135"/>
      <c r="B65" s="182"/>
      <c r="C65" s="135"/>
      <c r="D65" s="135"/>
      <c r="E65" s="182"/>
      <c r="F65" s="135"/>
      <c r="G65" s="135"/>
      <c r="H65" s="135"/>
      <c r="I65" s="135"/>
      <c r="J65" s="135"/>
      <c r="K65" s="135"/>
      <c r="L65" s="135"/>
      <c r="M65" s="135"/>
      <c r="N65" s="135"/>
      <c r="O65" s="135"/>
      <c r="P65" s="135"/>
      <c r="Q65" s="135"/>
      <c r="R65" s="135"/>
      <c r="S65" s="135"/>
    </row>
    <row r="66" customFormat="false" ht="15.75" hidden="false" customHeight="true" outlineLevel="0" collapsed="false">
      <c r="A66" s="135"/>
      <c r="B66" s="182"/>
      <c r="C66" s="135"/>
      <c r="D66" s="135"/>
      <c r="E66" s="182"/>
      <c r="F66" s="135"/>
      <c r="G66" s="135"/>
      <c r="H66" s="135"/>
      <c r="I66" s="135"/>
      <c r="J66" s="135"/>
      <c r="K66" s="135"/>
      <c r="L66" s="135"/>
      <c r="M66" s="135"/>
      <c r="N66" s="135"/>
      <c r="O66" s="135"/>
      <c r="P66" s="135"/>
      <c r="Q66" s="135"/>
      <c r="R66" s="135"/>
      <c r="S66" s="135"/>
    </row>
    <row r="67" customFormat="false" ht="15.75" hidden="false" customHeight="true" outlineLevel="0" collapsed="false">
      <c r="A67" s="135"/>
      <c r="B67" s="182"/>
      <c r="C67" s="135"/>
      <c r="D67" s="135"/>
      <c r="E67" s="182"/>
      <c r="F67" s="135"/>
      <c r="G67" s="135"/>
      <c r="H67" s="135"/>
      <c r="I67" s="135"/>
      <c r="J67" s="135"/>
      <c r="K67" s="135"/>
      <c r="L67" s="135"/>
      <c r="M67" s="135"/>
      <c r="N67" s="135"/>
      <c r="O67" s="135"/>
      <c r="P67" s="135"/>
      <c r="Q67" s="135"/>
      <c r="R67" s="135"/>
      <c r="S67" s="135"/>
    </row>
    <row r="68" customFormat="false" ht="15.75" hidden="false" customHeight="true" outlineLevel="0" collapsed="false">
      <c r="A68" s="135"/>
      <c r="B68" s="182"/>
      <c r="C68" s="135"/>
      <c r="D68" s="135"/>
      <c r="E68" s="182"/>
      <c r="F68" s="135"/>
      <c r="G68" s="135"/>
      <c r="H68" s="135"/>
      <c r="I68" s="135"/>
      <c r="J68" s="135"/>
      <c r="K68" s="135"/>
      <c r="L68" s="135"/>
      <c r="M68" s="135"/>
      <c r="N68" s="135"/>
      <c r="O68" s="135"/>
      <c r="P68" s="135"/>
      <c r="Q68" s="135"/>
      <c r="R68" s="135"/>
      <c r="S68" s="135"/>
    </row>
    <row r="69" customFormat="false" ht="15.75" hidden="false" customHeight="true" outlineLevel="0" collapsed="false">
      <c r="A69" s="135"/>
      <c r="B69" s="182"/>
      <c r="C69" s="135"/>
      <c r="D69" s="135"/>
      <c r="E69" s="182"/>
      <c r="F69" s="135"/>
      <c r="G69" s="135"/>
      <c r="H69" s="135"/>
      <c r="I69" s="135"/>
      <c r="J69" s="135"/>
      <c r="K69" s="135"/>
      <c r="L69" s="135"/>
      <c r="M69" s="135"/>
      <c r="N69" s="135"/>
      <c r="O69" s="135"/>
      <c r="P69" s="135"/>
      <c r="Q69" s="135"/>
      <c r="R69" s="135"/>
      <c r="S69" s="135"/>
    </row>
    <row r="70" customFormat="false" ht="15.75" hidden="false" customHeight="true" outlineLevel="0" collapsed="false">
      <c r="A70" s="135"/>
      <c r="B70" s="182"/>
      <c r="C70" s="135"/>
      <c r="D70" s="135"/>
      <c r="E70" s="182"/>
      <c r="F70" s="135"/>
      <c r="G70" s="135"/>
      <c r="H70" s="135"/>
      <c r="I70" s="135"/>
      <c r="J70" s="135"/>
      <c r="K70" s="135"/>
      <c r="L70" s="135"/>
      <c r="M70" s="135"/>
      <c r="N70" s="135"/>
      <c r="O70" s="135"/>
      <c r="P70" s="135"/>
      <c r="Q70" s="135"/>
      <c r="R70" s="135"/>
      <c r="S70" s="135"/>
    </row>
    <row r="71" customFormat="false" ht="15.75" hidden="false" customHeight="true" outlineLevel="0" collapsed="false">
      <c r="A71" s="135"/>
      <c r="B71" s="182"/>
      <c r="C71" s="135"/>
      <c r="D71" s="135"/>
      <c r="E71" s="182"/>
      <c r="F71" s="135"/>
      <c r="G71" s="135"/>
      <c r="H71" s="135"/>
      <c r="I71" s="135"/>
      <c r="J71" s="135"/>
      <c r="K71" s="135"/>
      <c r="L71" s="135"/>
      <c r="M71" s="135"/>
      <c r="N71" s="135"/>
      <c r="O71" s="135"/>
      <c r="P71" s="135"/>
      <c r="Q71" s="135"/>
      <c r="R71" s="135"/>
      <c r="S71" s="135"/>
    </row>
    <row r="72" customFormat="false" ht="15.75" hidden="false" customHeight="true" outlineLevel="0" collapsed="false">
      <c r="A72" s="135"/>
      <c r="B72" s="182"/>
      <c r="C72" s="135"/>
      <c r="D72" s="135"/>
      <c r="E72" s="182"/>
      <c r="F72" s="135"/>
      <c r="G72" s="135"/>
      <c r="H72" s="135"/>
      <c r="I72" s="135"/>
      <c r="J72" s="135"/>
      <c r="K72" s="135"/>
      <c r="L72" s="135"/>
      <c r="M72" s="135"/>
      <c r="N72" s="135"/>
      <c r="O72" s="135"/>
      <c r="P72" s="135"/>
      <c r="Q72" s="135"/>
      <c r="R72" s="135"/>
      <c r="S72" s="135"/>
    </row>
    <row r="73" customFormat="false" ht="15.75" hidden="false" customHeight="true" outlineLevel="0" collapsed="false">
      <c r="A73" s="135"/>
      <c r="B73" s="182"/>
      <c r="C73" s="135"/>
      <c r="D73" s="135"/>
      <c r="E73" s="182"/>
      <c r="F73" s="135"/>
      <c r="G73" s="135"/>
      <c r="H73" s="135"/>
      <c r="I73" s="135"/>
      <c r="J73" s="135"/>
      <c r="K73" s="135"/>
      <c r="L73" s="135"/>
      <c r="M73" s="135"/>
      <c r="N73" s="135"/>
      <c r="O73" s="135"/>
      <c r="P73" s="135"/>
      <c r="Q73" s="135"/>
      <c r="R73" s="135"/>
      <c r="S73" s="135"/>
    </row>
    <row r="74" customFormat="false" ht="15.75" hidden="false" customHeight="true" outlineLevel="0" collapsed="false">
      <c r="A74" s="135"/>
      <c r="B74" s="182"/>
      <c r="C74" s="135"/>
      <c r="D74" s="135"/>
      <c r="E74" s="182"/>
      <c r="F74" s="135"/>
      <c r="G74" s="135"/>
      <c r="H74" s="135"/>
      <c r="I74" s="135"/>
      <c r="J74" s="135"/>
      <c r="K74" s="135"/>
      <c r="L74" s="135"/>
      <c r="M74" s="135"/>
      <c r="N74" s="135"/>
      <c r="O74" s="135"/>
      <c r="P74" s="135"/>
      <c r="Q74" s="135"/>
      <c r="R74" s="135"/>
      <c r="S74" s="135"/>
    </row>
    <row r="75" customFormat="false" ht="15.75" hidden="false" customHeight="true" outlineLevel="0" collapsed="false">
      <c r="A75" s="135"/>
      <c r="B75" s="182"/>
      <c r="C75" s="135"/>
      <c r="D75" s="135"/>
      <c r="E75" s="182"/>
      <c r="F75" s="135"/>
      <c r="G75" s="135"/>
      <c r="H75" s="135"/>
      <c r="I75" s="135"/>
      <c r="J75" s="135"/>
      <c r="K75" s="135"/>
      <c r="L75" s="135"/>
      <c r="M75" s="135"/>
      <c r="N75" s="135"/>
      <c r="O75" s="135"/>
      <c r="P75" s="135"/>
      <c r="Q75" s="135"/>
      <c r="R75" s="135"/>
      <c r="S75" s="135"/>
    </row>
    <row r="76" customFormat="false" ht="15.75" hidden="false" customHeight="true" outlineLevel="0" collapsed="false">
      <c r="A76" s="135"/>
      <c r="B76" s="182"/>
      <c r="C76" s="135"/>
      <c r="D76" s="135"/>
      <c r="E76" s="182"/>
      <c r="F76" s="135"/>
      <c r="G76" s="135"/>
      <c r="H76" s="135"/>
      <c r="I76" s="135"/>
      <c r="J76" s="135"/>
      <c r="K76" s="135"/>
      <c r="L76" s="135"/>
      <c r="M76" s="135"/>
      <c r="N76" s="135"/>
      <c r="O76" s="135"/>
      <c r="P76" s="135"/>
      <c r="Q76" s="135"/>
      <c r="R76" s="135"/>
      <c r="S76" s="135"/>
    </row>
    <row r="77" customFormat="false" ht="15.75" hidden="false" customHeight="true" outlineLevel="0" collapsed="false">
      <c r="A77" s="135"/>
      <c r="B77" s="182"/>
      <c r="C77" s="135"/>
      <c r="D77" s="135"/>
      <c r="E77" s="182"/>
      <c r="F77" s="135"/>
      <c r="G77" s="135"/>
      <c r="H77" s="135"/>
      <c r="I77" s="135"/>
      <c r="J77" s="135"/>
      <c r="K77" s="135"/>
      <c r="L77" s="135"/>
      <c r="M77" s="135"/>
      <c r="N77" s="135"/>
      <c r="O77" s="135"/>
      <c r="P77" s="135"/>
      <c r="Q77" s="135"/>
      <c r="R77" s="135"/>
      <c r="S77" s="135"/>
    </row>
    <row r="78" customFormat="false" ht="15.75" hidden="false" customHeight="true" outlineLevel="0" collapsed="false">
      <c r="A78" s="135"/>
      <c r="B78" s="182"/>
      <c r="C78" s="135"/>
      <c r="D78" s="135"/>
      <c r="E78" s="182"/>
      <c r="F78" s="135"/>
      <c r="G78" s="135"/>
      <c r="H78" s="135"/>
      <c r="I78" s="135"/>
      <c r="J78" s="135"/>
      <c r="K78" s="135"/>
      <c r="L78" s="135"/>
      <c r="M78" s="135"/>
      <c r="N78" s="135"/>
      <c r="O78" s="135"/>
      <c r="P78" s="135"/>
      <c r="Q78" s="135"/>
      <c r="R78" s="135"/>
      <c r="S78" s="135"/>
    </row>
    <row r="79" customFormat="false" ht="15.75" hidden="false" customHeight="true" outlineLevel="0" collapsed="false">
      <c r="A79" s="135"/>
      <c r="B79" s="182"/>
      <c r="C79" s="135"/>
      <c r="D79" s="135"/>
      <c r="E79" s="182"/>
      <c r="F79" s="135"/>
      <c r="G79" s="135"/>
      <c r="H79" s="135"/>
      <c r="I79" s="135"/>
      <c r="J79" s="135"/>
      <c r="K79" s="135"/>
      <c r="L79" s="135"/>
      <c r="M79" s="135"/>
      <c r="N79" s="135"/>
      <c r="O79" s="135"/>
      <c r="P79" s="135"/>
      <c r="Q79" s="135"/>
      <c r="R79" s="135"/>
      <c r="S79" s="135"/>
    </row>
    <row r="80" customFormat="false" ht="15.75" hidden="false" customHeight="true" outlineLevel="0" collapsed="false">
      <c r="A80" s="135"/>
      <c r="B80" s="182"/>
      <c r="C80" s="135"/>
      <c r="D80" s="135"/>
      <c r="E80" s="182"/>
      <c r="F80" s="135"/>
      <c r="G80" s="135"/>
      <c r="H80" s="135"/>
      <c r="I80" s="135"/>
      <c r="J80" s="135"/>
      <c r="K80" s="135"/>
      <c r="L80" s="135"/>
      <c r="M80" s="135"/>
      <c r="N80" s="135"/>
      <c r="O80" s="135"/>
      <c r="P80" s="135"/>
      <c r="Q80" s="135"/>
      <c r="R80" s="135"/>
      <c r="S80" s="135"/>
    </row>
    <row r="81" customFormat="false" ht="15.75" hidden="false" customHeight="true" outlineLevel="0" collapsed="false">
      <c r="A81" s="135"/>
      <c r="B81" s="182"/>
      <c r="C81" s="135"/>
      <c r="D81" s="135"/>
      <c r="E81" s="182"/>
      <c r="F81" s="135"/>
      <c r="G81" s="135"/>
      <c r="H81" s="135"/>
      <c r="I81" s="135"/>
      <c r="J81" s="135"/>
      <c r="K81" s="135"/>
      <c r="L81" s="135"/>
      <c r="M81" s="135"/>
      <c r="N81" s="135"/>
      <c r="O81" s="135"/>
      <c r="P81" s="135"/>
      <c r="Q81" s="135"/>
      <c r="R81" s="135"/>
      <c r="S81" s="135"/>
    </row>
    <row r="82" customFormat="false" ht="15.75" hidden="false" customHeight="true" outlineLevel="0" collapsed="false">
      <c r="A82" s="135"/>
      <c r="B82" s="182"/>
      <c r="C82" s="135"/>
      <c r="D82" s="135"/>
      <c r="E82" s="182"/>
      <c r="F82" s="135"/>
      <c r="G82" s="135"/>
      <c r="H82" s="135"/>
      <c r="I82" s="135"/>
      <c r="J82" s="135"/>
      <c r="K82" s="135"/>
      <c r="L82" s="135"/>
      <c r="M82" s="135"/>
      <c r="N82" s="135"/>
      <c r="O82" s="135"/>
      <c r="P82" s="135"/>
      <c r="Q82" s="135"/>
      <c r="R82" s="135"/>
      <c r="S82" s="135"/>
    </row>
    <row r="83" customFormat="false" ht="15.75" hidden="false" customHeight="true" outlineLevel="0" collapsed="false">
      <c r="A83" s="135"/>
      <c r="B83" s="182"/>
      <c r="C83" s="135"/>
      <c r="D83" s="135"/>
      <c r="E83" s="182"/>
      <c r="F83" s="135"/>
      <c r="G83" s="135"/>
      <c r="H83" s="135"/>
      <c r="I83" s="135"/>
      <c r="J83" s="135"/>
      <c r="K83" s="135"/>
      <c r="L83" s="135"/>
      <c r="M83" s="135"/>
      <c r="N83" s="135"/>
      <c r="O83" s="135"/>
      <c r="P83" s="135"/>
      <c r="Q83" s="135"/>
      <c r="R83" s="135"/>
      <c r="S83" s="135"/>
    </row>
    <row r="84" customFormat="false" ht="15.75" hidden="false" customHeight="true" outlineLevel="0" collapsed="false">
      <c r="A84" s="135"/>
      <c r="B84" s="182"/>
      <c r="C84" s="135"/>
      <c r="D84" s="135"/>
      <c r="E84" s="182"/>
      <c r="F84" s="135"/>
      <c r="G84" s="135"/>
      <c r="H84" s="135"/>
      <c r="I84" s="135"/>
      <c r="J84" s="135"/>
      <c r="K84" s="135"/>
      <c r="L84" s="135"/>
      <c r="M84" s="135"/>
      <c r="N84" s="135"/>
      <c r="O84" s="135"/>
      <c r="P84" s="135"/>
      <c r="Q84" s="135"/>
      <c r="R84" s="135"/>
      <c r="S84" s="135"/>
    </row>
    <row r="85" customFormat="false" ht="15.75" hidden="false" customHeight="true" outlineLevel="0" collapsed="false">
      <c r="A85" s="135"/>
      <c r="B85" s="182"/>
      <c r="C85" s="135"/>
      <c r="D85" s="135"/>
      <c r="E85" s="182"/>
      <c r="F85" s="135"/>
      <c r="G85" s="135"/>
      <c r="H85" s="135"/>
      <c r="I85" s="135"/>
      <c r="J85" s="135"/>
      <c r="K85" s="135"/>
      <c r="L85" s="135"/>
      <c r="M85" s="135"/>
      <c r="N85" s="135"/>
      <c r="O85" s="135"/>
      <c r="P85" s="135"/>
      <c r="Q85" s="135"/>
      <c r="R85" s="135"/>
      <c r="S85" s="135"/>
    </row>
    <row r="86" customFormat="false" ht="15.75" hidden="false" customHeight="true" outlineLevel="0" collapsed="false">
      <c r="A86" s="135"/>
      <c r="B86" s="182"/>
      <c r="C86" s="135"/>
      <c r="D86" s="135"/>
      <c r="E86" s="182"/>
      <c r="F86" s="135"/>
      <c r="G86" s="135"/>
      <c r="H86" s="135"/>
      <c r="I86" s="135"/>
      <c r="J86" s="135"/>
      <c r="K86" s="135"/>
      <c r="L86" s="135"/>
      <c r="M86" s="135"/>
      <c r="N86" s="135"/>
      <c r="O86" s="135"/>
      <c r="P86" s="135"/>
      <c r="Q86" s="135"/>
      <c r="R86" s="135"/>
      <c r="S86" s="135"/>
    </row>
    <row r="87" customFormat="false" ht="15.75" hidden="false" customHeight="true" outlineLevel="0" collapsed="false">
      <c r="A87" s="135"/>
      <c r="B87" s="182"/>
      <c r="C87" s="135"/>
      <c r="D87" s="135"/>
      <c r="E87" s="182"/>
      <c r="F87" s="135"/>
      <c r="G87" s="135"/>
      <c r="H87" s="135"/>
      <c r="I87" s="135"/>
      <c r="J87" s="135"/>
      <c r="K87" s="135"/>
      <c r="L87" s="135"/>
      <c r="M87" s="135"/>
      <c r="N87" s="135"/>
      <c r="O87" s="135"/>
      <c r="P87" s="135"/>
      <c r="Q87" s="135"/>
      <c r="R87" s="135"/>
      <c r="S87" s="135"/>
    </row>
    <row r="88" customFormat="false" ht="15.75" hidden="false" customHeight="true" outlineLevel="0" collapsed="false">
      <c r="A88" s="135"/>
      <c r="B88" s="182"/>
      <c r="C88" s="135"/>
      <c r="D88" s="135"/>
      <c r="E88" s="182"/>
      <c r="F88" s="135"/>
      <c r="G88" s="135"/>
      <c r="H88" s="135"/>
      <c r="I88" s="135"/>
      <c r="J88" s="135"/>
      <c r="K88" s="135"/>
      <c r="L88" s="135"/>
      <c r="M88" s="135"/>
      <c r="N88" s="135"/>
      <c r="O88" s="135"/>
      <c r="P88" s="135"/>
      <c r="Q88" s="135"/>
      <c r="R88" s="135"/>
      <c r="S88" s="135"/>
    </row>
    <row r="89" customFormat="false" ht="15.75" hidden="false" customHeight="true" outlineLevel="0" collapsed="false">
      <c r="A89" s="135"/>
      <c r="B89" s="182"/>
      <c r="C89" s="135"/>
      <c r="D89" s="135"/>
      <c r="E89" s="182"/>
      <c r="F89" s="135"/>
      <c r="G89" s="135"/>
      <c r="H89" s="135"/>
      <c r="I89" s="135"/>
      <c r="J89" s="135"/>
      <c r="K89" s="135"/>
      <c r="L89" s="135"/>
      <c r="M89" s="135"/>
      <c r="N89" s="135"/>
      <c r="O89" s="135"/>
      <c r="P89" s="135"/>
      <c r="Q89" s="135"/>
      <c r="R89" s="135"/>
      <c r="S89" s="135"/>
    </row>
    <row r="90" customFormat="false" ht="15.75" hidden="false" customHeight="true" outlineLevel="0" collapsed="false">
      <c r="A90" s="135"/>
      <c r="B90" s="182"/>
      <c r="C90" s="135"/>
      <c r="D90" s="135"/>
      <c r="E90" s="182"/>
      <c r="F90" s="135"/>
      <c r="G90" s="135"/>
      <c r="H90" s="135"/>
      <c r="I90" s="135"/>
      <c r="J90" s="135"/>
      <c r="K90" s="135"/>
      <c r="L90" s="135"/>
      <c r="M90" s="135"/>
      <c r="N90" s="135"/>
      <c r="O90" s="135"/>
      <c r="P90" s="135"/>
      <c r="Q90" s="135"/>
      <c r="R90" s="135"/>
      <c r="S90" s="135"/>
    </row>
    <row r="91" customFormat="false" ht="15.75" hidden="false" customHeight="true" outlineLevel="0" collapsed="false">
      <c r="A91" s="135"/>
      <c r="B91" s="182"/>
      <c r="C91" s="135"/>
      <c r="D91" s="135"/>
      <c r="E91" s="182"/>
      <c r="F91" s="135"/>
      <c r="G91" s="135"/>
      <c r="H91" s="135"/>
      <c r="I91" s="135"/>
      <c r="J91" s="135"/>
      <c r="K91" s="135"/>
      <c r="L91" s="135"/>
      <c r="M91" s="135"/>
      <c r="N91" s="135"/>
      <c r="O91" s="135"/>
      <c r="P91" s="135"/>
      <c r="Q91" s="135"/>
      <c r="R91" s="135"/>
      <c r="S91" s="135"/>
    </row>
    <row r="92" customFormat="false" ht="15.75" hidden="false" customHeight="true" outlineLevel="0" collapsed="false">
      <c r="A92" s="135"/>
      <c r="B92" s="182"/>
      <c r="C92" s="135"/>
      <c r="D92" s="135"/>
      <c r="E92" s="182"/>
      <c r="F92" s="135"/>
      <c r="G92" s="135"/>
      <c r="H92" s="135"/>
      <c r="I92" s="135"/>
      <c r="J92" s="135"/>
      <c r="K92" s="135"/>
      <c r="L92" s="135"/>
      <c r="M92" s="135"/>
      <c r="N92" s="135"/>
      <c r="O92" s="135"/>
      <c r="P92" s="135"/>
      <c r="Q92" s="135"/>
      <c r="R92" s="135"/>
      <c r="S92" s="135"/>
    </row>
    <row r="93" customFormat="false" ht="15.75" hidden="false" customHeight="true" outlineLevel="0" collapsed="false">
      <c r="A93" s="135"/>
      <c r="B93" s="182"/>
      <c r="C93" s="135"/>
      <c r="D93" s="135"/>
      <c r="E93" s="182"/>
      <c r="F93" s="135"/>
      <c r="G93" s="135"/>
      <c r="H93" s="135"/>
      <c r="I93" s="135"/>
      <c r="J93" s="135"/>
      <c r="K93" s="135"/>
      <c r="L93" s="135"/>
      <c r="M93" s="135"/>
      <c r="N93" s="135"/>
      <c r="O93" s="135"/>
      <c r="P93" s="135"/>
      <c r="Q93" s="135"/>
      <c r="R93" s="135"/>
      <c r="S93" s="135"/>
    </row>
    <row r="94" customFormat="false" ht="15.75" hidden="false" customHeight="true" outlineLevel="0" collapsed="false">
      <c r="A94" s="135"/>
      <c r="B94" s="182"/>
      <c r="C94" s="135"/>
      <c r="D94" s="135"/>
      <c r="E94" s="182"/>
      <c r="F94" s="135"/>
      <c r="G94" s="135"/>
      <c r="H94" s="135"/>
      <c r="I94" s="135"/>
      <c r="J94" s="135"/>
      <c r="K94" s="135"/>
      <c r="L94" s="135"/>
      <c r="M94" s="135"/>
      <c r="N94" s="135"/>
      <c r="O94" s="135"/>
      <c r="P94" s="135"/>
      <c r="Q94" s="135"/>
      <c r="R94" s="135"/>
      <c r="S94" s="135"/>
    </row>
    <row r="95" customFormat="false" ht="15.75" hidden="false" customHeight="true" outlineLevel="0" collapsed="false">
      <c r="A95" s="135"/>
      <c r="B95" s="182"/>
      <c r="C95" s="135"/>
      <c r="D95" s="135"/>
      <c r="E95" s="182"/>
      <c r="F95" s="135"/>
      <c r="G95" s="135"/>
      <c r="H95" s="135"/>
      <c r="I95" s="135"/>
      <c r="J95" s="135"/>
      <c r="K95" s="135"/>
      <c r="L95" s="135"/>
      <c r="M95" s="135"/>
      <c r="N95" s="135"/>
      <c r="O95" s="135"/>
      <c r="P95" s="135"/>
      <c r="Q95" s="135"/>
      <c r="R95" s="135"/>
      <c r="S95" s="135"/>
    </row>
    <row r="96" customFormat="false" ht="15.75" hidden="false" customHeight="true" outlineLevel="0" collapsed="false">
      <c r="A96" s="135"/>
      <c r="B96" s="182"/>
      <c r="C96" s="135"/>
      <c r="D96" s="135"/>
      <c r="E96" s="182"/>
      <c r="F96" s="135"/>
      <c r="G96" s="135"/>
      <c r="H96" s="135"/>
      <c r="I96" s="135"/>
      <c r="J96" s="135"/>
      <c r="K96" s="135"/>
      <c r="L96" s="135"/>
      <c r="M96" s="135"/>
      <c r="N96" s="135"/>
      <c r="O96" s="135"/>
      <c r="P96" s="135"/>
      <c r="Q96" s="135"/>
      <c r="R96" s="135"/>
      <c r="S96" s="135"/>
    </row>
    <row r="97" customFormat="false" ht="15.75" hidden="false" customHeight="true" outlineLevel="0" collapsed="false">
      <c r="A97" s="135"/>
      <c r="B97" s="182"/>
      <c r="C97" s="135"/>
      <c r="D97" s="135"/>
      <c r="E97" s="182"/>
      <c r="F97" s="135"/>
      <c r="G97" s="135"/>
      <c r="H97" s="135"/>
      <c r="I97" s="135"/>
      <c r="J97" s="135"/>
      <c r="K97" s="135"/>
      <c r="L97" s="135"/>
      <c r="M97" s="135"/>
      <c r="N97" s="135"/>
      <c r="O97" s="135"/>
      <c r="P97" s="135"/>
      <c r="Q97" s="135"/>
      <c r="R97" s="135"/>
      <c r="S97" s="135"/>
    </row>
    <row r="98" customFormat="false" ht="15.75" hidden="false" customHeight="true" outlineLevel="0" collapsed="false">
      <c r="A98" s="135"/>
      <c r="B98" s="182"/>
      <c r="C98" s="135"/>
      <c r="D98" s="135"/>
      <c r="E98" s="182"/>
      <c r="F98" s="135"/>
      <c r="G98" s="135"/>
      <c r="H98" s="135"/>
      <c r="I98" s="135"/>
      <c r="J98" s="135"/>
      <c r="K98" s="135"/>
      <c r="L98" s="135"/>
      <c r="M98" s="135"/>
      <c r="N98" s="135"/>
      <c r="O98" s="135"/>
      <c r="P98" s="135"/>
      <c r="Q98" s="135"/>
      <c r="R98" s="135"/>
      <c r="S98" s="135"/>
    </row>
    <row r="99" customFormat="false" ht="15.75" hidden="false" customHeight="true" outlineLevel="0" collapsed="false">
      <c r="A99" s="135"/>
      <c r="B99" s="182"/>
      <c r="C99" s="135"/>
      <c r="D99" s="135"/>
      <c r="E99" s="182"/>
      <c r="F99" s="135"/>
      <c r="G99" s="135"/>
      <c r="H99" s="135"/>
      <c r="I99" s="135"/>
      <c r="J99" s="135"/>
      <c r="K99" s="135"/>
      <c r="L99" s="135"/>
      <c r="M99" s="135"/>
      <c r="N99" s="135"/>
      <c r="O99" s="135"/>
      <c r="P99" s="135"/>
      <c r="Q99" s="135"/>
      <c r="R99" s="135"/>
      <c r="S99" s="135"/>
    </row>
    <row r="100" customFormat="false" ht="15.75" hidden="false" customHeight="true" outlineLevel="0" collapsed="false">
      <c r="A100" s="135"/>
      <c r="B100" s="182"/>
      <c r="C100" s="135"/>
      <c r="D100" s="135"/>
      <c r="E100" s="182"/>
      <c r="F100" s="135"/>
      <c r="G100" s="135"/>
      <c r="H100" s="135"/>
      <c r="I100" s="135"/>
      <c r="J100" s="135"/>
      <c r="K100" s="135"/>
      <c r="L100" s="135"/>
      <c r="M100" s="135"/>
      <c r="N100" s="135"/>
      <c r="O100" s="135"/>
      <c r="P100" s="135"/>
      <c r="Q100" s="135"/>
      <c r="R100" s="135"/>
      <c r="S100" s="135"/>
    </row>
    <row r="101" customFormat="false" ht="15.75" hidden="false" customHeight="true" outlineLevel="0" collapsed="false">
      <c r="A101" s="135"/>
      <c r="B101" s="182"/>
      <c r="C101" s="135"/>
      <c r="D101" s="135"/>
      <c r="E101" s="182"/>
      <c r="F101" s="135"/>
      <c r="G101" s="135"/>
      <c r="H101" s="135"/>
      <c r="I101" s="135"/>
      <c r="J101" s="135"/>
      <c r="K101" s="135"/>
      <c r="L101" s="135"/>
      <c r="M101" s="135"/>
      <c r="N101" s="135"/>
      <c r="O101" s="135"/>
      <c r="P101" s="135"/>
      <c r="Q101" s="135"/>
      <c r="R101" s="135"/>
      <c r="S101" s="135"/>
    </row>
    <row r="102" customFormat="false" ht="15.75" hidden="false" customHeight="true" outlineLevel="0" collapsed="false">
      <c r="A102" s="135"/>
      <c r="B102" s="182"/>
      <c r="C102" s="135"/>
      <c r="D102" s="135"/>
      <c r="E102" s="182"/>
      <c r="F102" s="135"/>
      <c r="G102" s="135"/>
      <c r="H102" s="135"/>
      <c r="I102" s="135"/>
      <c r="J102" s="135"/>
      <c r="K102" s="135"/>
      <c r="L102" s="135"/>
      <c r="M102" s="135"/>
      <c r="N102" s="135"/>
      <c r="O102" s="135"/>
      <c r="P102" s="135"/>
      <c r="Q102" s="135"/>
      <c r="R102" s="135"/>
      <c r="S102" s="135"/>
    </row>
    <row r="103" customFormat="false" ht="15.75" hidden="false" customHeight="true" outlineLevel="0" collapsed="false">
      <c r="A103" s="135"/>
      <c r="B103" s="182"/>
      <c r="C103" s="135"/>
      <c r="D103" s="135"/>
      <c r="E103" s="182"/>
      <c r="F103" s="135"/>
      <c r="G103" s="135"/>
      <c r="H103" s="135"/>
      <c r="I103" s="135"/>
      <c r="J103" s="135"/>
      <c r="K103" s="135"/>
      <c r="L103" s="135"/>
      <c r="M103" s="135"/>
      <c r="N103" s="135"/>
      <c r="O103" s="135"/>
      <c r="P103" s="135"/>
      <c r="Q103" s="135"/>
      <c r="R103" s="135"/>
      <c r="S103" s="135"/>
    </row>
    <row r="104" customFormat="false" ht="15.75" hidden="false" customHeight="true" outlineLevel="0" collapsed="false">
      <c r="A104" s="135"/>
      <c r="B104" s="182"/>
      <c r="C104" s="135"/>
      <c r="D104" s="135"/>
      <c r="E104" s="182"/>
      <c r="F104" s="135"/>
      <c r="G104" s="135"/>
      <c r="H104" s="135"/>
      <c r="I104" s="135"/>
      <c r="J104" s="135"/>
      <c r="K104" s="135"/>
      <c r="L104" s="135"/>
      <c r="M104" s="135"/>
      <c r="N104" s="135"/>
      <c r="O104" s="135"/>
      <c r="P104" s="135"/>
      <c r="Q104" s="135"/>
      <c r="R104" s="135"/>
      <c r="S104" s="135"/>
    </row>
    <row r="105" customFormat="false" ht="15.75" hidden="false" customHeight="true" outlineLevel="0" collapsed="false">
      <c r="A105" s="135"/>
      <c r="B105" s="182"/>
      <c r="C105" s="135"/>
      <c r="D105" s="135"/>
      <c r="E105" s="182"/>
      <c r="F105" s="135"/>
      <c r="G105" s="135"/>
      <c r="H105" s="135"/>
      <c r="I105" s="135"/>
      <c r="J105" s="135"/>
      <c r="K105" s="135"/>
      <c r="L105" s="135"/>
      <c r="M105" s="135"/>
      <c r="N105" s="135"/>
      <c r="O105" s="135"/>
      <c r="P105" s="135"/>
      <c r="Q105" s="135"/>
      <c r="R105" s="135"/>
      <c r="S105" s="135"/>
    </row>
    <row r="106" customFormat="false" ht="15.75" hidden="false" customHeight="true" outlineLevel="0" collapsed="false">
      <c r="A106" s="135"/>
      <c r="B106" s="182"/>
      <c r="C106" s="135"/>
      <c r="D106" s="135"/>
      <c r="E106" s="182"/>
      <c r="F106" s="135"/>
      <c r="G106" s="135"/>
      <c r="H106" s="135"/>
      <c r="I106" s="135"/>
      <c r="J106" s="135"/>
      <c r="K106" s="135"/>
      <c r="L106" s="135"/>
      <c r="M106" s="135"/>
      <c r="N106" s="135"/>
      <c r="O106" s="135"/>
      <c r="P106" s="135"/>
      <c r="Q106" s="135"/>
      <c r="R106" s="135"/>
      <c r="S106" s="135"/>
    </row>
    <row r="107" customFormat="false" ht="15.75" hidden="false" customHeight="true" outlineLevel="0" collapsed="false">
      <c r="A107" s="135"/>
      <c r="B107" s="182"/>
      <c r="C107" s="135"/>
      <c r="D107" s="135"/>
      <c r="E107" s="182"/>
      <c r="F107" s="135"/>
      <c r="G107" s="135"/>
      <c r="H107" s="135"/>
      <c r="I107" s="135"/>
      <c r="J107" s="135"/>
      <c r="K107" s="135"/>
      <c r="L107" s="135"/>
      <c r="M107" s="135"/>
      <c r="N107" s="135"/>
      <c r="O107" s="135"/>
      <c r="P107" s="135"/>
      <c r="Q107" s="135"/>
      <c r="R107" s="135"/>
      <c r="S107" s="135"/>
    </row>
    <row r="108" customFormat="false" ht="15.75" hidden="false" customHeight="true" outlineLevel="0" collapsed="false">
      <c r="A108" s="135"/>
      <c r="B108" s="182"/>
      <c r="C108" s="135"/>
      <c r="D108" s="135"/>
      <c r="E108" s="182"/>
      <c r="F108" s="135"/>
      <c r="G108" s="135"/>
      <c r="H108" s="135"/>
      <c r="I108" s="135"/>
      <c r="J108" s="135"/>
      <c r="K108" s="135"/>
      <c r="L108" s="135"/>
      <c r="M108" s="135"/>
      <c r="N108" s="135"/>
      <c r="O108" s="135"/>
      <c r="P108" s="135"/>
      <c r="Q108" s="135"/>
      <c r="R108" s="135"/>
      <c r="S108" s="135"/>
    </row>
    <row r="109" customFormat="false" ht="15.75" hidden="false" customHeight="true" outlineLevel="0" collapsed="false">
      <c r="A109" s="135"/>
      <c r="B109" s="182"/>
      <c r="C109" s="135"/>
      <c r="D109" s="135"/>
      <c r="E109" s="182"/>
      <c r="F109" s="135"/>
      <c r="G109" s="135"/>
      <c r="H109" s="135"/>
      <c r="I109" s="135"/>
      <c r="J109" s="135"/>
      <c r="K109" s="135"/>
      <c r="L109" s="135"/>
      <c r="M109" s="135"/>
      <c r="N109" s="135"/>
      <c r="O109" s="135"/>
      <c r="P109" s="135"/>
      <c r="Q109" s="135"/>
      <c r="R109" s="135"/>
      <c r="S109" s="135"/>
    </row>
    <row r="110" customFormat="false" ht="15.75" hidden="false" customHeight="true" outlineLevel="0" collapsed="false">
      <c r="A110" s="135"/>
      <c r="B110" s="182"/>
      <c r="C110" s="135"/>
      <c r="D110" s="135"/>
      <c r="E110" s="182"/>
      <c r="F110" s="135"/>
      <c r="G110" s="135"/>
      <c r="H110" s="135"/>
      <c r="I110" s="135"/>
      <c r="J110" s="135"/>
      <c r="K110" s="135"/>
      <c r="L110" s="135"/>
      <c r="M110" s="135"/>
      <c r="N110" s="135"/>
      <c r="O110" s="135"/>
      <c r="P110" s="135"/>
      <c r="Q110" s="135"/>
      <c r="R110" s="135"/>
      <c r="S110" s="135"/>
    </row>
    <row r="111" customFormat="false" ht="15.75" hidden="false" customHeight="true" outlineLevel="0" collapsed="false">
      <c r="A111" s="135"/>
      <c r="B111" s="182"/>
      <c r="C111" s="135"/>
      <c r="D111" s="135"/>
      <c r="E111" s="182"/>
      <c r="F111" s="135"/>
      <c r="G111" s="135"/>
      <c r="H111" s="135"/>
      <c r="I111" s="135"/>
      <c r="J111" s="135"/>
      <c r="K111" s="135"/>
      <c r="L111" s="135"/>
      <c r="M111" s="135"/>
      <c r="N111" s="135"/>
      <c r="O111" s="135"/>
      <c r="P111" s="135"/>
      <c r="Q111" s="135"/>
      <c r="R111" s="135"/>
      <c r="S111" s="135"/>
    </row>
    <row r="112" customFormat="false" ht="15.75" hidden="false" customHeight="true" outlineLevel="0" collapsed="false">
      <c r="A112" s="135"/>
      <c r="B112" s="182"/>
      <c r="C112" s="135"/>
      <c r="D112" s="135"/>
      <c r="E112" s="182"/>
      <c r="F112" s="135"/>
      <c r="G112" s="135"/>
      <c r="H112" s="135"/>
      <c r="I112" s="135"/>
      <c r="J112" s="135"/>
      <c r="K112" s="135"/>
      <c r="L112" s="135"/>
      <c r="M112" s="135"/>
      <c r="N112" s="135"/>
      <c r="O112" s="135"/>
      <c r="P112" s="135"/>
      <c r="Q112" s="135"/>
      <c r="R112" s="135"/>
      <c r="S112" s="135"/>
    </row>
    <row r="113" customFormat="false" ht="15.75" hidden="false" customHeight="true" outlineLevel="0" collapsed="false">
      <c r="A113" s="135"/>
      <c r="B113" s="182"/>
      <c r="C113" s="135"/>
      <c r="D113" s="135"/>
      <c r="E113" s="182"/>
      <c r="F113" s="135"/>
      <c r="G113" s="135"/>
      <c r="H113" s="135"/>
      <c r="I113" s="135"/>
      <c r="J113" s="135"/>
      <c r="K113" s="135"/>
      <c r="L113" s="135"/>
      <c r="M113" s="135"/>
      <c r="N113" s="135"/>
      <c r="O113" s="135"/>
      <c r="P113" s="135"/>
      <c r="Q113" s="135"/>
      <c r="R113" s="135"/>
      <c r="S113" s="135"/>
    </row>
    <row r="114" customFormat="false" ht="15.75" hidden="false" customHeight="true" outlineLevel="0" collapsed="false">
      <c r="A114" s="135"/>
      <c r="B114" s="182"/>
      <c r="C114" s="135"/>
      <c r="D114" s="135"/>
      <c r="E114" s="182"/>
      <c r="F114" s="135"/>
      <c r="G114" s="135"/>
      <c r="H114" s="135"/>
      <c r="I114" s="135"/>
      <c r="J114" s="135"/>
      <c r="K114" s="135"/>
      <c r="L114" s="135"/>
      <c r="M114" s="135"/>
      <c r="N114" s="135"/>
      <c r="O114" s="135"/>
      <c r="P114" s="135"/>
      <c r="Q114" s="135"/>
      <c r="R114" s="135"/>
      <c r="S114" s="135"/>
    </row>
    <row r="115" customFormat="false" ht="15.75" hidden="false" customHeight="true" outlineLevel="0" collapsed="false">
      <c r="A115" s="135"/>
      <c r="B115" s="182"/>
      <c r="C115" s="135"/>
      <c r="D115" s="135"/>
      <c r="E115" s="182"/>
      <c r="F115" s="135"/>
      <c r="G115" s="135"/>
      <c r="H115" s="135"/>
      <c r="I115" s="135"/>
      <c r="J115" s="135"/>
      <c r="K115" s="135"/>
      <c r="L115" s="135"/>
      <c r="M115" s="135"/>
      <c r="N115" s="135"/>
      <c r="O115" s="135"/>
      <c r="P115" s="135"/>
      <c r="Q115" s="135"/>
      <c r="R115" s="135"/>
      <c r="S115" s="135"/>
    </row>
    <row r="116" customFormat="false" ht="15.75" hidden="false" customHeight="true" outlineLevel="0" collapsed="false">
      <c r="A116" s="135"/>
      <c r="B116" s="182"/>
      <c r="C116" s="135"/>
      <c r="D116" s="135"/>
      <c r="E116" s="182"/>
      <c r="F116" s="135"/>
      <c r="G116" s="135"/>
      <c r="H116" s="135"/>
      <c r="I116" s="135"/>
      <c r="J116" s="135"/>
      <c r="K116" s="135"/>
      <c r="L116" s="135"/>
      <c r="M116" s="135"/>
      <c r="N116" s="135"/>
      <c r="O116" s="135"/>
      <c r="P116" s="135"/>
      <c r="Q116" s="135"/>
      <c r="R116" s="135"/>
      <c r="S116" s="135"/>
    </row>
    <row r="117" customFormat="false" ht="15.75" hidden="false" customHeight="true" outlineLevel="0" collapsed="false">
      <c r="A117" s="135"/>
      <c r="B117" s="182"/>
      <c r="C117" s="135"/>
      <c r="D117" s="135"/>
      <c r="E117" s="182"/>
      <c r="F117" s="135"/>
      <c r="G117" s="135"/>
      <c r="H117" s="135"/>
      <c r="I117" s="135"/>
      <c r="J117" s="135"/>
      <c r="K117" s="135"/>
      <c r="L117" s="135"/>
      <c r="M117" s="135"/>
      <c r="N117" s="135"/>
      <c r="O117" s="135"/>
      <c r="P117" s="135"/>
      <c r="Q117" s="135"/>
      <c r="R117" s="135"/>
      <c r="S117" s="135"/>
    </row>
    <row r="118" customFormat="false" ht="15.75" hidden="false" customHeight="true" outlineLevel="0" collapsed="false">
      <c r="A118" s="135"/>
      <c r="B118" s="182"/>
      <c r="C118" s="135"/>
      <c r="D118" s="135"/>
      <c r="E118" s="182"/>
      <c r="F118" s="135"/>
      <c r="G118" s="135"/>
      <c r="H118" s="135"/>
      <c r="I118" s="135"/>
      <c r="J118" s="135"/>
      <c r="K118" s="135"/>
      <c r="L118" s="135"/>
      <c r="M118" s="135"/>
      <c r="N118" s="135"/>
      <c r="O118" s="135"/>
      <c r="P118" s="135"/>
      <c r="Q118" s="135"/>
      <c r="R118" s="135"/>
      <c r="S118" s="135"/>
    </row>
    <row r="119" customFormat="false" ht="15.75" hidden="false" customHeight="true" outlineLevel="0" collapsed="false">
      <c r="A119" s="135"/>
      <c r="B119" s="182"/>
      <c r="C119" s="135"/>
      <c r="D119" s="135"/>
      <c r="E119" s="182"/>
      <c r="F119" s="135"/>
      <c r="G119" s="135"/>
      <c r="H119" s="135"/>
      <c r="I119" s="135"/>
      <c r="J119" s="135"/>
      <c r="K119" s="135"/>
      <c r="L119" s="135"/>
      <c r="M119" s="135"/>
      <c r="N119" s="135"/>
      <c r="O119" s="135"/>
      <c r="P119" s="135"/>
      <c r="Q119" s="135"/>
      <c r="R119" s="135"/>
      <c r="S119" s="135"/>
    </row>
    <row r="120" customFormat="false" ht="15.75" hidden="false" customHeight="true" outlineLevel="0" collapsed="false">
      <c r="A120" s="135"/>
      <c r="B120" s="182"/>
      <c r="C120" s="135"/>
      <c r="D120" s="135"/>
      <c r="E120" s="182"/>
      <c r="F120" s="135"/>
      <c r="G120" s="135"/>
      <c r="H120" s="135"/>
      <c r="I120" s="135"/>
      <c r="J120" s="135"/>
      <c r="K120" s="135"/>
      <c r="L120" s="135"/>
      <c r="M120" s="135"/>
      <c r="N120" s="135"/>
      <c r="O120" s="135"/>
      <c r="P120" s="135"/>
      <c r="Q120" s="135"/>
      <c r="R120" s="135"/>
      <c r="S120" s="135"/>
    </row>
    <row r="121" customFormat="false" ht="15.75" hidden="false" customHeight="true" outlineLevel="0" collapsed="false">
      <c r="A121" s="135"/>
      <c r="B121" s="182"/>
      <c r="C121" s="135"/>
      <c r="D121" s="135"/>
      <c r="E121" s="182"/>
      <c r="F121" s="135"/>
      <c r="G121" s="135"/>
      <c r="H121" s="135"/>
      <c r="I121" s="135"/>
      <c r="J121" s="135"/>
      <c r="K121" s="135"/>
      <c r="L121" s="135"/>
      <c r="M121" s="135"/>
      <c r="N121" s="135"/>
      <c r="O121" s="135"/>
      <c r="P121" s="135"/>
      <c r="Q121" s="135"/>
      <c r="R121" s="135"/>
      <c r="S121" s="135"/>
    </row>
    <row r="122" customFormat="false" ht="15.75" hidden="false" customHeight="true" outlineLevel="0" collapsed="false">
      <c r="A122" s="135"/>
      <c r="B122" s="182"/>
      <c r="C122" s="135"/>
      <c r="D122" s="135"/>
      <c r="E122" s="182"/>
      <c r="F122" s="135"/>
      <c r="G122" s="135"/>
      <c r="H122" s="135"/>
      <c r="I122" s="135"/>
      <c r="J122" s="135"/>
      <c r="K122" s="135"/>
      <c r="L122" s="135"/>
      <c r="M122" s="135"/>
      <c r="N122" s="135"/>
      <c r="O122" s="135"/>
      <c r="P122" s="135"/>
      <c r="Q122" s="135"/>
      <c r="R122" s="135"/>
      <c r="S122" s="135"/>
    </row>
    <row r="123" customFormat="false" ht="15.75" hidden="false" customHeight="true" outlineLevel="0" collapsed="false">
      <c r="A123" s="135"/>
      <c r="B123" s="182"/>
      <c r="C123" s="135"/>
      <c r="D123" s="135"/>
      <c r="E123" s="182"/>
      <c r="F123" s="135"/>
      <c r="G123" s="135"/>
      <c r="H123" s="135"/>
      <c r="I123" s="135"/>
      <c r="J123" s="135"/>
      <c r="K123" s="135"/>
      <c r="L123" s="135"/>
      <c r="M123" s="135"/>
      <c r="N123" s="135"/>
      <c r="O123" s="135"/>
      <c r="P123" s="135"/>
      <c r="Q123" s="135"/>
      <c r="R123" s="135"/>
      <c r="S123" s="135"/>
    </row>
    <row r="124" customFormat="false" ht="15.75" hidden="false" customHeight="true" outlineLevel="0" collapsed="false">
      <c r="A124" s="135"/>
      <c r="B124" s="182"/>
      <c r="C124" s="135"/>
      <c r="D124" s="135"/>
      <c r="E124" s="182"/>
      <c r="F124" s="135"/>
      <c r="G124" s="135"/>
      <c r="H124" s="135"/>
      <c r="I124" s="135"/>
      <c r="J124" s="135"/>
      <c r="K124" s="135"/>
      <c r="L124" s="135"/>
      <c r="M124" s="135"/>
      <c r="N124" s="135"/>
      <c r="O124" s="135"/>
      <c r="P124" s="135"/>
      <c r="Q124" s="135"/>
      <c r="R124" s="135"/>
      <c r="S124" s="135"/>
    </row>
    <row r="125" customFormat="false" ht="15.75" hidden="false" customHeight="true" outlineLevel="0" collapsed="false">
      <c r="A125" s="135"/>
      <c r="B125" s="182"/>
      <c r="C125" s="135"/>
      <c r="D125" s="135"/>
      <c r="E125" s="182"/>
      <c r="F125" s="135"/>
      <c r="G125" s="135"/>
      <c r="H125" s="135"/>
      <c r="I125" s="135"/>
      <c r="J125" s="135"/>
      <c r="K125" s="135"/>
      <c r="L125" s="135"/>
      <c r="M125" s="135"/>
      <c r="N125" s="135"/>
      <c r="O125" s="135"/>
      <c r="P125" s="135"/>
      <c r="Q125" s="135"/>
      <c r="R125" s="135"/>
      <c r="S125" s="135"/>
    </row>
    <row r="126" customFormat="false" ht="15.75" hidden="false" customHeight="true" outlineLevel="0" collapsed="false">
      <c r="A126" s="135"/>
      <c r="B126" s="182"/>
      <c r="C126" s="135"/>
      <c r="D126" s="135"/>
      <c r="E126" s="182"/>
      <c r="F126" s="135"/>
      <c r="G126" s="135"/>
      <c r="H126" s="135"/>
      <c r="I126" s="135"/>
      <c r="J126" s="135"/>
      <c r="K126" s="135"/>
      <c r="L126" s="135"/>
      <c r="M126" s="135"/>
      <c r="N126" s="135"/>
      <c r="O126" s="135"/>
      <c r="P126" s="135"/>
      <c r="Q126" s="135"/>
      <c r="R126" s="135"/>
      <c r="S126" s="135"/>
    </row>
    <row r="127" customFormat="false" ht="15.75" hidden="false" customHeight="true" outlineLevel="0" collapsed="false">
      <c r="A127" s="135"/>
      <c r="B127" s="182"/>
      <c r="C127" s="135"/>
      <c r="D127" s="135"/>
      <c r="E127" s="182"/>
      <c r="F127" s="135"/>
      <c r="G127" s="135"/>
      <c r="H127" s="135"/>
      <c r="I127" s="135"/>
      <c r="J127" s="135"/>
      <c r="K127" s="135"/>
      <c r="L127" s="135"/>
      <c r="M127" s="135"/>
      <c r="N127" s="135"/>
      <c r="O127" s="135"/>
      <c r="P127" s="135"/>
      <c r="Q127" s="135"/>
      <c r="R127" s="135"/>
      <c r="S127" s="135"/>
    </row>
    <row r="128" customFormat="false" ht="15.75" hidden="false" customHeight="true" outlineLevel="0" collapsed="false">
      <c r="A128" s="135"/>
      <c r="B128" s="182"/>
      <c r="C128" s="135"/>
      <c r="D128" s="135"/>
      <c r="E128" s="182"/>
      <c r="F128" s="135"/>
      <c r="G128" s="135"/>
      <c r="H128" s="135"/>
      <c r="I128" s="135"/>
      <c r="J128" s="135"/>
      <c r="K128" s="135"/>
      <c r="L128" s="135"/>
      <c r="M128" s="135"/>
      <c r="N128" s="135"/>
      <c r="O128" s="135"/>
      <c r="P128" s="135"/>
      <c r="Q128" s="135"/>
      <c r="R128" s="135"/>
      <c r="S128" s="135"/>
    </row>
    <row r="129" customFormat="false" ht="15.75" hidden="false" customHeight="true" outlineLevel="0" collapsed="false">
      <c r="A129" s="135"/>
      <c r="B129" s="182"/>
      <c r="C129" s="135"/>
      <c r="D129" s="135"/>
      <c r="E129" s="182"/>
      <c r="F129" s="135"/>
      <c r="G129" s="135"/>
      <c r="H129" s="135"/>
      <c r="I129" s="135"/>
      <c r="J129" s="135"/>
      <c r="K129" s="135"/>
      <c r="L129" s="135"/>
      <c r="M129" s="135"/>
      <c r="N129" s="135"/>
      <c r="O129" s="135"/>
      <c r="P129" s="135"/>
      <c r="Q129" s="135"/>
      <c r="R129" s="135"/>
      <c r="S129" s="135"/>
    </row>
    <row r="130" customFormat="false" ht="15.75" hidden="false" customHeight="true" outlineLevel="0" collapsed="false">
      <c r="A130" s="135"/>
      <c r="B130" s="182"/>
      <c r="C130" s="135"/>
      <c r="D130" s="135"/>
      <c r="E130" s="182"/>
      <c r="F130" s="135"/>
      <c r="G130" s="135"/>
      <c r="H130" s="135"/>
      <c r="I130" s="135"/>
      <c r="J130" s="135"/>
      <c r="K130" s="135"/>
      <c r="L130" s="135"/>
      <c r="M130" s="135"/>
      <c r="N130" s="135"/>
      <c r="O130" s="135"/>
      <c r="P130" s="135"/>
      <c r="Q130" s="135"/>
      <c r="R130" s="135"/>
      <c r="S130" s="135"/>
    </row>
    <row r="131" customFormat="false" ht="15.75" hidden="false" customHeight="true" outlineLevel="0" collapsed="false">
      <c r="A131" s="135"/>
      <c r="B131" s="182"/>
      <c r="C131" s="135"/>
      <c r="D131" s="135"/>
      <c r="E131" s="182"/>
      <c r="F131" s="135"/>
      <c r="G131" s="135"/>
      <c r="H131" s="135"/>
      <c r="I131" s="135"/>
      <c r="J131" s="135"/>
      <c r="K131" s="135"/>
      <c r="L131" s="135"/>
      <c r="M131" s="135"/>
      <c r="N131" s="135"/>
      <c r="O131" s="135"/>
      <c r="P131" s="135"/>
      <c r="Q131" s="135"/>
      <c r="R131" s="135"/>
      <c r="S131" s="135"/>
    </row>
    <row r="132" customFormat="false" ht="15.75" hidden="false" customHeight="true" outlineLevel="0" collapsed="false">
      <c r="A132" s="135"/>
      <c r="B132" s="182"/>
      <c r="C132" s="135"/>
      <c r="D132" s="135"/>
      <c r="E132" s="182"/>
      <c r="F132" s="135"/>
      <c r="G132" s="135"/>
      <c r="H132" s="135"/>
      <c r="I132" s="135"/>
      <c r="J132" s="135"/>
      <c r="K132" s="135"/>
      <c r="L132" s="135"/>
      <c r="M132" s="135"/>
      <c r="N132" s="135"/>
      <c r="O132" s="135"/>
      <c r="P132" s="135"/>
      <c r="Q132" s="135"/>
      <c r="R132" s="135"/>
      <c r="S132" s="135"/>
    </row>
    <row r="133" customFormat="false" ht="15.75" hidden="false" customHeight="true" outlineLevel="0" collapsed="false">
      <c r="A133" s="135"/>
      <c r="B133" s="182"/>
      <c r="C133" s="135"/>
      <c r="D133" s="135"/>
      <c r="E133" s="182"/>
      <c r="F133" s="135"/>
      <c r="G133" s="135"/>
      <c r="H133" s="135"/>
      <c r="I133" s="135"/>
      <c r="J133" s="135"/>
      <c r="K133" s="135"/>
      <c r="L133" s="135"/>
      <c r="M133" s="135"/>
      <c r="N133" s="135"/>
      <c r="O133" s="135"/>
      <c r="P133" s="135"/>
      <c r="Q133" s="135"/>
      <c r="R133" s="135"/>
      <c r="S133" s="135"/>
    </row>
    <row r="134" customFormat="false" ht="15.75" hidden="false" customHeight="true" outlineLevel="0" collapsed="false">
      <c r="A134" s="135"/>
      <c r="B134" s="182"/>
      <c r="C134" s="135"/>
      <c r="D134" s="135"/>
      <c r="E134" s="182"/>
      <c r="F134" s="135"/>
      <c r="G134" s="135"/>
      <c r="H134" s="135"/>
      <c r="I134" s="135"/>
      <c r="J134" s="135"/>
      <c r="K134" s="135"/>
      <c r="L134" s="135"/>
      <c r="M134" s="135"/>
      <c r="N134" s="135"/>
      <c r="O134" s="135"/>
      <c r="P134" s="135"/>
      <c r="Q134" s="135"/>
      <c r="R134" s="135"/>
      <c r="S134" s="135"/>
    </row>
    <row r="135" customFormat="false" ht="15.75" hidden="false" customHeight="true" outlineLevel="0" collapsed="false">
      <c r="A135" s="135"/>
      <c r="B135" s="182"/>
      <c r="C135" s="135"/>
      <c r="D135" s="135"/>
      <c r="E135" s="182"/>
      <c r="F135" s="135"/>
      <c r="G135" s="135"/>
      <c r="H135" s="135"/>
      <c r="I135" s="135"/>
      <c r="J135" s="135"/>
      <c r="K135" s="135"/>
      <c r="L135" s="135"/>
      <c r="M135" s="135"/>
      <c r="N135" s="135"/>
      <c r="O135" s="135"/>
      <c r="P135" s="135"/>
      <c r="Q135" s="135"/>
      <c r="R135" s="135"/>
      <c r="S135" s="135"/>
    </row>
    <row r="136" customFormat="false" ht="15.75" hidden="false" customHeight="true" outlineLevel="0" collapsed="false">
      <c r="A136" s="135"/>
      <c r="B136" s="182"/>
      <c r="C136" s="135"/>
      <c r="D136" s="135"/>
      <c r="E136" s="182"/>
      <c r="F136" s="135"/>
      <c r="G136" s="135"/>
      <c r="H136" s="135"/>
      <c r="I136" s="135"/>
      <c r="J136" s="135"/>
      <c r="K136" s="135"/>
      <c r="L136" s="135"/>
      <c r="M136" s="135"/>
      <c r="N136" s="135"/>
      <c r="O136" s="135"/>
      <c r="P136" s="135"/>
      <c r="Q136" s="135"/>
      <c r="R136" s="135"/>
      <c r="S136" s="135"/>
    </row>
    <row r="137" customFormat="false" ht="15.75" hidden="false" customHeight="true" outlineLevel="0" collapsed="false">
      <c r="A137" s="135"/>
      <c r="B137" s="182"/>
      <c r="C137" s="135"/>
      <c r="D137" s="135"/>
      <c r="E137" s="182"/>
      <c r="F137" s="135"/>
      <c r="G137" s="135"/>
      <c r="H137" s="135"/>
      <c r="I137" s="135"/>
      <c r="J137" s="135"/>
      <c r="K137" s="135"/>
      <c r="L137" s="135"/>
      <c r="M137" s="135"/>
      <c r="N137" s="135"/>
      <c r="O137" s="135"/>
      <c r="P137" s="135"/>
      <c r="Q137" s="135"/>
      <c r="R137" s="135"/>
      <c r="S137" s="135"/>
    </row>
    <row r="138" customFormat="false" ht="15.75" hidden="false" customHeight="true" outlineLevel="0" collapsed="false">
      <c r="A138" s="135"/>
      <c r="B138" s="182"/>
      <c r="C138" s="135"/>
      <c r="D138" s="135"/>
      <c r="E138" s="182"/>
      <c r="F138" s="135"/>
      <c r="G138" s="135"/>
      <c r="H138" s="135"/>
      <c r="I138" s="135"/>
      <c r="J138" s="135"/>
      <c r="K138" s="135"/>
      <c r="L138" s="135"/>
      <c r="M138" s="135"/>
      <c r="N138" s="135"/>
      <c r="O138" s="135"/>
      <c r="P138" s="135"/>
      <c r="Q138" s="135"/>
      <c r="R138" s="135"/>
      <c r="S138" s="135"/>
    </row>
    <row r="139" customFormat="false" ht="15.75" hidden="false" customHeight="true" outlineLevel="0" collapsed="false">
      <c r="A139" s="135"/>
      <c r="B139" s="182"/>
      <c r="C139" s="135"/>
      <c r="D139" s="135"/>
      <c r="E139" s="182"/>
      <c r="F139" s="135"/>
      <c r="G139" s="135"/>
      <c r="H139" s="135"/>
      <c r="I139" s="135"/>
      <c r="J139" s="135"/>
      <c r="K139" s="135"/>
      <c r="L139" s="135"/>
      <c r="M139" s="135"/>
      <c r="N139" s="135"/>
      <c r="O139" s="135"/>
      <c r="P139" s="135"/>
      <c r="Q139" s="135"/>
      <c r="R139" s="135"/>
      <c r="S139" s="135"/>
    </row>
    <row r="140" customFormat="false" ht="15.75" hidden="false" customHeight="true" outlineLevel="0" collapsed="false">
      <c r="A140" s="135"/>
      <c r="B140" s="182"/>
      <c r="C140" s="135"/>
      <c r="D140" s="135"/>
      <c r="E140" s="182"/>
      <c r="F140" s="135"/>
      <c r="G140" s="135"/>
      <c r="H140" s="135"/>
      <c r="I140" s="135"/>
      <c r="J140" s="135"/>
      <c r="K140" s="135"/>
      <c r="L140" s="135"/>
      <c r="M140" s="135"/>
      <c r="N140" s="135"/>
      <c r="O140" s="135"/>
      <c r="P140" s="135"/>
      <c r="Q140" s="135"/>
      <c r="R140" s="135"/>
      <c r="S140" s="135"/>
    </row>
    <row r="141" customFormat="false" ht="15.75" hidden="false" customHeight="true" outlineLevel="0" collapsed="false">
      <c r="A141" s="135"/>
      <c r="B141" s="182"/>
      <c r="C141" s="135"/>
      <c r="D141" s="135"/>
      <c r="E141" s="182"/>
      <c r="F141" s="135"/>
      <c r="G141" s="135"/>
      <c r="H141" s="135"/>
      <c r="I141" s="135"/>
      <c r="J141" s="135"/>
      <c r="K141" s="135"/>
      <c r="L141" s="135"/>
      <c r="M141" s="135"/>
      <c r="N141" s="135"/>
      <c r="O141" s="135"/>
      <c r="P141" s="135"/>
      <c r="Q141" s="135"/>
      <c r="R141" s="135"/>
      <c r="S141" s="135"/>
    </row>
    <row r="142" customFormat="false" ht="15.75" hidden="false" customHeight="true" outlineLevel="0" collapsed="false">
      <c r="A142" s="135"/>
      <c r="B142" s="182"/>
      <c r="C142" s="135"/>
      <c r="D142" s="135"/>
      <c r="E142" s="182"/>
      <c r="F142" s="135"/>
      <c r="G142" s="135"/>
      <c r="H142" s="135"/>
      <c r="I142" s="135"/>
      <c r="J142" s="135"/>
      <c r="K142" s="135"/>
      <c r="L142" s="135"/>
      <c r="M142" s="135"/>
      <c r="N142" s="135"/>
      <c r="O142" s="135"/>
      <c r="P142" s="135"/>
      <c r="Q142" s="135"/>
      <c r="R142" s="135"/>
      <c r="S142" s="135"/>
    </row>
    <row r="143" customFormat="false" ht="15.75" hidden="false" customHeight="true" outlineLevel="0" collapsed="false">
      <c r="A143" s="135"/>
      <c r="B143" s="182"/>
      <c r="C143" s="135"/>
      <c r="D143" s="135"/>
      <c r="E143" s="182"/>
      <c r="F143" s="135"/>
      <c r="G143" s="135"/>
      <c r="H143" s="135"/>
      <c r="I143" s="135"/>
      <c r="J143" s="135"/>
      <c r="K143" s="135"/>
      <c r="L143" s="135"/>
      <c r="M143" s="135"/>
      <c r="N143" s="135"/>
      <c r="O143" s="135"/>
      <c r="P143" s="135"/>
      <c r="Q143" s="135"/>
      <c r="R143" s="135"/>
      <c r="S143" s="135"/>
    </row>
    <row r="144" customFormat="false" ht="15.75" hidden="false" customHeight="true" outlineLevel="0" collapsed="false">
      <c r="A144" s="135"/>
      <c r="B144" s="182"/>
      <c r="C144" s="135"/>
      <c r="D144" s="135"/>
      <c r="E144" s="182"/>
      <c r="F144" s="135"/>
      <c r="G144" s="135"/>
      <c r="H144" s="135"/>
      <c r="I144" s="135"/>
      <c r="J144" s="135"/>
      <c r="K144" s="135"/>
      <c r="L144" s="135"/>
      <c r="M144" s="135"/>
      <c r="N144" s="135"/>
      <c r="O144" s="135"/>
      <c r="P144" s="135"/>
      <c r="Q144" s="135"/>
      <c r="R144" s="135"/>
      <c r="S144" s="135"/>
    </row>
    <row r="145" customFormat="false" ht="15.75" hidden="false" customHeight="true" outlineLevel="0" collapsed="false">
      <c r="A145" s="135"/>
      <c r="B145" s="182"/>
      <c r="C145" s="135"/>
      <c r="D145" s="135"/>
      <c r="E145" s="182"/>
      <c r="F145" s="135"/>
      <c r="G145" s="135"/>
      <c r="H145" s="135"/>
      <c r="I145" s="135"/>
      <c r="J145" s="135"/>
      <c r="K145" s="135"/>
      <c r="L145" s="135"/>
      <c r="M145" s="135"/>
      <c r="N145" s="135"/>
      <c r="O145" s="135"/>
      <c r="P145" s="135"/>
      <c r="Q145" s="135"/>
      <c r="R145" s="135"/>
      <c r="S145" s="135"/>
    </row>
    <row r="146" customFormat="false" ht="15.75" hidden="false" customHeight="true" outlineLevel="0" collapsed="false">
      <c r="A146" s="135"/>
      <c r="B146" s="182"/>
      <c r="C146" s="135"/>
      <c r="D146" s="135"/>
      <c r="E146" s="182"/>
      <c r="F146" s="135"/>
      <c r="G146" s="135"/>
      <c r="H146" s="135"/>
      <c r="I146" s="135"/>
      <c r="J146" s="135"/>
      <c r="K146" s="135"/>
      <c r="L146" s="135"/>
      <c r="M146" s="135"/>
      <c r="N146" s="135"/>
      <c r="O146" s="135"/>
      <c r="P146" s="135"/>
      <c r="Q146" s="135"/>
      <c r="R146" s="135"/>
      <c r="S146" s="135"/>
    </row>
    <row r="147" customFormat="false" ht="15.75" hidden="false" customHeight="true" outlineLevel="0" collapsed="false">
      <c r="A147" s="135"/>
      <c r="B147" s="182"/>
      <c r="C147" s="135"/>
      <c r="D147" s="135"/>
      <c r="E147" s="182"/>
      <c r="F147" s="135"/>
      <c r="G147" s="135"/>
      <c r="H147" s="135"/>
      <c r="I147" s="135"/>
      <c r="J147" s="135"/>
      <c r="K147" s="135"/>
      <c r="L147" s="135"/>
      <c r="M147" s="135"/>
      <c r="N147" s="135"/>
      <c r="O147" s="135"/>
      <c r="P147" s="135"/>
      <c r="Q147" s="135"/>
      <c r="R147" s="135"/>
      <c r="S147" s="135"/>
    </row>
    <row r="148" customFormat="false" ht="15.75" hidden="false" customHeight="true" outlineLevel="0" collapsed="false">
      <c r="A148" s="135"/>
      <c r="B148" s="182"/>
      <c r="C148" s="135"/>
      <c r="D148" s="135"/>
      <c r="E148" s="182"/>
      <c r="F148" s="135"/>
      <c r="G148" s="135"/>
      <c r="H148" s="135"/>
      <c r="I148" s="135"/>
      <c r="J148" s="135"/>
      <c r="K148" s="135"/>
      <c r="L148" s="135"/>
      <c r="M148" s="135"/>
      <c r="N148" s="135"/>
      <c r="O148" s="135"/>
      <c r="P148" s="135"/>
      <c r="Q148" s="135"/>
      <c r="R148" s="135"/>
      <c r="S148" s="135"/>
    </row>
    <row r="149" customFormat="false" ht="15.75" hidden="false" customHeight="true" outlineLevel="0" collapsed="false">
      <c r="A149" s="135"/>
      <c r="B149" s="182"/>
      <c r="C149" s="135"/>
      <c r="D149" s="135"/>
      <c r="E149" s="182"/>
      <c r="F149" s="135"/>
      <c r="G149" s="135"/>
      <c r="H149" s="135"/>
      <c r="I149" s="135"/>
      <c r="J149" s="135"/>
      <c r="K149" s="135"/>
      <c r="L149" s="135"/>
      <c r="M149" s="135"/>
      <c r="N149" s="135"/>
      <c r="O149" s="135"/>
      <c r="P149" s="135"/>
      <c r="Q149" s="135"/>
      <c r="R149" s="135"/>
      <c r="S149" s="135"/>
    </row>
    <row r="150" customFormat="false" ht="15.75" hidden="false" customHeight="true" outlineLevel="0" collapsed="false">
      <c r="A150" s="135"/>
      <c r="B150" s="182"/>
      <c r="C150" s="135"/>
      <c r="D150" s="135"/>
      <c r="E150" s="182"/>
      <c r="F150" s="135"/>
      <c r="G150" s="135"/>
      <c r="H150" s="135"/>
      <c r="I150" s="135"/>
      <c r="J150" s="135"/>
      <c r="K150" s="135"/>
      <c r="L150" s="135"/>
      <c r="M150" s="135"/>
      <c r="N150" s="135"/>
      <c r="O150" s="135"/>
      <c r="P150" s="135"/>
      <c r="Q150" s="135"/>
      <c r="R150" s="135"/>
      <c r="S150" s="135"/>
    </row>
    <row r="151" customFormat="false" ht="15.75" hidden="false" customHeight="true" outlineLevel="0" collapsed="false">
      <c r="A151" s="135"/>
      <c r="B151" s="182"/>
      <c r="C151" s="135"/>
      <c r="D151" s="135"/>
      <c r="E151" s="182"/>
      <c r="F151" s="135"/>
      <c r="G151" s="135"/>
      <c r="H151" s="135"/>
      <c r="I151" s="135"/>
      <c r="J151" s="135"/>
      <c r="K151" s="135"/>
      <c r="L151" s="135"/>
      <c r="M151" s="135"/>
      <c r="N151" s="135"/>
      <c r="O151" s="135"/>
      <c r="P151" s="135"/>
      <c r="Q151" s="135"/>
      <c r="R151" s="135"/>
      <c r="S151" s="135"/>
    </row>
    <row r="152" customFormat="false" ht="15.75" hidden="false" customHeight="true" outlineLevel="0" collapsed="false">
      <c r="A152" s="135"/>
      <c r="B152" s="182"/>
      <c r="C152" s="135"/>
      <c r="D152" s="135"/>
      <c r="E152" s="182"/>
      <c r="F152" s="135"/>
      <c r="G152" s="135"/>
      <c r="H152" s="135"/>
      <c r="I152" s="135"/>
      <c r="J152" s="135"/>
      <c r="K152" s="135"/>
      <c r="L152" s="135"/>
      <c r="M152" s="135"/>
      <c r="N152" s="135"/>
      <c r="O152" s="135"/>
      <c r="P152" s="135"/>
      <c r="Q152" s="135"/>
      <c r="R152" s="135"/>
      <c r="S152" s="135"/>
    </row>
    <row r="153" customFormat="false" ht="15.75" hidden="false" customHeight="true" outlineLevel="0" collapsed="false">
      <c r="A153" s="135"/>
      <c r="B153" s="182"/>
      <c r="C153" s="135"/>
      <c r="D153" s="135"/>
      <c r="E153" s="182"/>
      <c r="F153" s="135"/>
      <c r="G153" s="135"/>
      <c r="H153" s="135"/>
      <c r="I153" s="135"/>
      <c r="J153" s="135"/>
      <c r="K153" s="135"/>
      <c r="L153" s="135"/>
      <c r="M153" s="135"/>
      <c r="N153" s="135"/>
      <c r="O153" s="135"/>
      <c r="P153" s="135"/>
      <c r="Q153" s="135"/>
      <c r="R153" s="135"/>
      <c r="S153" s="135"/>
    </row>
    <row r="154" customFormat="false" ht="15.75" hidden="false" customHeight="true" outlineLevel="0" collapsed="false">
      <c r="A154" s="135"/>
      <c r="B154" s="182"/>
      <c r="C154" s="135"/>
      <c r="D154" s="135"/>
      <c r="E154" s="182"/>
      <c r="F154" s="135"/>
      <c r="G154" s="135"/>
      <c r="H154" s="135"/>
      <c r="I154" s="135"/>
      <c r="J154" s="135"/>
      <c r="K154" s="135"/>
      <c r="L154" s="135"/>
      <c r="M154" s="135"/>
      <c r="N154" s="135"/>
      <c r="O154" s="135"/>
      <c r="P154" s="135"/>
      <c r="Q154" s="135"/>
      <c r="R154" s="135"/>
      <c r="S154" s="135"/>
    </row>
    <row r="155" customFormat="false" ht="15.75" hidden="false" customHeight="true" outlineLevel="0" collapsed="false">
      <c r="A155" s="135"/>
      <c r="B155" s="182"/>
      <c r="C155" s="135"/>
      <c r="D155" s="135"/>
      <c r="E155" s="182"/>
      <c r="F155" s="135"/>
      <c r="G155" s="135"/>
      <c r="H155" s="135"/>
      <c r="I155" s="135"/>
      <c r="J155" s="135"/>
      <c r="K155" s="135"/>
      <c r="L155" s="135"/>
      <c r="M155" s="135"/>
      <c r="N155" s="135"/>
      <c r="O155" s="135"/>
      <c r="P155" s="135"/>
      <c r="Q155" s="135"/>
      <c r="R155" s="135"/>
      <c r="S155" s="135"/>
    </row>
    <row r="156" customFormat="false" ht="15.75" hidden="false" customHeight="true" outlineLevel="0" collapsed="false">
      <c r="A156" s="135"/>
      <c r="B156" s="182"/>
      <c r="C156" s="135"/>
      <c r="D156" s="135"/>
      <c r="E156" s="182"/>
      <c r="F156" s="135"/>
      <c r="G156" s="135"/>
      <c r="H156" s="135"/>
      <c r="I156" s="135"/>
      <c r="J156" s="135"/>
      <c r="K156" s="135"/>
      <c r="L156" s="135"/>
      <c r="M156" s="135"/>
      <c r="N156" s="135"/>
      <c r="O156" s="135"/>
      <c r="P156" s="135"/>
      <c r="Q156" s="135"/>
      <c r="R156" s="135"/>
      <c r="S156" s="135"/>
    </row>
    <row r="157" customFormat="false" ht="15.75" hidden="false" customHeight="true" outlineLevel="0" collapsed="false">
      <c r="A157" s="135"/>
      <c r="B157" s="182"/>
      <c r="C157" s="135"/>
      <c r="D157" s="135"/>
      <c r="E157" s="182"/>
      <c r="F157" s="135"/>
      <c r="G157" s="135"/>
      <c r="H157" s="135"/>
      <c r="I157" s="135"/>
      <c r="J157" s="135"/>
      <c r="K157" s="135"/>
      <c r="L157" s="135"/>
      <c r="M157" s="135"/>
      <c r="N157" s="135"/>
      <c r="O157" s="135"/>
      <c r="P157" s="135"/>
      <c r="Q157" s="135"/>
      <c r="R157" s="135"/>
      <c r="S157" s="135"/>
    </row>
    <row r="158" customFormat="false" ht="15.75" hidden="false" customHeight="true" outlineLevel="0" collapsed="false">
      <c r="A158" s="135"/>
      <c r="B158" s="182"/>
      <c r="C158" s="135"/>
      <c r="D158" s="135"/>
      <c r="E158" s="182"/>
      <c r="F158" s="135"/>
      <c r="G158" s="135"/>
      <c r="H158" s="135"/>
      <c r="I158" s="135"/>
      <c r="J158" s="135"/>
      <c r="K158" s="135"/>
      <c r="L158" s="135"/>
      <c r="M158" s="135"/>
      <c r="N158" s="135"/>
      <c r="O158" s="135"/>
      <c r="P158" s="135"/>
      <c r="Q158" s="135"/>
      <c r="R158" s="135"/>
      <c r="S158" s="135"/>
    </row>
    <row r="159" customFormat="false" ht="15.75" hidden="false" customHeight="true" outlineLevel="0" collapsed="false">
      <c r="A159" s="135"/>
      <c r="B159" s="182"/>
      <c r="C159" s="135"/>
      <c r="D159" s="135"/>
      <c r="E159" s="182"/>
      <c r="F159" s="135"/>
      <c r="G159" s="135"/>
      <c r="H159" s="135"/>
      <c r="I159" s="135"/>
      <c r="J159" s="135"/>
      <c r="K159" s="135"/>
      <c r="L159" s="135"/>
      <c r="M159" s="135"/>
      <c r="N159" s="135"/>
      <c r="O159" s="135"/>
      <c r="P159" s="135"/>
      <c r="Q159" s="135"/>
      <c r="R159" s="135"/>
      <c r="S159" s="135"/>
    </row>
    <row r="160" customFormat="false" ht="15.75" hidden="false" customHeight="true" outlineLevel="0" collapsed="false">
      <c r="A160" s="135"/>
      <c r="B160" s="182"/>
      <c r="C160" s="135"/>
      <c r="D160" s="135"/>
      <c r="E160" s="182"/>
      <c r="F160" s="135"/>
      <c r="G160" s="135"/>
      <c r="H160" s="135"/>
      <c r="I160" s="135"/>
      <c r="J160" s="135"/>
      <c r="K160" s="135"/>
      <c r="L160" s="135"/>
      <c r="M160" s="135"/>
      <c r="N160" s="135"/>
      <c r="O160" s="135"/>
      <c r="P160" s="135"/>
      <c r="Q160" s="135"/>
      <c r="R160" s="135"/>
      <c r="S160" s="135"/>
    </row>
    <row r="161" customFormat="false" ht="15.75" hidden="false" customHeight="true" outlineLevel="0" collapsed="false">
      <c r="A161" s="135"/>
      <c r="B161" s="182"/>
      <c r="C161" s="135"/>
      <c r="D161" s="135"/>
      <c r="E161" s="182"/>
      <c r="F161" s="135"/>
      <c r="G161" s="135"/>
      <c r="H161" s="135"/>
      <c r="I161" s="135"/>
      <c r="J161" s="135"/>
      <c r="K161" s="135"/>
      <c r="L161" s="135"/>
      <c r="M161" s="135"/>
      <c r="N161" s="135"/>
      <c r="O161" s="135"/>
      <c r="P161" s="135"/>
      <c r="Q161" s="135"/>
      <c r="R161" s="135"/>
      <c r="S161" s="135"/>
    </row>
    <row r="162" customFormat="false" ht="15.75" hidden="false" customHeight="true" outlineLevel="0" collapsed="false">
      <c r="A162" s="135"/>
      <c r="B162" s="182"/>
      <c r="C162" s="135"/>
      <c r="D162" s="135"/>
      <c r="E162" s="182"/>
      <c r="F162" s="135"/>
      <c r="G162" s="135"/>
      <c r="H162" s="135"/>
      <c r="I162" s="135"/>
      <c r="J162" s="135"/>
      <c r="K162" s="135"/>
      <c r="L162" s="135"/>
      <c r="M162" s="135"/>
      <c r="N162" s="135"/>
      <c r="O162" s="135"/>
      <c r="P162" s="135"/>
      <c r="Q162" s="135"/>
      <c r="R162" s="135"/>
      <c r="S162" s="135"/>
    </row>
    <row r="163" customFormat="false" ht="15.75" hidden="false" customHeight="true" outlineLevel="0" collapsed="false">
      <c r="A163" s="135"/>
      <c r="B163" s="182"/>
      <c r="C163" s="135"/>
      <c r="D163" s="135"/>
      <c r="E163" s="182"/>
      <c r="F163" s="135"/>
      <c r="G163" s="135"/>
      <c r="H163" s="135"/>
      <c r="I163" s="135"/>
      <c r="J163" s="135"/>
      <c r="K163" s="135"/>
      <c r="L163" s="135"/>
      <c r="M163" s="135"/>
      <c r="N163" s="135"/>
      <c r="O163" s="135"/>
      <c r="P163" s="135"/>
      <c r="Q163" s="135"/>
      <c r="R163" s="135"/>
      <c r="S163" s="135"/>
    </row>
    <row r="164" customFormat="false" ht="15.75" hidden="false" customHeight="true" outlineLevel="0" collapsed="false">
      <c r="A164" s="135"/>
      <c r="B164" s="182"/>
      <c r="C164" s="135"/>
      <c r="D164" s="135"/>
      <c r="E164" s="182"/>
      <c r="F164" s="135"/>
      <c r="G164" s="135"/>
      <c r="H164" s="135"/>
      <c r="I164" s="135"/>
      <c r="J164" s="135"/>
      <c r="K164" s="135"/>
      <c r="L164" s="135"/>
      <c r="M164" s="135"/>
      <c r="N164" s="135"/>
      <c r="O164" s="135"/>
      <c r="P164" s="135"/>
      <c r="Q164" s="135"/>
      <c r="R164" s="135"/>
      <c r="S164" s="135"/>
    </row>
    <row r="165" customFormat="false" ht="15.75" hidden="false" customHeight="true" outlineLevel="0" collapsed="false">
      <c r="A165" s="135"/>
      <c r="B165" s="182"/>
      <c r="C165" s="135"/>
      <c r="D165" s="135"/>
      <c r="E165" s="182"/>
      <c r="F165" s="135"/>
      <c r="G165" s="135"/>
      <c r="H165" s="135"/>
      <c r="I165" s="135"/>
      <c r="J165" s="135"/>
      <c r="K165" s="135"/>
      <c r="L165" s="135"/>
      <c r="M165" s="135"/>
      <c r="N165" s="135"/>
      <c r="O165" s="135"/>
      <c r="P165" s="135"/>
      <c r="Q165" s="135"/>
      <c r="R165" s="135"/>
      <c r="S165" s="135"/>
    </row>
    <row r="166" customFormat="false" ht="15.75" hidden="false" customHeight="true" outlineLevel="0" collapsed="false">
      <c r="A166" s="135"/>
      <c r="B166" s="182"/>
      <c r="C166" s="135"/>
      <c r="D166" s="135"/>
      <c r="E166" s="182"/>
      <c r="F166" s="135"/>
      <c r="G166" s="135"/>
      <c r="H166" s="135"/>
      <c r="I166" s="135"/>
      <c r="J166" s="135"/>
      <c r="K166" s="135"/>
      <c r="L166" s="135"/>
      <c r="M166" s="135"/>
      <c r="N166" s="135"/>
      <c r="O166" s="135"/>
      <c r="P166" s="135"/>
      <c r="Q166" s="135"/>
      <c r="R166" s="135"/>
      <c r="S166" s="135"/>
    </row>
    <row r="167" customFormat="false" ht="15.75" hidden="false" customHeight="true" outlineLevel="0" collapsed="false">
      <c r="A167" s="135"/>
      <c r="B167" s="182"/>
      <c r="C167" s="135"/>
      <c r="D167" s="135"/>
      <c r="E167" s="182"/>
      <c r="F167" s="135"/>
      <c r="G167" s="135"/>
      <c r="H167" s="135"/>
      <c r="I167" s="135"/>
      <c r="J167" s="135"/>
      <c r="K167" s="135"/>
      <c r="L167" s="135"/>
      <c r="M167" s="135"/>
      <c r="N167" s="135"/>
      <c r="O167" s="135"/>
      <c r="P167" s="135"/>
      <c r="Q167" s="135"/>
      <c r="R167" s="135"/>
      <c r="S167" s="135"/>
    </row>
    <row r="168" customFormat="false" ht="15.75" hidden="false" customHeight="true" outlineLevel="0" collapsed="false">
      <c r="A168" s="135"/>
      <c r="B168" s="182"/>
      <c r="C168" s="135"/>
      <c r="D168" s="135"/>
      <c r="E168" s="182"/>
      <c r="F168" s="135"/>
      <c r="G168" s="135"/>
      <c r="H168" s="135"/>
      <c r="I168" s="135"/>
      <c r="J168" s="135"/>
      <c r="K168" s="135"/>
      <c r="L168" s="135"/>
      <c r="M168" s="135"/>
      <c r="N168" s="135"/>
      <c r="O168" s="135"/>
      <c r="P168" s="135"/>
      <c r="Q168" s="135"/>
      <c r="R168" s="135"/>
      <c r="S168" s="135"/>
    </row>
    <row r="169" customFormat="false" ht="15.75" hidden="false" customHeight="true" outlineLevel="0" collapsed="false">
      <c r="A169" s="135"/>
      <c r="B169" s="182"/>
      <c r="C169" s="135"/>
      <c r="D169" s="135"/>
      <c r="E169" s="182"/>
      <c r="F169" s="135"/>
      <c r="G169" s="135"/>
      <c r="H169" s="135"/>
      <c r="I169" s="135"/>
      <c r="J169" s="135"/>
      <c r="K169" s="135"/>
      <c r="L169" s="135"/>
      <c r="M169" s="135"/>
      <c r="N169" s="135"/>
      <c r="O169" s="135"/>
      <c r="P169" s="135"/>
      <c r="Q169" s="135"/>
      <c r="R169" s="135"/>
      <c r="S169" s="135"/>
    </row>
    <row r="170" customFormat="false" ht="15.75" hidden="false" customHeight="true" outlineLevel="0" collapsed="false">
      <c r="A170" s="135"/>
      <c r="B170" s="182"/>
      <c r="C170" s="135"/>
      <c r="D170" s="135"/>
      <c r="E170" s="182"/>
      <c r="F170" s="135"/>
      <c r="G170" s="135"/>
      <c r="H170" s="135"/>
      <c r="I170" s="135"/>
      <c r="J170" s="135"/>
      <c r="K170" s="135"/>
      <c r="L170" s="135"/>
      <c r="M170" s="135"/>
      <c r="N170" s="135"/>
      <c r="O170" s="135"/>
      <c r="P170" s="135"/>
      <c r="Q170" s="135"/>
      <c r="R170" s="135"/>
      <c r="S170" s="135"/>
    </row>
    <row r="171" customFormat="false" ht="15.75" hidden="false" customHeight="true" outlineLevel="0" collapsed="false">
      <c r="A171" s="135"/>
      <c r="B171" s="182"/>
      <c r="C171" s="135"/>
      <c r="D171" s="135"/>
      <c r="E171" s="182"/>
      <c r="F171" s="135"/>
      <c r="G171" s="135"/>
      <c r="H171" s="135"/>
      <c r="I171" s="135"/>
      <c r="J171" s="135"/>
      <c r="K171" s="135"/>
      <c r="L171" s="135"/>
      <c r="M171" s="135"/>
      <c r="N171" s="135"/>
      <c r="O171" s="135"/>
      <c r="P171" s="135"/>
      <c r="Q171" s="135"/>
      <c r="R171" s="135"/>
      <c r="S171" s="135"/>
    </row>
    <row r="172" customFormat="false" ht="15.75" hidden="false" customHeight="true" outlineLevel="0" collapsed="false">
      <c r="A172" s="135"/>
      <c r="B172" s="182"/>
      <c r="C172" s="135"/>
      <c r="D172" s="135"/>
      <c r="E172" s="182"/>
      <c r="F172" s="135"/>
      <c r="G172" s="135"/>
      <c r="H172" s="135"/>
      <c r="I172" s="135"/>
      <c r="J172" s="135"/>
      <c r="K172" s="135"/>
      <c r="L172" s="135"/>
      <c r="M172" s="135"/>
      <c r="N172" s="135"/>
      <c r="O172" s="135"/>
      <c r="P172" s="135"/>
      <c r="Q172" s="135"/>
      <c r="R172" s="135"/>
      <c r="S172" s="135"/>
    </row>
    <row r="173" customFormat="false" ht="15.75" hidden="false" customHeight="true" outlineLevel="0" collapsed="false">
      <c r="A173" s="135"/>
      <c r="B173" s="182"/>
      <c r="C173" s="135"/>
      <c r="D173" s="135"/>
      <c r="E173" s="182"/>
      <c r="F173" s="135"/>
      <c r="G173" s="135"/>
      <c r="H173" s="135"/>
      <c r="I173" s="135"/>
      <c r="J173" s="135"/>
      <c r="K173" s="135"/>
      <c r="L173" s="135"/>
      <c r="M173" s="135"/>
      <c r="N173" s="135"/>
      <c r="O173" s="135"/>
      <c r="P173" s="135"/>
      <c r="Q173" s="135"/>
      <c r="R173" s="135"/>
      <c r="S173" s="135"/>
    </row>
    <row r="174" customFormat="false" ht="15.75" hidden="false" customHeight="true" outlineLevel="0" collapsed="false">
      <c r="A174" s="135"/>
      <c r="B174" s="182"/>
      <c r="C174" s="135"/>
      <c r="D174" s="135"/>
      <c r="E174" s="182"/>
      <c r="F174" s="135"/>
      <c r="G174" s="135"/>
      <c r="H174" s="135"/>
      <c r="I174" s="135"/>
      <c r="J174" s="135"/>
      <c r="K174" s="135"/>
      <c r="L174" s="135"/>
      <c r="M174" s="135"/>
      <c r="N174" s="135"/>
      <c r="O174" s="135"/>
      <c r="P174" s="135"/>
      <c r="Q174" s="135"/>
      <c r="R174" s="135"/>
      <c r="S174" s="135"/>
    </row>
    <row r="175" customFormat="false" ht="15.75" hidden="false" customHeight="true" outlineLevel="0" collapsed="false">
      <c r="A175" s="135"/>
      <c r="B175" s="182"/>
      <c r="C175" s="135"/>
      <c r="D175" s="135"/>
      <c r="E175" s="182"/>
      <c r="F175" s="135"/>
      <c r="G175" s="135"/>
      <c r="H175" s="135"/>
      <c r="I175" s="135"/>
      <c r="J175" s="135"/>
      <c r="K175" s="135"/>
      <c r="L175" s="135"/>
      <c r="M175" s="135"/>
      <c r="N175" s="135"/>
      <c r="O175" s="135"/>
      <c r="P175" s="135"/>
      <c r="Q175" s="135"/>
      <c r="R175" s="135"/>
      <c r="S175" s="135"/>
    </row>
    <row r="176" customFormat="false" ht="15.75" hidden="false" customHeight="true" outlineLevel="0" collapsed="false">
      <c r="A176" s="135"/>
      <c r="B176" s="182"/>
      <c r="C176" s="135"/>
      <c r="D176" s="135"/>
      <c r="E176" s="182"/>
      <c r="F176" s="135"/>
      <c r="G176" s="135"/>
      <c r="H176" s="135"/>
      <c r="I176" s="135"/>
      <c r="J176" s="135"/>
      <c r="K176" s="135"/>
      <c r="L176" s="135"/>
      <c r="M176" s="135"/>
      <c r="N176" s="135"/>
      <c r="O176" s="135"/>
      <c r="P176" s="135"/>
      <c r="Q176" s="135"/>
      <c r="R176" s="135"/>
      <c r="S176" s="135"/>
    </row>
    <row r="177" customFormat="false" ht="15.75" hidden="false" customHeight="true" outlineLevel="0" collapsed="false">
      <c r="A177" s="135"/>
      <c r="B177" s="182"/>
      <c r="C177" s="135"/>
      <c r="D177" s="135"/>
      <c r="E177" s="182"/>
      <c r="F177" s="135"/>
      <c r="G177" s="135"/>
      <c r="H177" s="135"/>
      <c r="I177" s="135"/>
      <c r="J177" s="135"/>
      <c r="K177" s="135"/>
      <c r="L177" s="135"/>
      <c r="M177" s="135"/>
      <c r="N177" s="135"/>
      <c r="O177" s="135"/>
      <c r="P177" s="135"/>
      <c r="Q177" s="135"/>
      <c r="R177" s="135"/>
      <c r="S177" s="135"/>
    </row>
    <row r="178" customFormat="false" ht="15.75" hidden="false" customHeight="true" outlineLevel="0" collapsed="false">
      <c r="A178" s="135"/>
      <c r="B178" s="182"/>
      <c r="C178" s="135"/>
      <c r="D178" s="135"/>
      <c r="E178" s="182"/>
      <c r="F178" s="135"/>
      <c r="G178" s="135"/>
      <c r="H178" s="135"/>
      <c r="I178" s="135"/>
      <c r="J178" s="135"/>
      <c r="K178" s="135"/>
      <c r="L178" s="135"/>
      <c r="M178" s="135"/>
      <c r="N178" s="135"/>
      <c r="O178" s="135"/>
      <c r="P178" s="135"/>
      <c r="Q178" s="135"/>
      <c r="R178" s="135"/>
      <c r="S178" s="135"/>
    </row>
    <row r="179" customFormat="false" ht="15.75" hidden="false" customHeight="true" outlineLevel="0" collapsed="false">
      <c r="A179" s="135"/>
      <c r="B179" s="182"/>
      <c r="C179" s="135"/>
      <c r="D179" s="135"/>
      <c r="E179" s="182"/>
      <c r="F179" s="135"/>
      <c r="G179" s="135"/>
      <c r="H179" s="135"/>
      <c r="I179" s="135"/>
      <c r="J179" s="135"/>
      <c r="K179" s="135"/>
      <c r="L179" s="135"/>
      <c r="M179" s="135"/>
      <c r="N179" s="135"/>
      <c r="O179" s="135"/>
      <c r="P179" s="135"/>
      <c r="Q179" s="135"/>
      <c r="R179" s="135"/>
      <c r="S179" s="135"/>
    </row>
    <row r="180" customFormat="false" ht="15.75" hidden="false" customHeight="true" outlineLevel="0" collapsed="false">
      <c r="A180" s="135"/>
      <c r="B180" s="182"/>
      <c r="C180" s="135"/>
      <c r="D180" s="135"/>
      <c r="E180" s="182"/>
      <c r="F180" s="135"/>
      <c r="G180" s="135"/>
      <c r="H180" s="135"/>
      <c r="I180" s="135"/>
      <c r="J180" s="135"/>
      <c r="K180" s="135"/>
      <c r="L180" s="135"/>
      <c r="M180" s="135"/>
      <c r="N180" s="135"/>
      <c r="O180" s="135"/>
      <c r="P180" s="135"/>
      <c r="Q180" s="135"/>
      <c r="R180" s="135"/>
      <c r="S180" s="135"/>
    </row>
    <row r="181" customFormat="false" ht="15.75" hidden="false" customHeight="true" outlineLevel="0" collapsed="false">
      <c r="A181" s="135"/>
      <c r="B181" s="182"/>
      <c r="C181" s="135"/>
      <c r="D181" s="135"/>
      <c r="E181" s="182"/>
      <c r="F181" s="135"/>
      <c r="G181" s="135"/>
      <c r="H181" s="135"/>
      <c r="I181" s="135"/>
      <c r="J181" s="135"/>
      <c r="K181" s="135"/>
      <c r="L181" s="135"/>
      <c r="M181" s="135"/>
      <c r="N181" s="135"/>
      <c r="O181" s="135"/>
      <c r="P181" s="135"/>
      <c r="Q181" s="135"/>
      <c r="R181" s="135"/>
      <c r="S181" s="135"/>
    </row>
    <row r="182" customFormat="false" ht="15.75" hidden="false" customHeight="true" outlineLevel="0" collapsed="false">
      <c r="A182" s="135"/>
      <c r="B182" s="182"/>
      <c r="C182" s="135"/>
      <c r="D182" s="135"/>
      <c r="E182" s="182"/>
      <c r="F182" s="135"/>
      <c r="G182" s="135"/>
      <c r="H182" s="135"/>
      <c r="I182" s="135"/>
      <c r="J182" s="135"/>
      <c r="K182" s="135"/>
      <c r="L182" s="135"/>
      <c r="M182" s="135"/>
      <c r="N182" s="135"/>
      <c r="O182" s="135"/>
      <c r="P182" s="135"/>
      <c r="Q182" s="135"/>
      <c r="R182" s="135"/>
      <c r="S182" s="135"/>
    </row>
    <row r="183" customFormat="false" ht="15.75" hidden="false" customHeight="true" outlineLevel="0" collapsed="false">
      <c r="A183" s="135"/>
      <c r="B183" s="182"/>
      <c r="C183" s="135"/>
      <c r="D183" s="135"/>
      <c r="E183" s="182"/>
      <c r="F183" s="135"/>
      <c r="G183" s="135"/>
      <c r="H183" s="135"/>
      <c r="I183" s="135"/>
      <c r="J183" s="135"/>
      <c r="K183" s="135"/>
      <c r="L183" s="135"/>
      <c r="M183" s="135"/>
      <c r="N183" s="135"/>
      <c r="O183" s="135"/>
      <c r="P183" s="135"/>
      <c r="Q183" s="135"/>
      <c r="R183" s="135"/>
      <c r="S183" s="135"/>
    </row>
    <row r="184" customFormat="false" ht="15.75" hidden="false" customHeight="true" outlineLevel="0" collapsed="false">
      <c r="A184" s="135"/>
      <c r="B184" s="182"/>
      <c r="C184" s="135"/>
      <c r="D184" s="135"/>
      <c r="E184" s="182"/>
      <c r="F184" s="135"/>
      <c r="G184" s="135"/>
      <c r="H184" s="135"/>
      <c r="I184" s="135"/>
      <c r="J184" s="135"/>
      <c r="K184" s="135"/>
      <c r="L184" s="135"/>
      <c r="M184" s="135"/>
      <c r="N184" s="135"/>
      <c r="O184" s="135"/>
      <c r="P184" s="135"/>
      <c r="Q184" s="135"/>
      <c r="R184" s="135"/>
      <c r="S184" s="135"/>
    </row>
    <row r="185" customFormat="false" ht="15.75" hidden="false" customHeight="true" outlineLevel="0" collapsed="false">
      <c r="A185" s="135"/>
      <c r="B185" s="182"/>
      <c r="C185" s="135"/>
      <c r="D185" s="135"/>
      <c r="E185" s="182"/>
      <c r="F185" s="135"/>
      <c r="G185" s="135"/>
      <c r="H185" s="135"/>
      <c r="I185" s="135"/>
      <c r="J185" s="135"/>
      <c r="K185" s="135"/>
      <c r="L185" s="135"/>
      <c r="M185" s="135"/>
      <c r="N185" s="135"/>
      <c r="O185" s="135"/>
      <c r="P185" s="135"/>
      <c r="Q185" s="135"/>
      <c r="R185" s="135"/>
      <c r="S185" s="135"/>
    </row>
    <row r="186" customFormat="false" ht="15.75" hidden="false" customHeight="true" outlineLevel="0" collapsed="false">
      <c r="A186" s="135"/>
      <c r="B186" s="182"/>
      <c r="C186" s="135"/>
      <c r="D186" s="135"/>
      <c r="E186" s="182"/>
      <c r="F186" s="135"/>
      <c r="G186" s="135"/>
      <c r="H186" s="135"/>
      <c r="I186" s="135"/>
      <c r="J186" s="135"/>
      <c r="K186" s="135"/>
      <c r="L186" s="135"/>
      <c r="M186" s="135"/>
      <c r="N186" s="135"/>
      <c r="O186" s="135"/>
      <c r="P186" s="135"/>
      <c r="Q186" s="135"/>
      <c r="R186" s="135"/>
      <c r="S186" s="135"/>
    </row>
    <row r="187" customFormat="false" ht="15.75" hidden="false" customHeight="true" outlineLevel="0" collapsed="false">
      <c r="A187" s="135"/>
      <c r="B187" s="182"/>
      <c r="C187" s="135"/>
      <c r="D187" s="135"/>
      <c r="E187" s="182"/>
      <c r="F187" s="135"/>
      <c r="G187" s="135"/>
      <c r="H187" s="135"/>
      <c r="I187" s="135"/>
      <c r="J187" s="135"/>
      <c r="K187" s="135"/>
      <c r="L187" s="135"/>
      <c r="M187" s="135"/>
      <c r="N187" s="135"/>
      <c r="O187" s="135"/>
      <c r="P187" s="135"/>
      <c r="Q187" s="135"/>
      <c r="R187" s="135"/>
      <c r="S187" s="135"/>
    </row>
    <row r="188" customFormat="false" ht="15.75" hidden="false" customHeight="true" outlineLevel="0" collapsed="false">
      <c r="A188" s="135"/>
      <c r="B188" s="182"/>
      <c r="C188" s="135"/>
      <c r="D188" s="135"/>
      <c r="E188" s="182"/>
      <c r="F188" s="135"/>
      <c r="G188" s="135"/>
      <c r="H188" s="135"/>
      <c r="I188" s="135"/>
      <c r="J188" s="135"/>
      <c r="K188" s="135"/>
      <c r="L188" s="135"/>
      <c r="M188" s="135"/>
      <c r="N188" s="135"/>
      <c r="O188" s="135"/>
      <c r="P188" s="135"/>
      <c r="Q188" s="135"/>
      <c r="R188" s="135"/>
      <c r="S188" s="135"/>
    </row>
    <row r="189" customFormat="false" ht="15.75" hidden="false" customHeight="true" outlineLevel="0" collapsed="false">
      <c r="A189" s="135"/>
      <c r="B189" s="182"/>
      <c r="C189" s="135"/>
      <c r="D189" s="135"/>
      <c r="E189" s="182"/>
      <c r="F189" s="135"/>
      <c r="G189" s="135"/>
      <c r="H189" s="135"/>
      <c r="I189" s="135"/>
      <c r="J189" s="135"/>
      <c r="K189" s="135"/>
      <c r="L189" s="135"/>
      <c r="M189" s="135"/>
      <c r="N189" s="135"/>
      <c r="O189" s="135"/>
      <c r="P189" s="135"/>
      <c r="Q189" s="135"/>
      <c r="R189" s="135"/>
      <c r="S189" s="135"/>
    </row>
    <row r="190" customFormat="false" ht="15.75" hidden="false" customHeight="true" outlineLevel="0" collapsed="false">
      <c r="A190" s="135"/>
      <c r="B190" s="182"/>
      <c r="C190" s="135"/>
      <c r="D190" s="135"/>
      <c r="E190" s="182"/>
      <c r="F190" s="135"/>
      <c r="G190" s="135"/>
      <c r="H190" s="135"/>
      <c r="I190" s="135"/>
      <c r="J190" s="135"/>
      <c r="K190" s="135"/>
      <c r="L190" s="135"/>
      <c r="M190" s="135"/>
      <c r="N190" s="135"/>
      <c r="O190" s="135"/>
      <c r="P190" s="135"/>
      <c r="Q190" s="135"/>
      <c r="R190" s="135"/>
      <c r="S190" s="135"/>
    </row>
    <row r="191" customFormat="false" ht="15.75" hidden="false" customHeight="true" outlineLevel="0" collapsed="false">
      <c r="A191" s="135"/>
      <c r="B191" s="182"/>
      <c r="C191" s="135"/>
      <c r="D191" s="135"/>
      <c r="E191" s="182"/>
      <c r="F191" s="135"/>
      <c r="G191" s="135"/>
      <c r="H191" s="135"/>
      <c r="I191" s="135"/>
      <c r="J191" s="135"/>
      <c r="K191" s="135"/>
      <c r="L191" s="135"/>
      <c r="M191" s="135"/>
      <c r="N191" s="135"/>
      <c r="O191" s="135"/>
      <c r="P191" s="135"/>
      <c r="Q191" s="135"/>
      <c r="R191" s="135"/>
      <c r="S191" s="135"/>
    </row>
    <row r="192" customFormat="false" ht="15.75" hidden="false" customHeight="true" outlineLevel="0" collapsed="false">
      <c r="A192" s="135"/>
      <c r="B192" s="182"/>
      <c r="C192" s="135"/>
      <c r="D192" s="135"/>
      <c r="E192" s="182"/>
      <c r="F192" s="135"/>
      <c r="G192" s="135"/>
      <c r="H192" s="135"/>
      <c r="I192" s="135"/>
      <c r="J192" s="135"/>
      <c r="K192" s="135"/>
      <c r="L192" s="135"/>
      <c r="M192" s="135"/>
      <c r="N192" s="135"/>
      <c r="O192" s="135"/>
      <c r="P192" s="135"/>
      <c r="Q192" s="135"/>
      <c r="R192" s="135"/>
      <c r="S192" s="135"/>
    </row>
    <row r="193" customFormat="false" ht="15.75" hidden="false" customHeight="true" outlineLevel="0" collapsed="false">
      <c r="A193" s="135"/>
      <c r="B193" s="182"/>
      <c r="C193" s="135"/>
      <c r="D193" s="135"/>
      <c r="E193" s="182"/>
      <c r="F193" s="135"/>
      <c r="G193" s="135"/>
      <c r="H193" s="135"/>
      <c r="I193" s="135"/>
      <c r="J193" s="135"/>
      <c r="K193" s="135"/>
      <c r="L193" s="135"/>
      <c r="M193" s="135"/>
      <c r="N193" s="135"/>
      <c r="O193" s="135"/>
      <c r="P193" s="135"/>
      <c r="Q193" s="135"/>
      <c r="R193" s="135"/>
      <c r="S193" s="135"/>
    </row>
    <row r="194" customFormat="false" ht="15.75" hidden="false" customHeight="true" outlineLevel="0" collapsed="false">
      <c r="A194" s="135"/>
      <c r="B194" s="182"/>
      <c r="C194" s="135"/>
      <c r="D194" s="135"/>
      <c r="E194" s="182"/>
      <c r="F194" s="135"/>
      <c r="G194" s="135"/>
      <c r="H194" s="135"/>
      <c r="I194" s="135"/>
      <c r="J194" s="135"/>
      <c r="K194" s="135"/>
      <c r="L194" s="135"/>
      <c r="M194" s="135"/>
      <c r="N194" s="135"/>
      <c r="O194" s="135"/>
      <c r="P194" s="135"/>
      <c r="Q194" s="135"/>
      <c r="R194" s="135"/>
      <c r="S194" s="135"/>
    </row>
    <row r="195" customFormat="false" ht="15.75" hidden="false" customHeight="true" outlineLevel="0" collapsed="false">
      <c r="A195" s="135"/>
      <c r="B195" s="182"/>
      <c r="C195" s="135"/>
      <c r="D195" s="135"/>
      <c r="E195" s="182"/>
      <c r="F195" s="135"/>
      <c r="G195" s="135"/>
      <c r="H195" s="135"/>
      <c r="I195" s="135"/>
      <c r="J195" s="135"/>
      <c r="K195" s="135"/>
      <c r="L195" s="135"/>
      <c r="M195" s="135"/>
      <c r="N195" s="135"/>
      <c r="O195" s="135"/>
      <c r="P195" s="135"/>
      <c r="Q195" s="135"/>
      <c r="R195" s="135"/>
      <c r="S195" s="135"/>
    </row>
    <row r="196" customFormat="false" ht="15.75" hidden="false" customHeight="true" outlineLevel="0" collapsed="false">
      <c r="A196" s="135"/>
      <c r="B196" s="182"/>
      <c r="C196" s="135"/>
      <c r="D196" s="135"/>
      <c r="E196" s="182"/>
      <c r="F196" s="135"/>
      <c r="G196" s="135"/>
      <c r="H196" s="135"/>
      <c r="I196" s="135"/>
      <c r="J196" s="135"/>
      <c r="K196" s="135"/>
      <c r="L196" s="135"/>
      <c r="M196" s="135"/>
      <c r="N196" s="135"/>
      <c r="O196" s="135"/>
      <c r="P196" s="135"/>
      <c r="Q196" s="135"/>
      <c r="R196" s="135"/>
      <c r="S196" s="135"/>
    </row>
    <row r="197" customFormat="false" ht="15.75" hidden="false" customHeight="true" outlineLevel="0" collapsed="false">
      <c r="A197" s="135"/>
      <c r="B197" s="182"/>
      <c r="C197" s="135"/>
      <c r="D197" s="135"/>
      <c r="E197" s="182"/>
      <c r="F197" s="135"/>
      <c r="G197" s="135"/>
      <c r="H197" s="135"/>
      <c r="I197" s="135"/>
      <c r="J197" s="135"/>
      <c r="K197" s="135"/>
      <c r="L197" s="135"/>
      <c r="M197" s="135"/>
      <c r="N197" s="135"/>
      <c r="O197" s="135"/>
      <c r="P197" s="135"/>
      <c r="Q197" s="135"/>
      <c r="R197" s="135"/>
      <c r="S197" s="135"/>
    </row>
    <row r="198" customFormat="false" ht="15.75" hidden="false" customHeight="true" outlineLevel="0" collapsed="false">
      <c r="A198" s="135"/>
      <c r="B198" s="182"/>
      <c r="C198" s="135"/>
      <c r="D198" s="135"/>
      <c r="E198" s="182"/>
      <c r="F198" s="135"/>
      <c r="G198" s="135"/>
      <c r="H198" s="135"/>
      <c r="I198" s="135"/>
      <c r="J198" s="135"/>
      <c r="K198" s="135"/>
      <c r="L198" s="135"/>
      <c r="M198" s="135"/>
      <c r="N198" s="135"/>
      <c r="O198" s="135"/>
      <c r="P198" s="135"/>
      <c r="Q198" s="135"/>
      <c r="R198" s="135"/>
      <c r="S198" s="135"/>
    </row>
    <row r="199" customFormat="false" ht="15.75" hidden="false" customHeight="true" outlineLevel="0" collapsed="false">
      <c r="A199" s="135"/>
      <c r="B199" s="182"/>
      <c r="C199" s="135"/>
      <c r="D199" s="135"/>
      <c r="E199" s="182"/>
      <c r="F199" s="135"/>
      <c r="G199" s="135"/>
      <c r="H199" s="135"/>
      <c r="I199" s="135"/>
      <c r="J199" s="135"/>
      <c r="K199" s="135"/>
      <c r="L199" s="135"/>
      <c r="M199" s="135"/>
      <c r="N199" s="135"/>
      <c r="O199" s="135"/>
      <c r="P199" s="135"/>
      <c r="Q199" s="135"/>
      <c r="R199" s="135"/>
      <c r="S199" s="135"/>
    </row>
    <row r="200" customFormat="false" ht="15.75" hidden="false" customHeight="true" outlineLevel="0" collapsed="false">
      <c r="A200" s="135"/>
      <c r="B200" s="182"/>
      <c r="C200" s="135"/>
      <c r="D200" s="135"/>
      <c r="E200" s="182"/>
      <c r="F200" s="135"/>
      <c r="G200" s="135"/>
      <c r="H200" s="135"/>
      <c r="I200" s="135"/>
      <c r="J200" s="135"/>
      <c r="K200" s="135"/>
      <c r="L200" s="135"/>
      <c r="M200" s="135"/>
      <c r="N200" s="135"/>
      <c r="O200" s="135"/>
      <c r="P200" s="135"/>
      <c r="Q200" s="135"/>
      <c r="R200" s="135"/>
      <c r="S200" s="135"/>
    </row>
    <row r="201" customFormat="false" ht="15.75" hidden="false" customHeight="true" outlineLevel="0" collapsed="false">
      <c r="A201" s="135"/>
      <c r="B201" s="182"/>
      <c r="C201" s="135"/>
      <c r="D201" s="135"/>
      <c r="E201" s="182"/>
      <c r="F201" s="135"/>
      <c r="G201" s="135"/>
      <c r="H201" s="135"/>
      <c r="I201" s="135"/>
      <c r="J201" s="135"/>
      <c r="K201" s="135"/>
      <c r="L201" s="135"/>
      <c r="M201" s="135"/>
      <c r="N201" s="135"/>
      <c r="O201" s="135"/>
      <c r="P201" s="135"/>
      <c r="Q201" s="135"/>
      <c r="R201" s="135"/>
      <c r="S201" s="135"/>
    </row>
    <row r="202" customFormat="false" ht="15.75" hidden="false" customHeight="true" outlineLevel="0" collapsed="false">
      <c r="A202" s="135"/>
      <c r="B202" s="182"/>
      <c r="C202" s="135"/>
      <c r="D202" s="135"/>
      <c r="E202" s="182"/>
      <c r="F202" s="135"/>
      <c r="G202" s="135"/>
      <c r="H202" s="135"/>
      <c r="I202" s="135"/>
      <c r="J202" s="135"/>
      <c r="K202" s="135"/>
      <c r="L202" s="135"/>
      <c r="M202" s="135"/>
      <c r="N202" s="135"/>
      <c r="O202" s="135"/>
      <c r="P202" s="135"/>
      <c r="Q202" s="135"/>
      <c r="R202" s="135"/>
      <c r="S202" s="135"/>
    </row>
    <row r="203" customFormat="false" ht="15.75" hidden="false" customHeight="true" outlineLevel="0" collapsed="false">
      <c r="A203" s="135"/>
      <c r="B203" s="182"/>
      <c r="C203" s="135"/>
      <c r="D203" s="135"/>
      <c r="E203" s="182"/>
      <c r="F203" s="135"/>
      <c r="G203" s="135"/>
      <c r="H203" s="135"/>
      <c r="I203" s="135"/>
      <c r="J203" s="135"/>
      <c r="K203" s="135"/>
      <c r="L203" s="135"/>
      <c r="M203" s="135"/>
      <c r="N203" s="135"/>
      <c r="O203" s="135"/>
      <c r="P203" s="135"/>
      <c r="Q203" s="135"/>
      <c r="R203" s="135"/>
      <c r="S203" s="135"/>
    </row>
    <row r="204" customFormat="false" ht="15.75" hidden="false" customHeight="true" outlineLevel="0" collapsed="false">
      <c r="A204" s="135"/>
      <c r="B204" s="182"/>
      <c r="C204" s="135"/>
      <c r="D204" s="135"/>
      <c r="E204" s="182"/>
      <c r="F204" s="135"/>
      <c r="G204" s="135"/>
      <c r="H204" s="135"/>
      <c r="I204" s="135"/>
      <c r="J204" s="135"/>
      <c r="K204" s="135"/>
      <c r="L204" s="135"/>
      <c r="M204" s="135"/>
      <c r="N204" s="135"/>
      <c r="O204" s="135"/>
      <c r="P204" s="135"/>
      <c r="Q204" s="135"/>
      <c r="R204" s="135"/>
      <c r="S204" s="135"/>
    </row>
    <row r="205" customFormat="false" ht="15.75" hidden="false" customHeight="true" outlineLevel="0" collapsed="false">
      <c r="A205" s="135"/>
      <c r="B205" s="182"/>
      <c r="C205" s="135"/>
      <c r="D205" s="135"/>
      <c r="E205" s="182"/>
      <c r="F205" s="135"/>
      <c r="G205" s="135"/>
      <c r="H205" s="135"/>
      <c r="I205" s="135"/>
      <c r="J205" s="135"/>
      <c r="K205" s="135"/>
      <c r="L205" s="135"/>
      <c r="M205" s="135"/>
      <c r="N205" s="135"/>
      <c r="O205" s="135"/>
      <c r="P205" s="135"/>
      <c r="Q205" s="135"/>
      <c r="R205" s="135"/>
      <c r="S205" s="135"/>
    </row>
    <row r="206" customFormat="false" ht="15.75" hidden="false" customHeight="true" outlineLevel="0" collapsed="false">
      <c r="A206" s="135"/>
      <c r="B206" s="182"/>
      <c r="C206" s="135"/>
      <c r="D206" s="135"/>
      <c r="E206" s="182"/>
      <c r="F206" s="135"/>
      <c r="G206" s="135"/>
      <c r="H206" s="135"/>
      <c r="I206" s="135"/>
      <c r="J206" s="135"/>
      <c r="K206" s="135"/>
      <c r="L206" s="135"/>
      <c r="M206" s="135"/>
      <c r="N206" s="135"/>
      <c r="O206" s="135"/>
      <c r="P206" s="135"/>
      <c r="Q206" s="135"/>
      <c r="R206" s="135"/>
      <c r="S206" s="135"/>
    </row>
    <row r="207" customFormat="false" ht="15.75" hidden="false" customHeight="true" outlineLevel="0" collapsed="false">
      <c r="A207" s="135"/>
      <c r="B207" s="182"/>
      <c r="C207" s="135"/>
      <c r="D207" s="135"/>
      <c r="E207" s="182"/>
      <c r="F207" s="135"/>
      <c r="G207" s="135"/>
      <c r="H207" s="135"/>
      <c r="I207" s="135"/>
      <c r="J207" s="135"/>
      <c r="K207" s="135"/>
      <c r="L207" s="135"/>
      <c r="M207" s="135"/>
      <c r="N207" s="135"/>
      <c r="O207" s="135"/>
      <c r="P207" s="135"/>
      <c r="Q207" s="135"/>
      <c r="R207" s="135"/>
      <c r="S207" s="135"/>
    </row>
    <row r="208" customFormat="false" ht="15.75" hidden="false" customHeight="true" outlineLevel="0" collapsed="false">
      <c r="A208" s="135"/>
      <c r="B208" s="182"/>
      <c r="C208" s="135"/>
      <c r="D208" s="135"/>
      <c r="E208" s="182"/>
      <c r="F208" s="135"/>
      <c r="G208" s="135"/>
      <c r="H208" s="135"/>
      <c r="I208" s="135"/>
      <c r="J208" s="135"/>
      <c r="K208" s="135"/>
      <c r="L208" s="135"/>
      <c r="M208" s="135"/>
      <c r="N208" s="135"/>
      <c r="O208" s="135"/>
      <c r="P208" s="135"/>
      <c r="Q208" s="135"/>
      <c r="R208" s="135"/>
      <c r="S208" s="135"/>
    </row>
    <row r="209" customFormat="false" ht="15.75" hidden="false" customHeight="true" outlineLevel="0" collapsed="false">
      <c r="A209" s="135"/>
      <c r="B209" s="182"/>
      <c r="C209" s="135"/>
      <c r="D209" s="135"/>
      <c r="E209" s="182"/>
      <c r="F209" s="135"/>
      <c r="G209" s="135"/>
      <c r="H209" s="135"/>
      <c r="I209" s="135"/>
      <c r="J209" s="135"/>
      <c r="K209" s="135"/>
      <c r="L209" s="135"/>
      <c r="M209" s="135"/>
      <c r="N209" s="135"/>
      <c r="O209" s="135"/>
      <c r="P209" s="135"/>
      <c r="Q209" s="135"/>
      <c r="R209" s="135"/>
      <c r="S209" s="135"/>
    </row>
    <row r="210" customFormat="false" ht="15.75" hidden="false" customHeight="true" outlineLevel="0" collapsed="false">
      <c r="A210" s="135"/>
      <c r="B210" s="182"/>
      <c r="C210" s="135"/>
      <c r="D210" s="135"/>
      <c r="E210" s="182"/>
      <c r="F210" s="135"/>
      <c r="G210" s="135"/>
      <c r="H210" s="135"/>
      <c r="I210" s="135"/>
      <c r="J210" s="135"/>
      <c r="K210" s="135"/>
      <c r="L210" s="135"/>
      <c r="M210" s="135"/>
      <c r="N210" s="135"/>
      <c r="O210" s="135"/>
      <c r="P210" s="135"/>
      <c r="Q210" s="135"/>
      <c r="R210" s="135"/>
      <c r="S210" s="135"/>
    </row>
    <row r="211" customFormat="false" ht="15.75" hidden="false" customHeight="true" outlineLevel="0" collapsed="false">
      <c r="A211" s="135"/>
      <c r="B211" s="182"/>
      <c r="C211" s="135"/>
      <c r="D211" s="135"/>
      <c r="E211" s="182"/>
      <c r="F211" s="135"/>
      <c r="G211" s="135"/>
      <c r="H211" s="135"/>
      <c r="I211" s="135"/>
      <c r="J211" s="135"/>
      <c r="K211" s="135"/>
      <c r="L211" s="135"/>
      <c r="M211" s="135"/>
      <c r="N211" s="135"/>
      <c r="O211" s="135"/>
      <c r="P211" s="135"/>
      <c r="Q211" s="135"/>
      <c r="R211" s="135"/>
      <c r="S211" s="135"/>
    </row>
    <row r="212" customFormat="false" ht="15.75" hidden="false" customHeight="true" outlineLevel="0" collapsed="false">
      <c r="A212" s="135"/>
      <c r="B212" s="182"/>
      <c r="C212" s="135"/>
      <c r="D212" s="135"/>
      <c r="E212" s="182"/>
      <c r="F212" s="135"/>
      <c r="G212" s="135"/>
      <c r="H212" s="135"/>
      <c r="I212" s="135"/>
      <c r="J212" s="135"/>
      <c r="K212" s="135"/>
      <c r="L212" s="135"/>
      <c r="M212" s="135"/>
      <c r="N212" s="135"/>
      <c r="O212" s="135"/>
      <c r="P212" s="135"/>
      <c r="Q212" s="135"/>
      <c r="R212" s="135"/>
      <c r="S212" s="135"/>
    </row>
    <row r="213" customFormat="false" ht="15.75" hidden="false" customHeight="true" outlineLevel="0" collapsed="false">
      <c r="A213" s="135"/>
      <c r="B213" s="182"/>
      <c r="C213" s="135"/>
      <c r="D213" s="135"/>
      <c r="E213" s="182"/>
      <c r="F213" s="135"/>
      <c r="G213" s="135"/>
      <c r="H213" s="135"/>
      <c r="I213" s="135"/>
      <c r="J213" s="135"/>
      <c r="K213" s="135"/>
      <c r="L213" s="135"/>
      <c r="M213" s="135"/>
      <c r="N213" s="135"/>
      <c r="O213" s="135"/>
      <c r="P213" s="135"/>
      <c r="Q213" s="135"/>
      <c r="R213" s="135"/>
      <c r="S213" s="135"/>
    </row>
    <row r="214" customFormat="false" ht="15.75" hidden="false" customHeight="true" outlineLevel="0" collapsed="false">
      <c r="A214" s="135"/>
      <c r="B214" s="182"/>
      <c r="C214" s="135"/>
      <c r="D214" s="135"/>
      <c r="E214" s="182"/>
      <c r="F214" s="135"/>
      <c r="G214" s="135"/>
      <c r="H214" s="135"/>
      <c r="I214" s="135"/>
      <c r="J214" s="135"/>
      <c r="K214" s="135"/>
      <c r="L214" s="135"/>
      <c r="M214" s="135"/>
      <c r="N214" s="135"/>
      <c r="O214" s="135"/>
      <c r="P214" s="135"/>
      <c r="Q214" s="135"/>
      <c r="R214" s="135"/>
      <c r="S214" s="135"/>
    </row>
    <row r="215" customFormat="false" ht="15.75" hidden="false" customHeight="true" outlineLevel="0" collapsed="false">
      <c r="A215" s="135"/>
      <c r="B215" s="182"/>
      <c r="C215" s="135"/>
      <c r="D215" s="135"/>
      <c r="E215" s="182"/>
      <c r="F215" s="135"/>
      <c r="G215" s="135"/>
      <c r="H215" s="135"/>
      <c r="I215" s="135"/>
      <c r="J215" s="135"/>
      <c r="K215" s="135"/>
      <c r="L215" s="135"/>
      <c r="M215" s="135"/>
      <c r="N215" s="135"/>
      <c r="O215" s="135"/>
      <c r="P215" s="135"/>
      <c r="Q215" s="135"/>
      <c r="R215" s="135"/>
      <c r="S215" s="135"/>
    </row>
    <row r="216" customFormat="false" ht="15.75" hidden="false" customHeight="true" outlineLevel="0" collapsed="false">
      <c r="A216" s="135"/>
      <c r="B216" s="182"/>
      <c r="C216" s="135"/>
      <c r="D216" s="135"/>
      <c r="E216" s="182"/>
      <c r="F216" s="135"/>
      <c r="G216" s="135"/>
      <c r="H216" s="135"/>
      <c r="I216" s="135"/>
      <c r="J216" s="135"/>
      <c r="K216" s="135"/>
      <c r="L216" s="135"/>
      <c r="M216" s="135"/>
      <c r="N216" s="135"/>
      <c r="O216" s="135"/>
      <c r="P216" s="135"/>
      <c r="Q216" s="135"/>
      <c r="R216" s="135"/>
      <c r="S216" s="135"/>
    </row>
    <row r="217" customFormat="false" ht="15.75" hidden="false" customHeight="true" outlineLevel="0" collapsed="false">
      <c r="A217" s="135"/>
      <c r="B217" s="182"/>
      <c r="C217" s="135"/>
      <c r="D217" s="135"/>
      <c r="E217" s="182"/>
      <c r="F217" s="135"/>
      <c r="G217" s="135"/>
      <c r="H217" s="135"/>
      <c r="I217" s="135"/>
      <c r="J217" s="135"/>
      <c r="K217" s="135"/>
      <c r="L217" s="135"/>
      <c r="M217" s="135"/>
      <c r="N217" s="135"/>
      <c r="O217" s="135"/>
      <c r="P217" s="135"/>
      <c r="Q217" s="135"/>
      <c r="R217" s="135"/>
      <c r="S217" s="135"/>
    </row>
    <row r="218" customFormat="false" ht="15.75" hidden="false" customHeight="true" outlineLevel="0" collapsed="false">
      <c r="A218" s="135"/>
      <c r="B218" s="182"/>
      <c r="C218" s="135"/>
      <c r="D218" s="135"/>
      <c r="E218" s="182"/>
      <c r="F218" s="135"/>
      <c r="G218" s="135"/>
      <c r="H218" s="135"/>
      <c r="I218" s="135"/>
      <c r="J218" s="135"/>
      <c r="K218" s="135"/>
      <c r="L218" s="135"/>
      <c r="M218" s="135"/>
      <c r="N218" s="135"/>
      <c r="O218" s="135"/>
      <c r="P218" s="135"/>
      <c r="Q218" s="135"/>
      <c r="R218" s="135"/>
      <c r="S218" s="135"/>
    </row>
    <row r="219" customFormat="false" ht="15.75" hidden="false" customHeight="true" outlineLevel="0" collapsed="false">
      <c r="A219" s="135"/>
      <c r="B219" s="182"/>
      <c r="C219" s="135"/>
      <c r="D219" s="135"/>
      <c r="E219" s="182"/>
      <c r="F219" s="135"/>
      <c r="G219" s="135"/>
      <c r="H219" s="135"/>
      <c r="I219" s="135"/>
      <c r="J219" s="135"/>
      <c r="K219" s="135"/>
      <c r="L219" s="135"/>
      <c r="M219" s="135"/>
      <c r="N219" s="135"/>
      <c r="O219" s="135"/>
      <c r="P219" s="135"/>
      <c r="Q219" s="135"/>
      <c r="R219" s="135"/>
      <c r="S219" s="135"/>
    </row>
    <row r="220" customFormat="false" ht="15.75" hidden="false" customHeight="true" outlineLevel="0" collapsed="false">
      <c r="A220" s="135"/>
      <c r="B220" s="182"/>
      <c r="C220" s="135"/>
      <c r="D220" s="135"/>
      <c r="E220" s="182"/>
      <c r="F220" s="135"/>
      <c r="G220" s="135"/>
      <c r="H220" s="135"/>
      <c r="I220" s="135"/>
      <c r="J220" s="135"/>
      <c r="K220" s="135"/>
      <c r="L220" s="135"/>
      <c r="M220" s="135"/>
      <c r="N220" s="135"/>
      <c r="O220" s="135"/>
      <c r="P220" s="135"/>
      <c r="Q220" s="135"/>
      <c r="R220" s="135"/>
      <c r="S220" s="135"/>
    </row>
    <row r="221" customFormat="false" ht="15.75" hidden="false" customHeight="true" outlineLevel="0" collapsed="false">
      <c r="A221" s="135"/>
      <c r="B221" s="182"/>
      <c r="C221" s="135"/>
      <c r="D221" s="135"/>
      <c r="E221" s="182"/>
      <c r="F221" s="135"/>
      <c r="G221" s="135"/>
      <c r="H221" s="135"/>
      <c r="I221" s="135"/>
      <c r="J221" s="135"/>
      <c r="K221" s="135"/>
      <c r="L221" s="135"/>
      <c r="M221" s="135"/>
      <c r="N221" s="135"/>
      <c r="O221" s="135"/>
      <c r="P221" s="135"/>
      <c r="Q221" s="135"/>
      <c r="R221" s="135"/>
      <c r="S221" s="135"/>
    </row>
    <row r="222" customFormat="false" ht="15.75" hidden="false" customHeight="true" outlineLevel="0" collapsed="false">
      <c r="A222" s="135"/>
      <c r="B222" s="182"/>
      <c r="C222" s="135"/>
      <c r="D222" s="135"/>
      <c r="E222" s="182"/>
      <c r="F222" s="135"/>
      <c r="G222" s="135"/>
      <c r="H222" s="135"/>
      <c r="I222" s="135"/>
      <c r="J222" s="135"/>
      <c r="K222" s="135"/>
      <c r="L222" s="135"/>
      <c r="M222" s="135"/>
      <c r="N222" s="135"/>
      <c r="O222" s="135"/>
      <c r="P222" s="135"/>
      <c r="Q222" s="135"/>
      <c r="R222" s="135"/>
      <c r="S222" s="135"/>
    </row>
    <row r="223" customFormat="false" ht="15.75" hidden="false" customHeight="true" outlineLevel="0" collapsed="false">
      <c r="A223" s="135"/>
      <c r="B223" s="182"/>
      <c r="C223" s="135"/>
      <c r="D223" s="135"/>
      <c r="E223" s="182"/>
      <c r="F223" s="135"/>
      <c r="G223" s="135"/>
      <c r="H223" s="135"/>
      <c r="I223" s="135"/>
      <c r="J223" s="135"/>
      <c r="K223" s="135"/>
      <c r="L223" s="135"/>
      <c r="M223" s="135"/>
      <c r="N223" s="135"/>
      <c r="O223" s="135"/>
      <c r="P223" s="135"/>
      <c r="Q223" s="135"/>
      <c r="R223" s="135"/>
      <c r="S223" s="135"/>
    </row>
    <row r="224" customFormat="false" ht="15.75" hidden="false" customHeight="true" outlineLevel="0" collapsed="false">
      <c r="A224" s="135"/>
      <c r="B224" s="182"/>
      <c r="C224" s="135"/>
      <c r="D224" s="135"/>
      <c r="E224" s="182"/>
      <c r="F224" s="135"/>
      <c r="G224" s="135"/>
      <c r="H224" s="135"/>
      <c r="I224" s="135"/>
      <c r="J224" s="135"/>
      <c r="K224" s="135"/>
      <c r="L224" s="135"/>
      <c r="M224" s="135"/>
      <c r="N224" s="135"/>
      <c r="O224" s="135"/>
      <c r="P224" s="135"/>
      <c r="Q224" s="135"/>
      <c r="R224" s="135"/>
      <c r="S224" s="135"/>
    </row>
    <row r="225" customFormat="false" ht="15.75" hidden="false" customHeight="true" outlineLevel="0" collapsed="false">
      <c r="A225" s="135"/>
      <c r="B225" s="182"/>
      <c r="C225" s="135"/>
      <c r="D225" s="135"/>
      <c r="E225" s="182"/>
      <c r="F225" s="135"/>
      <c r="G225" s="135"/>
      <c r="H225" s="135"/>
      <c r="I225" s="135"/>
      <c r="J225" s="135"/>
      <c r="K225" s="135"/>
      <c r="L225" s="135"/>
      <c r="M225" s="135"/>
      <c r="N225" s="135"/>
      <c r="O225" s="135"/>
      <c r="P225" s="135"/>
      <c r="Q225" s="135"/>
      <c r="R225" s="135"/>
      <c r="S225" s="135"/>
    </row>
    <row r="226" customFormat="false" ht="15.75" hidden="false" customHeight="true" outlineLevel="0" collapsed="false">
      <c r="A226" s="135"/>
      <c r="B226" s="182"/>
      <c r="C226" s="135"/>
      <c r="D226" s="135"/>
      <c r="E226" s="182"/>
      <c r="F226" s="135"/>
      <c r="G226" s="135"/>
      <c r="H226" s="135"/>
      <c r="I226" s="135"/>
      <c r="J226" s="135"/>
      <c r="K226" s="135"/>
      <c r="L226" s="135"/>
      <c r="M226" s="135"/>
      <c r="N226" s="135"/>
      <c r="O226" s="135"/>
      <c r="P226" s="135"/>
      <c r="Q226" s="135"/>
      <c r="R226" s="135"/>
      <c r="S226" s="135"/>
    </row>
    <row r="227" customFormat="false" ht="15.75" hidden="false" customHeight="true" outlineLevel="0" collapsed="false">
      <c r="A227" s="135"/>
      <c r="B227" s="182"/>
      <c r="C227" s="135"/>
      <c r="D227" s="135"/>
      <c r="E227" s="182"/>
      <c r="F227" s="135"/>
      <c r="G227" s="135"/>
      <c r="H227" s="135"/>
      <c r="I227" s="135"/>
      <c r="J227" s="135"/>
      <c r="K227" s="135"/>
      <c r="L227" s="135"/>
      <c r="M227" s="135"/>
      <c r="N227" s="135"/>
      <c r="O227" s="135"/>
      <c r="P227" s="135"/>
      <c r="Q227" s="135"/>
      <c r="R227" s="135"/>
      <c r="S227" s="135"/>
    </row>
    <row r="228" customFormat="false" ht="15.75" hidden="false" customHeight="true" outlineLevel="0" collapsed="false">
      <c r="A228" s="135"/>
      <c r="B228" s="182"/>
      <c r="C228" s="135"/>
      <c r="D228" s="135"/>
      <c r="E228" s="182"/>
      <c r="F228" s="135"/>
      <c r="G228" s="135"/>
      <c r="H228" s="135"/>
      <c r="I228" s="135"/>
      <c r="J228" s="135"/>
      <c r="K228" s="135"/>
      <c r="L228" s="135"/>
      <c r="M228" s="135"/>
      <c r="N228" s="135"/>
      <c r="O228" s="135"/>
      <c r="P228" s="135"/>
      <c r="Q228" s="135"/>
      <c r="R228" s="135"/>
      <c r="S228" s="135"/>
    </row>
    <row r="229" customFormat="false" ht="15.75" hidden="false" customHeight="true" outlineLevel="0" collapsed="false">
      <c r="A229" s="135"/>
      <c r="B229" s="182"/>
      <c r="C229" s="135"/>
      <c r="D229" s="135"/>
      <c r="E229" s="182"/>
      <c r="F229" s="135"/>
      <c r="G229" s="135"/>
      <c r="H229" s="135"/>
      <c r="I229" s="135"/>
      <c r="J229" s="135"/>
      <c r="K229" s="135"/>
      <c r="L229" s="135"/>
      <c r="M229" s="135"/>
      <c r="N229" s="135"/>
      <c r="O229" s="135"/>
      <c r="P229" s="135"/>
      <c r="Q229" s="135"/>
      <c r="R229" s="135"/>
      <c r="S229" s="135"/>
    </row>
    <row r="230" customFormat="false" ht="15.75" hidden="false" customHeight="true" outlineLevel="0" collapsed="false">
      <c r="A230" s="135"/>
      <c r="B230" s="182"/>
      <c r="C230" s="135"/>
      <c r="D230" s="135"/>
      <c r="E230" s="182"/>
      <c r="F230" s="135"/>
      <c r="G230" s="135"/>
      <c r="H230" s="135"/>
      <c r="I230" s="135"/>
      <c r="J230" s="135"/>
      <c r="K230" s="135"/>
      <c r="L230" s="135"/>
      <c r="M230" s="135"/>
      <c r="N230" s="135"/>
      <c r="O230" s="135"/>
      <c r="P230" s="135"/>
      <c r="Q230" s="135"/>
      <c r="R230" s="135"/>
      <c r="S230" s="135"/>
    </row>
    <row r="231" customFormat="false" ht="15.75" hidden="false" customHeight="true" outlineLevel="0" collapsed="false">
      <c r="A231" s="135"/>
      <c r="B231" s="182"/>
      <c r="C231" s="135"/>
      <c r="D231" s="135"/>
      <c r="E231" s="182"/>
      <c r="F231" s="135"/>
      <c r="G231" s="135"/>
      <c r="H231" s="135"/>
      <c r="I231" s="135"/>
      <c r="J231" s="135"/>
      <c r="K231" s="135"/>
      <c r="L231" s="135"/>
      <c r="M231" s="135"/>
      <c r="N231" s="135"/>
      <c r="O231" s="135"/>
      <c r="P231" s="135"/>
      <c r="Q231" s="135"/>
      <c r="R231" s="135"/>
      <c r="S231" s="135"/>
    </row>
    <row r="232" customFormat="false" ht="15.75" hidden="false" customHeight="true" outlineLevel="0" collapsed="false">
      <c r="A232" s="135"/>
      <c r="B232" s="182"/>
      <c r="C232" s="135"/>
      <c r="D232" s="135"/>
      <c r="E232" s="182"/>
      <c r="F232" s="135"/>
      <c r="G232" s="135"/>
      <c r="H232" s="135"/>
      <c r="I232" s="135"/>
      <c r="J232" s="135"/>
      <c r="K232" s="135"/>
      <c r="L232" s="135"/>
      <c r="M232" s="135"/>
      <c r="N232" s="135"/>
      <c r="O232" s="135"/>
      <c r="P232" s="135"/>
      <c r="Q232" s="135"/>
      <c r="R232" s="135"/>
      <c r="S232" s="135"/>
    </row>
    <row r="233" customFormat="false" ht="15.75" hidden="false" customHeight="true" outlineLevel="0" collapsed="false">
      <c r="A233" s="135"/>
      <c r="B233" s="182"/>
      <c r="C233" s="135"/>
      <c r="D233" s="135"/>
      <c r="E233" s="182"/>
      <c r="F233" s="135"/>
      <c r="G233" s="135"/>
      <c r="H233" s="135"/>
      <c r="I233" s="135"/>
      <c r="J233" s="135"/>
      <c r="K233" s="135"/>
      <c r="L233" s="135"/>
      <c r="M233" s="135"/>
      <c r="N233" s="135"/>
      <c r="O233" s="135"/>
      <c r="P233" s="135"/>
      <c r="Q233" s="135"/>
      <c r="R233" s="135"/>
      <c r="S233" s="135"/>
    </row>
    <row r="234" customFormat="false" ht="15.75" hidden="false" customHeight="true" outlineLevel="0" collapsed="false">
      <c r="A234" s="135"/>
      <c r="B234" s="182"/>
      <c r="C234" s="135"/>
      <c r="D234" s="135"/>
      <c r="E234" s="182"/>
      <c r="F234" s="135"/>
      <c r="G234" s="135"/>
      <c r="H234" s="135"/>
      <c r="I234" s="135"/>
      <c r="J234" s="135"/>
      <c r="K234" s="135"/>
      <c r="L234" s="135"/>
      <c r="M234" s="135"/>
      <c r="N234" s="135"/>
      <c r="O234" s="135"/>
      <c r="P234" s="135"/>
      <c r="Q234" s="135"/>
      <c r="R234" s="135"/>
      <c r="S234" s="135"/>
    </row>
    <row r="235" customFormat="false" ht="15.75" hidden="false" customHeight="true" outlineLevel="0" collapsed="false">
      <c r="A235" s="135"/>
      <c r="B235" s="182"/>
      <c r="C235" s="135"/>
      <c r="D235" s="135"/>
      <c r="E235" s="182"/>
      <c r="F235" s="135"/>
      <c r="G235" s="135"/>
      <c r="H235" s="135"/>
      <c r="I235" s="135"/>
      <c r="J235" s="135"/>
      <c r="K235" s="135"/>
      <c r="L235" s="135"/>
      <c r="M235" s="135"/>
      <c r="N235" s="135"/>
      <c r="O235" s="135"/>
      <c r="P235" s="135"/>
      <c r="Q235" s="135"/>
      <c r="R235" s="135"/>
      <c r="S235" s="135"/>
    </row>
    <row r="236" customFormat="false" ht="15.75" hidden="false" customHeight="true" outlineLevel="0" collapsed="false">
      <c r="A236" s="135"/>
      <c r="B236" s="182"/>
      <c r="C236" s="135"/>
      <c r="D236" s="135"/>
      <c r="E236" s="182"/>
      <c r="F236" s="135"/>
      <c r="G236" s="135"/>
      <c r="H236" s="135"/>
      <c r="I236" s="135"/>
      <c r="J236" s="135"/>
      <c r="K236" s="135"/>
      <c r="L236" s="135"/>
      <c r="M236" s="135"/>
      <c r="N236" s="135"/>
      <c r="O236" s="135"/>
      <c r="P236" s="135"/>
      <c r="Q236" s="135"/>
      <c r="R236" s="135"/>
      <c r="S236" s="135"/>
    </row>
    <row r="237" customFormat="false" ht="15.75" hidden="false" customHeight="true" outlineLevel="0" collapsed="false">
      <c r="A237" s="135"/>
      <c r="B237" s="182"/>
      <c r="C237" s="135"/>
      <c r="D237" s="135"/>
      <c r="E237" s="182"/>
      <c r="F237" s="135"/>
      <c r="G237" s="135"/>
      <c r="H237" s="135"/>
      <c r="I237" s="135"/>
      <c r="J237" s="135"/>
      <c r="K237" s="135"/>
      <c r="L237" s="135"/>
      <c r="M237" s="135"/>
      <c r="N237" s="135"/>
      <c r="O237" s="135"/>
      <c r="P237" s="135"/>
      <c r="Q237" s="135"/>
      <c r="R237" s="135"/>
      <c r="S237" s="135"/>
    </row>
    <row r="238" customFormat="false" ht="15.75" hidden="false" customHeight="true" outlineLevel="0" collapsed="false">
      <c r="A238" s="135"/>
      <c r="B238" s="182"/>
      <c r="C238" s="135"/>
      <c r="D238" s="135"/>
      <c r="E238" s="182"/>
      <c r="F238" s="135"/>
      <c r="G238" s="135"/>
      <c r="H238" s="135"/>
      <c r="I238" s="135"/>
      <c r="J238" s="135"/>
      <c r="K238" s="135"/>
      <c r="L238" s="135"/>
      <c r="M238" s="135"/>
      <c r="N238" s="135"/>
      <c r="O238" s="135"/>
      <c r="P238" s="135"/>
      <c r="Q238" s="135"/>
      <c r="R238" s="135"/>
      <c r="S238" s="135"/>
    </row>
    <row r="239" customFormat="false" ht="15.75" hidden="false" customHeight="true" outlineLevel="0" collapsed="false">
      <c r="A239" s="135"/>
      <c r="B239" s="182"/>
      <c r="C239" s="135"/>
      <c r="D239" s="135"/>
      <c r="E239" s="182"/>
      <c r="F239" s="135"/>
      <c r="G239" s="135"/>
      <c r="H239" s="135"/>
      <c r="I239" s="135"/>
      <c r="J239" s="135"/>
      <c r="K239" s="135"/>
      <c r="L239" s="135"/>
      <c r="M239" s="135"/>
      <c r="N239" s="135"/>
      <c r="O239" s="135"/>
      <c r="P239" s="135"/>
      <c r="Q239" s="135"/>
      <c r="R239" s="135"/>
      <c r="S239" s="135"/>
    </row>
    <row r="240" customFormat="false" ht="15.75" hidden="false" customHeight="true" outlineLevel="0" collapsed="false">
      <c r="A240" s="135"/>
      <c r="B240" s="182"/>
      <c r="C240" s="135"/>
      <c r="D240" s="135"/>
      <c r="E240" s="182"/>
      <c r="F240" s="135"/>
      <c r="G240" s="135"/>
      <c r="H240" s="135"/>
      <c r="I240" s="135"/>
      <c r="J240" s="135"/>
      <c r="K240" s="135"/>
      <c r="L240" s="135"/>
      <c r="M240" s="135"/>
      <c r="N240" s="135"/>
      <c r="O240" s="135"/>
      <c r="P240" s="135"/>
      <c r="Q240" s="135"/>
      <c r="R240" s="135"/>
      <c r="S240" s="135"/>
    </row>
    <row r="241" customFormat="false" ht="15.75" hidden="false" customHeight="true" outlineLevel="0" collapsed="false">
      <c r="A241" s="135"/>
      <c r="B241" s="182"/>
      <c r="C241" s="135"/>
      <c r="D241" s="135"/>
      <c r="E241" s="182"/>
      <c r="F241" s="135"/>
      <c r="G241" s="135"/>
      <c r="H241" s="135"/>
      <c r="I241" s="135"/>
      <c r="J241" s="135"/>
      <c r="K241" s="135"/>
      <c r="L241" s="135"/>
      <c r="M241" s="135"/>
      <c r="N241" s="135"/>
      <c r="O241" s="135"/>
      <c r="P241" s="135"/>
      <c r="Q241" s="135"/>
      <c r="R241" s="135"/>
      <c r="S241" s="135"/>
    </row>
    <row r="242" customFormat="false" ht="15.75" hidden="false" customHeight="true" outlineLevel="0" collapsed="false">
      <c r="A242" s="135"/>
      <c r="B242" s="182"/>
      <c r="C242" s="135"/>
      <c r="D242" s="135"/>
      <c r="E242" s="182"/>
      <c r="F242" s="135"/>
      <c r="G242" s="135"/>
      <c r="H242" s="135"/>
      <c r="I242" s="135"/>
      <c r="J242" s="135"/>
      <c r="K242" s="135"/>
      <c r="L242" s="135"/>
      <c r="M242" s="135"/>
      <c r="N242" s="135"/>
      <c r="O242" s="135"/>
      <c r="P242" s="135"/>
      <c r="Q242" s="135"/>
      <c r="R242" s="135"/>
      <c r="S242" s="135"/>
    </row>
    <row r="243" customFormat="false" ht="15.75" hidden="false" customHeight="true" outlineLevel="0" collapsed="false">
      <c r="A243" s="135"/>
      <c r="B243" s="182"/>
      <c r="C243" s="135"/>
      <c r="D243" s="135"/>
      <c r="E243" s="182"/>
      <c r="F243" s="135"/>
      <c r="G243" s="135"/>
      <c r="H243" s="135"/>
      <c r="I243" s="135"/>
      <c r="J243" s="135"/>
      <c r="K243" s="135"/>
      <c r="L243" s="135"/>
      <c r="M243" s="135"/>
      <c r="N243" s="135"/>
      <c r="O243" s="135"/>
      <c r="P243" s="135"/>
      <c r="Q243" s="135"/>
      <c r="R243" s="135"/>
      <c r="S243" s="135"/>
    </row>
    <row r="244" customFormat="false" ht="15.75" hidden="false" customHeight="true" outlineLevel="0" collapsed="false">
      <c r="A244" s="135"/>
      <c r="B244" s="182"/>
      <c r="C244" s="135"/>
      <c r="D244" s="135"/>
      <c r="E244" s="182"/>
      <c r="F244" s="135"/>
      <c r="G244" s="135"/>
      <c r="H244" s="135"/>
      <c r="I244" s="135"/>
      <c r="J244" s="135"/>
      <c r="K244" s="135"/>
      <c r="L244" s="135"/>
      <c r="M244" s="135"/>
      <c r="N244" s="135"/>
      <c r="O244" s="135"/>
      <c r="P244" s="135"/>
      <c r="Q244" s="135"/>
      <c r="R244" s="135"/>
      <c r="S244" s="135"/>
    </row>
    <row r="245" customFormat="false" ht="15.75" hidden="false" customHeight="true" outlineLevel="0" collapsed="false">
      <c r="A245" s="135"/>
      <c r="B245" s="182"/>
      <c r="C245" s="135"/>
      <c r="D245" s="135"/>
      <c r="E245" s="182"/>
      <c r="F245" s="135"/>
      <c r="G245" s="135"/>
      <c r="H245" s="135"/>
      <c r="I245" s="135"/>
      <c r="J245" s="135"/>
      <c r="K245" s="135"/>
      <c r="L245" s="135"/>
      <c r="M245" s="135"/>
      <c r="N245" s="135"/>
      <c r="O245" s="135"/>
      <c r="P245" s="135"/>
      <c r="Q245" s="135"/>
      <c r="R245" s="135"/>
      <c r="S245" s="135"/>
    </row>
    <row r="246" customFormat="false" ht="15.75" hidden="false" customHeight="true" outlineLevel="0" collapsed="false">
      <c r="A246" s="135"/>
      <c r="B246" s="182"/>
      <c r="C246" s="135"/>
      <c r="D246" s="135"/>
      <c r="E246" s="182"/>
      <c r="F246" s="135"/>
      <c r="G246" s="135"/>
      <c r="H246" s="135"/>
      <c r="I246" s="135"/>
      <c r="J246" s="135"/>
      <c r="K246" s="135"/>
      <c r="L246" s="135"/>
      <c r="M246" s="135"/>
      <c r="N246" s="135"/>
      <c r="O246" s="135"/>
      <c r="P246" s="135"/>
      <c r="Q246" s="135"/>
      <c r="R246" s="135"/>
      <c r="S246" s="135"/>
    </row>
    <row r="247" customFormat="false" ht="15.75" hidden="false" customHeight="true" outlineLevel="0" collapsed="false">
      <c r="A247" s="135"/>
      <c r="B247" s="182"/>
      <c r="C247" s="135"/>
      <c r="D247" s="135"/>
      <c r="E247" s="182"/>
      <c r="F247" s="135"/>
      <c r="G247" s="135"/>
      <c r="H247" s="135"/>
      <c r="I247" s="135"/>
      <c r="J247" s="135"/>
      <c r="K247" s="135"/>
      <c r="L247" s="135"/>
      <c r="M247" s="135"/>
      <c r="N247" s="135"/>
      <c r="O247" s="135"/>
      <c r="P247" s="135"/>
      <c r="Q247" s="135"/>
      <c r="R247" s="135"/>
      <c r="S247" s="135"/>
    </row>
    <row r="248" customFormat="false" ht="15.75" hidden="false" customHeight="true" outlineLevel="0" collapsed="false">
      <c r="A248" s="135"/>
      <c r="B248" s="182"/>
      <c r="C248" s="135"/>
      <c r="D248" s="135"/>
      <c r="E248" s="182"/>
      <c r="F248" s="135"/>
      <c r="G248" s="135"/>
      <c r="H248" s="135"/>
      <c r="I248" s="135"/>
      <c r="J248" s="135"/>
      <c r="K248" s="135"/>
      <c r="L248" s="135"/>
      <c r="M248" s="135"/>
      <c r="N248" s="135"/>
      <c r="O248" s="135"/>
      <c r="P248" s="135"/>
      <c r="Q248" s="135"/>
      <c r="R248" s="135"/>
      <c r="S248" s="135"/>
    </row>
    <row r="249" customFormat="false" ht="15.75" hidden="false" customHeight="true" outlineLevel="0" collapsed="false">
      <c r="A249" s="135"/>
      <c r="B249" s="182"/>
      <c r="C249" s="135"/>
      <c r="D249" s="135"/>
      <c r="E249" s="182"/>
      <c r="F249" s="135"/>
      <c r="G249" s="135"/>
      <c r="H249" s="135"/>
      <c r="I249" s="135"/>
      <c r="J249" s="135"/>
      <c r="K249" s="135"/>
      <c r="L249" s="135"/>
      <c r="M249" s="135"/>
      <c r="N249" s="135"/>
      <c r="O249" s="135"/>
      <c r="P249" s="135"/>
      <c r="Q249" s="135"/>
      <c r="R249" s="135"/>
      <c r="S249" s="135"/>
    </row>
    <row r="250" customFormat="false" ht="15.75" hidden="false" customHeight="true" outlineLevel="0" collapsed="false">
      <c r="A250" s="135"/>
      <c r="B250" s="182"/>
      <c r="C250" s="135"/>
      <c r="D250" s="135"/>
      <c r="E250" s="182"/>
      <c r="F250" s="135"/>
      <c r="G250" s="135"/>
      <c r="H250" s="135"/>
      <c r="I250" s="135"/>
      <c r="J250" s="135"/>
      <c r="K250" s="135"/>
      <c r="L250" s="135"/>
      <c r="M250" s="135"/>
      <c r="N250" s="135"/>
      <c r="O250" s="135"/>
      <c r="P250" s="135"/>
      <c r="Q250" s="135"/>
      <c r="R250" s="135"/>
      <c r="S250" s="135"/>
    </row>
    <row r="251" customFormat="false" ht="15.75" hidden="false" customHeight="true" outlineLevel="0" collapsed="false">
      <c r="A251" s="135"/>
      <c r="B251" s="182"/>
      <c r="C251" s="135"/>
      <c r="D251" s="135"/>
      <c r="E251" s="182"/>
      <c r="F251" s="135"/>
      <c r="G251" s="135"/>
      <c r="H251" s="135"/>
      <c r="I251" s="135"/>
      <c r="J251" s="135"/>
      <c r="K251" s="135"/>
      <c r="L251" s="135"/>
      <c r="M251" s="135"/>
      <c r="N251" s="135"/>
      <c r="O251" s="135"/>
      <c r="P251" s="135"/>
      <c r="Q251" s="135"/>
      <c r="R251" s="135"/>
      <c r="S251" s="135"/>
    </row>
    <row r="252" customFormat="false" ht="15.75" hidden="false" customHeight="true" outlineLevel="0" collapsed="false">
      <c r="A252" s="135"/>
      <c r="B252" s="182"/>
      <c r="C252" s="135"/>
      <c r="D252" s="135"/>
      <c r="E252" s="182"/>
      <c r="F252" s="135"/>
      <c r="G252" s="135"/>
      <c r="H252" s="135"/>
      <c r="I252" s="135"/>
      <c r="J252" s="135"/>
      <c r="K252" s="135"/>
      <c r="L252" s="135"/>
      <c r="M252" s="135"/>
      <c r="N252" s="135"/>
      <c r="O252" s="135"/>
      <c r="P252" s="135"/>
      <c r="Q252" s="135"/>
      <c r="R252" s="135"/>
      <c r="S252" s="135"/>
    </row>
    <row r="253" customFormat="false" ht="15.75" hidden="false" customHeight="true" outlineLevel="0" collapsed="false">
      <c r="A253" s="135"/>
      <c r="B253" s="182"/>
      <c r="C253" s="135"/>
      <c r="D253" s="135"/>
      <c r="E253" s="182"/>
      <c r="F253" s="135"/>
      <c r="G253" s="135"/>
      <c r="H253" s="135"/>
      <c r="I253" s="135"/>
      <c r="J253" s="135"/>
      <c r="K253" s="135"/>
      <c r="L253" s="135"/>
      <c r="M253" s="135"/>
      <c r="N253" s="135"/>
      <c r="O253" s="135"/>
      <c r="P253" s="135"/>
      <c r="Q253" s="135"/>
      <c r="R253" s="135"/>
      <c r="S253" s="135"/>
    </row>
    <row r="254" customFormat="false" ht="15.75" hidden="false" customHeight="true" outlineLevel="0" collapsed="false">
      <c r="A254" s="135"/>
      <c r="B254" s="182"/>
      <c r="C254" s="135"/>
      <c r="D254" s="135"/>
      <c r="E254" s="182"/>
      <c r="F254" s="135"/>
      <c r="G254" s="135"/>
      <c r="H254" s="135"/>
      <c r="I254" s="135"/>
      <c r="J254" s="135"/>
      <c r="K254" s="135"/>
      <c r="L254" s="135"/>
      <c r="M254" s="135"/>
      <c r="N254" s="135"/>
      <c r="O254" s="135"/>
      <c r="P254" s="135"/>
      <c r="Q254" s="135"/>
      <c r="R254" s="135"/>
      <c r="S254" s="135"/>
    </row>
    <row r="255" customFormat="false" ht="15.75" hidden="false" customHeight="true" outlineLevel="0" collapsed="false">
      <c r="A255" s="135"/>
      <c r="B255" s="182"/>
      <c r="C255" s="135"/>
      <c r="D255" s="135"/>
      <c r="E255" s="182"/>
      <c r="F255" s="135"/>
      <c r="G255" s="135"/>
      <c r="H255" s="135"/>
      <c r="I255" s="135"/>
      <c r="J255" s="135"/>
      <c r="K255" s="135"/>
      <c r="L255" s="135"/>
      <c r="M255" s="135"/>
      <c r="N255" s="135"/>
      <c r="O255" s="135"/>
      <c r="P255" s="135"/>
      <c r="Q255" s="135"/>
      <c r="R255" s="135"/>
      <c r="S255" s="135"/>
    </row>
    <row r="256" customFormat="false" ht="15.75" hidden="false" customHeight="true" outlineLevel="0" collapsed="false">
      <c r="A256" s="135"/>
      <c r="B256" s="182"/>
      <c r="C256" s="135"/>
      <c r="D256" s="135"/>
      <c r="E256" s="182"/>
      <c r="F256" s="135"/>
      <c r="G256" s="135"/>
      <c r="H256" s="135"/>
      <c r="I256" s="135"/>
      <c r="J256" s="135"/>
      <c r="K256" s="135"/>
      <c r="L256" s="135"/>
      <c r="M256" s="135"/>
      <c r="N256" s="135"/>
      <c r="O256" s="135"/>
      <c r="P256" s="135"/>
      <c r="Q256" s="135"/>
      <c r="R256" s="135"/>
      <c r="S256" s="135"/>
    </row>
    <row r="257" customFormat="false" ht="15.75" hidden="false" customHeight="true" outlineLevel="0" collapsed="false">
      <c r="A257" s="135"/>
      <c r="B257" s="182"/>
      <c r="C257" s="135"/>
      <c r="D257" s="135"/>
      <c r="E257" s="182"/>
      <c r="F257" s="135"/>
      <c r="G257" s="135"/>
      <c r="H257" s="135"/>
      <c r="I257" s="135"/>
      <c r="J257" s="135"/>
      <c r="K257" s="135"/>
      <c r="L257" s="135"/>
      <c r="M257" s="135"/>
      <c r="N257" s="135"/>
      <c r="O257" s="135"/>
      <c r="P257" s="135"/>
      <c r="Q257" s="135"/>
      <c r="R257" s="135"/>
      <c r="S257" s="135"/>
    </row>
    <row r="258" customFormat="false" ht="15.75" hidden="false" customHeight="true" outlineLevel="0" collapsed="false">
      <c r="A258" s="135"/>
      <c r="B258" s="182"/>
      <c r="C258" s="135"/>
      <c r="D258" s="135"/>
      <c r="E258" s="182"/>
      <c r="F258" s="135"/>
      <c r="G258" s="135"/>
      <c r="H258" s="135"/>
      <c r="I258" s="135"/>
      <c r="J258" s="135"/>
      <c r="K258" s="135"/>
      <c r="L258" s="135"/>
      <c r="M258" s="135"/>
      <c r="N258" s="135"/>
      <c r="O258" s="135"/>
      <c r="P258" s="135"/>
      <c r="Q258" s="135"/>
      <c r="R258" s="135"/>
      <c r="S258" s="135"/>
    </row>
    <row r="259" customFormat="false" ht="15.75" hidden="false" customHeight="true" outlineLevel="0" collapsed="false">
      <c r="A259" s="135"/>
      <c r="B259" s="182"/>
      <c r="C259" s="135"/>
      <c r="D259" s="135"/>
      <c r="E259" s="182"/>
      <c r="F259" s="135"/>
      <c r="G259" s="135"/>
      <c r="H259" s="135"/>
      <c r="I259" s="135"/>
      <c r="J259" s="135"/>
      <c r="K259" s="135"/>
      <c r="L259" s="135"/>
      <c r="M259" s="135"/>
      <c r="N259" s="135"/>
      <c r="O259" s="135"/>
      <c r="P259" s="135"/>
      <c r="Q259" s="135"/>
      <c r="R259" s="135"/>
      <c r="S259" s="135"/>
    </row>
    <row r="260" customFormat="false" ht="15.75" hidden="false" customHeight="true" outlineLevel="0" collapsed="false">
      <c r="A260" s="135"/>
      <c r="B260" s="182"/>
      <c r="C260" s="135"/>
      <c r="D260" s="135"/>
      <c r="E260" s="182"/>
      <c r="F260" s="135"/>
      <c r="G260" s="135"/>
      <c r="H260" s="135"/>
      <c r="I260" s="135"/>
      <c r="J260" s="135"/>
      <c r="K260" s="135"/>
      <c r="L260" s="135"/>
      <c r="M260" s="135"/>
      <c r="N260" s="135"/>
      <c r="O260" s="135"/>
      <c r="P260" s="135"/>
      <c r="Q260" s="135"/>
      <c r="R260" s="135"/>
      <c r="S260" s="135"/>
    </row>
    <row r="261" customFormat="false" ht="15.75" hidden="false" customHeight="true" outlineLevel="0" collapsed="false">
      <c r="A261" s="135"/>
      <c r="B261" s="182"/>
      <c r="C261" s="135"/>
      <c r="D261" s="135"/>
      <c r="E261" s="182"/>
      <c r="F261" s="135"/>
      <c r="G261" s="135"/>
      <c r="H261" s="135"/>
      <c r="I261" s="135"/>
      <c r="J261" s="135"/>
      <c r="K261" s="135"/>
      <c r="L261" s="135"/>
      <c r="M261" s="135"/>
      <c r="N261" s="135"/>
      <c r="O261" s="135"/>
      <c r="P261" s="135"/>
      <c r="Q261" s="135"/>
      <c r="R261" s="135"/>
      <c r="S261" s="135"/>
    </row>
    <row r="262" customFormat="false" ht="15.75" hidden="false" customHeight="true" outlineLevel="0" collapsed="false">
      <c r="A262" s="135"/>
      <c r="B262" s="182"/>
      <c r="C262" s="135"/>
      <c r="D262" s="135"/>
      <c r="E262" s="182"/>
      <c r="F262" s="135"/>
      <c r="G262" s="135"/>
      <c r="H262" s="135"/>
      <c r="I262" s="135"/>
      <c r="J262" s="135"/>
      <c r="K262" s="135"/>
      <c r="L262" s="135"/>
      <c r="M262" s="135"/>
      <c r="N262" s="135"/>
      <c r="O262" s="135"/>
      <c r="P262" s="135"/>
      <c r="Q262" s="135"/>
      <c r="R262" s="135"/>
      <c r="S262" s="135"/>
    </row>
    <row r="263" customFormat="false" ht="15.75" hidden="false" customHeight="true" outlineLevel="0" collapsed="false">
      <c r="A263" s="135"/>
      <c r="B263" s="182"/>
      <c r="C263" s="135"/>
      <c r="D263" s="135"/>
      <c r="E263" s="182"/>
      <c r="F263" s="135"/>
      <c r="G263" s="135"/>
      <c r="H263" s="135"/>
      <c r="I263" s="135"/>
      <c r="J263" s="135"/>
      <c r="K263" s="135"/>
      <c r="L263" s="135"/>
      <c r="M263" s="135"/>
      <c r="N263" s="135"/>
      <c r="O263" s="135"/>
      <c r="P263" s="135"/>
      <c r="Q263" s="135"/>
      <c r="R263" s="135"/>
      <c r="S263" s="135"/>
    </row>
    <row r="264" customFormat="false" ht="15.75" hidden="false" customHeight="true" outlineLevel="0" collapsed="false">
      <c r="A264" s="135"/>
      <c r="B264" s="182"/>
      <c r="C264" s="135"/>
      <c r="D264" s="135"/>
      <c r="E264" s="182"/>
      <c r="F264" s="135"/>
      <c r="G264" s="135"/>
      <c r="H264" s="135"/>
      <c r="I264" s="135"/>
      <c r="J264" s="135"/>
      <c r="K264" s="135"/>
      <c r="L264" s="135"/>
      <c r="M264" s="135"/>
      <c r="N264" s="135"/>
      <c r="O264" s="135"/>
      <c r="P264" s="135"/>
      <c r="Q264" s="135"/>
      <c r="R264" s="135"/>
      <c r="S264" s="135"/>
    </row>
    <row r="265" customFormat="false" ht="15.75" hidden="false" customHeight="true" outlineLevel="0" collapsed="false">
      <c r="A265" s="135"/>
      <c r="B265" s="182"/>
      <c r="C265" s="135"/>
      <c r="D265" s="135"/>
      <c r="E265" s="182"/>
      <c r="F265" s="135"/>
      <c r="G265" s="135"/>
      <c r="H265" s="135"/>
      <c r="I265" s="135"/>
      <c r="J265" s="135"/>
      <c r="K265" s="135"/>
      <c r="L265" s="135"/>
      <c r="M265" s="135"/>
      <c r="N265" s="135"/>
      <c r="O265" s="135"/>
      <c r="P265" s="135"/>
      <c r="Q265" s="135"/>
      <c r="R265" s="135"/>
      <c r="S265" s="135"/>
    </row>
    <row r="266" customFormat="false" ht="15.75" hidden="false" customHeight="true" outlineLevel="0" collapsed="false">
      <c r="A266" s="135"/>
      <c r="B266" s="182"/>
      <c r="C266" s="135"/>
      <c r="D266" s="135"/>
      <c r="E266" s="182"/>
      <c r="F266" s="135"/>
      <c r="G266" s="135"/>
      <c r="H266" s="135"/>
      <c r="I266" s="135"/>
      <c r="J266" s="135"/>
      <c r="K266" s="135"/>
      <c r="L266" s="135"/>
      <c r="M266" s="135"/>
      <c r="N266" s="135"/>
      <c r="O266" s="135"/>
      <c r="P266" s="135"/>
      <c r="Q266" s="135"/>
      <c r="R266" s="135"/>
      <c r="S266" s="135"/>
    </row>
    <row r="267" customFormat="false" ht="15.75" hidden="false" customHeight="true" outlineLevel="0" collapsed="false">
      <c r="A267" s="135"/>
      <c r="B267" s="182"/>
      <c r="C267" s="135"/>
      <c r="D267" s="135"/>
      <c r="E267" s="182"/>
      <c r="F267" s="135"/>
      <c r="G267" s="135"/>
      <c r="H267" s="135"/>
      <c r="I267" s="135"/>
      <c r="J267" s="135"/>
      <c r="K267" s="135"/>
      <c r="L267" s="135"/>
      <c r="M267" s="135"/>
      <c r="N267" s="135"/>
      <c r="O267" s="135"/>
      <c r="P267" s="135"/>
      <c r="Q267" s="135"/>
      <c r="R267" s="135"/>
      <c r="S267" s="135"/>
    </row>
    <row r="268" customFormat="false" ht="15.75" hidden="false" customHeight="true" outlineLevel="0" collapsed="false">
      <c r="A268" s="135"/>
      <c r="B268" s="182"/>
      <c r="C268" s="135"/>
      <c r="D268" s="135"/>
      <c r="E268" s="182"/>
      <c r="F268" s="135"/>
      <c r="G268" s="135"/>
      <c r="H268" s="135"/>
      <c r="I268" s="135"/>
      <c r="J268" s="135"/>
      <c r="K268" s="135"/>
      <c r="L268" s="135"/>
      <c r="M268" s="135"/>
      <c r="N268" s="135"/>
      <c r="O268" s="135"/>
      <c r="P268" s="135"/>
      <c r="Q268" s="135"/>
      <c r="R268" s="135"/>
      <c r="S268" s="135"/>
    </row>
    <row r="269" customFormat="false" ht="15.75" hidden="false" customHeight="true" outlineLevel="0" collapsed="false">
      <c r="A269" s="135"/>
      <c r="B269" s="182"/>
      <c r="C269" s="135"/>
      <c r="D269" s="135"/>
      <c r="E269" s="182"/>
      <c r="F269" s="135"/>
      <c r="G269" s="135"/>
      <c r="H269" s="135"/>
      <c r="I269" s="135"/>
      <c r="J269" s="135"/>
      <c r="K269" s="135"/>
      <c r="L269" s="135"/>
      <c r="M269" s="135"/>
      <c r="N269" s="135"/>
      <c r="O269" s="135"/>
      <c r="P269" s="135"/>
      <c r="Q269" s="135"/>
      <c r="R269" s="135"/>
      <c r="S269" s="135"/>
    </row>
    <row r="270" customFormat="false" ht="15.75" hidden="false" customHeight="true" outlineLevel="0" collapsed="false">
      <c r="A270" s="135"/>
      <c r="B270" s="182"/>
      <c r="C270" s="135"/>
      <c r="D270" s="135"/>
      <c r="E270" s="182"/>
      <c r="F270" s="135"/>
      <c r="G270" s="135"/>
      <c r="H270" s="135"/>
      <c r="I270" s="135"/>
      <c r="J270" s="135"/>
      <c r="K270" s="135"/>
      <c r="L270" s="135"/>
      <c r="M270" s="135"/>
      <c r="N270" s="135"/>
      <c r="O270" s="135"/>
      <c r="P270" s="135"/>
      <c r="Q270" s="135"/>
      <c r="R270" s="135"/>
      <c r="S270" s="135"/>
    </row>
    <row r="271" customFormat="false" ht="15.75" hidden="false" customHeight="true" outlineLevel="0" collapsed="false">
      <c r="A271" s="135"/>
      <c r="B271" s="182"/>
      <c r="C271" s="135"/>
      <c r="D271" s="135"/>
      <c r="E271" s="182"/>
      <c r="F271" s="135"/>
      <c r="G271" s="135"/>
      <c r="H271" s="135"/>
      <c r="I271" s="135"/>
      <c r="J271" s="135"/>
      <c r="K271" s="135"/>
      <c r="L271" s="135"/>
      <c r="M271" s="135"/>
      <c r="N271" s="135"/>
      <c r="O271" s="135"/>
      <c r="P271" s="135"/>
      <c r="Q271" s="135"/>
      <c r="R271" s="135"/>
      <c r="S271" s="135"/>
    </row>
    <row r="272" customFormat="false" ht="15.75" hidden="false" customHeight="true" outlineLevel="0" collapsed="false">
      <c r="A272" s="135"/>
      <c r="B272" s="182"/>
      <c r="C272" s="135"/>
      <c r="D272" s="135"/>
      <c r="E272" s="182"/>
      <c r="F272" s="135"/>
      <c r="G272" s="135"/>
      <c r="H272" s="135"/>
      <c r="I272" s="135"/>
      <c r="J272" s="135"/>
      <c r="K272" s="135"/>
      <c r="L272" s="135"/>
      <c r="M272" s="135"/>
      <c r="N272" s="135"/>
      <c r="O272" s="135"/>
      <c r="P272" s="135"/>
      <c r="Q272" s="135"/>
      <c r="R272" s="135"/>
      <c r="S272" s="135"/>
    </row>
    <row r="273" customFormat="false" ht="15.75" hidden="false" customHeight="true" outlineLevel="0" collapsed="false">
      <c r="A273" s="135"/>
      <c r="B273" s="182"/>
      <c r="C273" s="135"/>
      <c r="D273" s="135"/>
      <c r="E273" s="182"/>
      <c r="F273" s="135"/>
      <c r="G273" s="135"/>
      <c r="H273" s="135"/>
      <c r="I273" s="135"/>
      <c r="J273" s="135"/>
      <c r="K273" s="135"/>
      <c r="L273" s="135"/>
      <c r="M273" s="135"/>
      <c r="N273" s="135"/>
      <c r="O273" s="135"/>
      <c r="P273" s="135"/>
      <c r="Q273" s="135"/>
      <c r="R273" s="135"/>
      <c r="S273" s="135"/>
    </row>
    <row r="274" customFormat="false" ht="15.75" hidden="false" customHeight="true" outlineLevel="0" collapsed="false">
      <c r="A274" s="135"/>
      <c r="B274" s="182"/>
      <c r="C274" s="135"/>
      <c r="D274" s="135"/>
      <c r="E274" s="182"/>
      <c r="F274" s="135"/>
      <c r="G274" s="135"/>
      <c r="H274" s="135"/>
      <c r="I274" s="135"/>
      <c r="J274" s="135"/>
      <c r="K274" s="135"/>
      <c r="L274" s="135"/>
      <c r="M274" s="135"/>
      <c r="N274" s="135"/>
      <c r="O274" s="135"/>
      <c r="P274" s="135"/>
      <c r="Q274" s="135"/>
      <c r="R274" s="135"/>
      <c r="S274" s="135"/>
    </row>
    <row r="275" customFormat="false" ht="15.75" hidden="false" customHeight="true" outlineLevel="0" collapsed="false">
      <c r="A275" s="135"/>
      <c r="B275" s="182"/>
      <c r="C275" s="135"/>
      <c r="D275" s="135"/>
      <c r="E275" s="182"/>
      <c r="F275" s="135"/>
      <c r="G275" s="135"/>
      <c r="H275" s="135"/>
      <c r="I275" s="135"/>
      <c r="J275" s="135"/>
      <c r="K275" s="135"/>
      <c r="L275" s="135"/>
      <c r="M275" s="135"/>
      <c r="N275" s="135"/>
      <c r="O275" s="135"/>
      <c r="P275" s="135"/>
      <c r="Q275" s="135"/>
      <c r="R275" s="135"/>
      <c r="S275" s="135"/>
    </row>
    <row r="276" customFormat="false" ht="15.75" hidden="false" customHeight="true" outlineLevel="0" collapsed="false">
      <c r="A276" s="135"/>
      <c r="B276" s="182"/>
      <c r="C276" s="135"/>
      <c r="D276" s="135"/>
      <c r="E276" s="182"/>
      <c r="F276" s="135"/>
      <c r="G276" s="135"/>
      <c r="H276" s="135"/>
      <c r="I276" s="135"/>
      <c r="J276" s="135"/>
      <c r="K276" s="135"/>
      <c r="L276" s="135"/>
      <c r="M276" s="135"/>
      <c r="N276" s="135"/>
      <c r="O276" s="135"/>
      <c r="P276" s="135"/>
      <c r="Q276" s="135"/>
      <c r="R276" s="135"/>
      <c r="S276" s="135"/>
    </row>
    <row r="277" customFormat="false" ht="15.75" hidden="false" customHeight="true" outlineLevel="0" collapsed="false">
      <c r="A277" s="135"/>
      <c r="B277" s="182"/>
      <c r="C277" s="135"/>
      <c r="D277" s="135"/>
      <c r="E277" s="182"/>
      <c r="F277" s="135"/>
      <c r="G277" s="135"/>
      <c r="H277" s="135"/>
      <c r="I277" s="135"/>
      <c r="J277" s="135"/>
      <c r="K277" s="135"/>
      <c r="L277" s="135"/>
      <c r="M277" s="135"/>
      <c r="N277" s="135"/>
      <c r="O277" s="135"/>
      <c r="P277" s="135"/>
      <c r="Q277" s="135"/>
      <c r="R277" s="135"/>
      <c r="S277" s="135"/>
    </row>
    <row r="278" customFormat="false" ht="15.75" hidden="false" customHeight="true" outlineLevel="0" collapsed="false">
      <c r="A278" s="135"/>
      <c r="B278" s="182"/>
      <c r="C278" s="135"/>
      <c r="D278" s="135"/>
      <c r="E278" s="182"/>
      <c r="F278" s="135"/>
      <c r="G278" s="135"/>
      <c r="H278" s="135"/>
      <c r="I278" s="135"/>
      <c r="J278" s="135"/>
      <c r="K278" s="135"/>
      <c r="L278" s="135"/>
      <c r="M278" s="135"/>
      <c r="N278" s="135"/>
      <c r="O278" s="135"/>
      <c r="P278" s="135"/>
      <c r="Q278" s="135"/>
      <c r="R278" s="135"/>
      <c r="S278" s="135"/>
    </row>
    <row r="279" customFormat="false" ht="15.75" hidden="false" customHeight="true" outlineLevel="0" collapsed="false">
      <c r="A279" s="135"/>
      <c r="B279" s="182"/>
      <c r="C279" s="135"/>
      <c r="D279" s="135"/>
      <c r="E279" s="182"/>
      <c r="F279" s="135"/>
      <c r="G279" s="135"/>
      <c r="H279" s="135"/>
      <c r="I279" s="135"/>
      <c r="J279" s="135"/>
      <c r="K279" s="135"/>
      <c r="L279" s="135"/>
      <c r="M279" s="135"/>
      <c r="N279" s="135"/>
      <c r="O279" s="135"/>
      <c r="P279" s="135"/>
      <c r="Q279" s="135"/>
      <c r="R279" s="135"/>
      <c r="S279" s="135"/>
    </row>
    <row r="280" customFormat="false" ht="15.75" hidden="false" customHeight="true" outlineLevel="0" collapsed="false">
      <c r="A280" s="135"/>
      <c r="B280" s="182"/>
      <c r="C280" s="135"/>
      <c r="D280" s="135"/>
      <c r="E280" s="182"/>
      <c r="F280" s="135"/>
      <c r="G280" s="135"/>
      <c r="H280" s="135"/>
      <c r="I280" s="135"/>
      <c r="J280" s="135"/>
      <c r="K280" s="135"/>
      <c r="L280" s="135"/>
      <c r="M280" s="135"/>
      <c r="N280" s="135"/>
      <c r="O280" s="135"/>
      <c r="P280" s="135"/>
      <c r="Q280" s="135"/>
      <c r="R280" s="135"/>
      <c r="S280" s="135"/>
    </row>
    <row r="281" customFormat="false" ht="15.75" hidden="false" customHeight="true" outlineLevel="0" collapsed="false">
      <c r="A281" s="135"/>
      <c r="B281" s="182"/>
      <c r="C281" s="135"/>
      <c r="D281" s="135"/>
      <c r="E281" s="182"/>
      <c r="F281" s="135"/>
      <c r="G281" s="135"/>
      <c r="H281" s="135"/>
      <c r="I281" s="135"/>
      <c r="J281" s="135"/>
      <c r="K281" s="135"/>
      <c r="L281" s="135"/>
      <c r="M281" s="135"/>
      <c r="N281" s="135"/>
      <c r="O281" s="135"/>
      <c r="P281" s="135"/>
      <c r="Q281" s="135"/>
      <c r="R281" s="135"/>
      <c r="S281" s="135"/>
    </row>
    <row r="282" customFormat="false" ht="15.75" hidden="false" customHeight="true" outlineLevel="0" collapsed="false">
      <c r="A282" s="135"/>
      <c r="B282" s="182"/>
      <c r="C282" s="135"/>
      <c r="D282" s="135"/>
      <c r="E282" s="182"/>
      <c r="F282" s="135"/>
      <c r="G282" s="135"/>
      <c r="H282" s="135"/>
      <c r="I282" s="135"/>
      <c r="J282" s="135"/>
      <c r="K282" s="135"/>
      <c r="L282" s="135"/>
      <c r="M282" s="135"/>
      <c r="N282" s="135"/>
      <c r="O282" s="135"/>
      <c r="P282" s="135"/>
      <c r="Q282" s="135"/>
      <c r="R282" s="135"/>
      <c r="S282" s="135"/>
    </row>
    <row r="283" customFormat="false" ht="15.75" hidden="false" customHeight="true" outlineLevel="0" collapsed="false">
      <c r="A283" s="135"/>
      <c r="B283" s="182"/>
      <c r="C283" s="135"/>
      <c r="D283" s="135"/>
      <c r="E283" s="182"/>
      <c r="F283" s="135"/>
      <c r="G283" s="135"/>
      <c r="H283" s="135"/>
      <c r="I283" s="135"/>
      <c r="J283" s="135"/>
      <c r="K283" s="135"/>
      <c r="L283" s="135"/>
      <c r="M283" s="135"/>
      <c r="N283" s="135"/>
      <c r="O283" s="135"/>
      <c r="P283" s="135"/>
      <c r="Q283" s="135"/>
      <c r="R283" s="135"/>
      <c r="S283" s="135"/>
    </row>
    <row r="284" customFormat="false" ht="15.75" hidden="false" customHeight="true" outlineLevel="0" collapsed="false">
      <c r="A284" s="135"/>
      <c r="B284" s="182"/>
      <c r="C284" s="135"/>
      <c r="D284" s="135"/>
      <c r="E284" s="182"/>
      <c r="F284" s="135"/>
      <c r="G284" s="135"/>
      <c r="H284" s="135"/>
      <c r="I284" s="135"/>
      <c r="J284" s="135"/>
      <c r="K284" s="135"/>
      <c r="L284" s="135"/>
      <c r="M284" s="135"/>
      <c r="N284" s="135"/>
      <c r="O284" s="135"/>
      <c r="P284" s="135"/>
      <c r="Q284" s="135"/>
      <c r="R284" s="135"/>
      <c r="S284" s="135"/>
    </row>
    <row r="285" customFormat="false" ht="15.75" hidden="false" customHeight="true" outlineLevel="0" collapsed="false">
      <c r="A285" s="135"/>
      <c r="B285" s="182"/>
      <c r="C285" s="135"/>
      <c r="D285" s="135"/>
      <c r="E285" s="182"/>
      <c r="F285" s="135"/>
      <c r="G285" s="135"/>
      <c r="H285" s="135"/>
      <c r="I285" s="135"/>
      <c r="J285" s="135"/>
      <c r="K285" s="135"/>
      <c r="L285" s="135"/>
      <c r="M285" s="135"/>
      <c r="N285" s="135"/>
      <c r="O285" s="135"/>
      <c r="P285" s="135"/>
      <c r="Q285" s="135"/>
      <c r="R285" s="135"/>
      <c r="S285" s="135"/>
    </row>
    <row r="286" customFormat="false" ht="15.75" hidden="false" customHeight="true" outlineLevel="0" collapsed="false">
      <c r="A286" s="135"/>
      <c r="B286" s="182"/>
      <c r="C286" s="135"/>
      <c r="D286" s="135"/>
      <c r="E286" s="182"/>
      <c r="F286" s="135"/>
      <c r="G286" s="135"/>
      <c r="H286" s="135"/>
      <c r="I286" s="135"/>
      <c r="J286" s="135"/>
      <c r="K286" s="135"/>
      <c r="L286" s="135"/>
      <c r="M286" s="135"/>
      <c r="N286" s="135"/>
      <c r="O286" s="135"/>
      <c r="P286" s="135"/>
      <c r="Q286" s="135"/>
      <c r="R286" s="135"/>
      <c r="S286" s="135"/>
    </row>
    <row r="287" customFormat="false" ht="15.75" hidden="false" customHeight="true" outlineLevel="0" collapsed="false">
      <c r="A287" s="135"/>
      <c r="B287" s="182"/>
      <c r="C287" s="135"/>
      <c r="D287" s="135"/>
      <c r="E287" s="182"/>
      <c r="F287" s="135"/>
      <c r="G287" s="135"/>
      <c r="H287" s="135"/>
      <c r="I287" s="135"/>
      <c r="J287" s="135"/>
      <c r="K287" s="135"/>
      <c r="L287" s="135"/>
      <c r="M287" s="135"/>
      <c r="N287" s="135"/>
      <c r="O287" s="135"/>
      <c r="P287" s="135"/>
      <c r="Q287" s="135"/>
      <c r="R287" s="135"/>
      <c r="S287" s="135"/>
    </row>
    <row r="288" customFormat="false" ht="15.75" hidden="false" customHeight="true" outlineLevel="0" collapsed="false">
      <c r="A288" s="135"/>
      <c r="B288" s="182"/>
      <c r="C288" s="135"/>
      <c r="D288" s="135"/>
      <c r="E288" s="182"/>
      <c r="F288" s="135"/>
      <c r="G288" s="135"/>
      <c r="H288" s="135"/>
      <c r="I288" s="135"/>
      <c r="J288" s="135"/>
      <c r="K288" s="135"/>
      <c r="L288" s="135"/>
      <c r="M288" s="135"/>
      <c r="N288" s="135"/>
      <c r="O288" s="135"/>
      <c r="P288" s="135"/>
      <c r="Q288" s="135"/>
      <c r="R288" s="135"/>
      <c r="S288" s="135"/>
    </row>
    <row r="289" customFormat="false" ht="15.75" hidden="false" customHeight="true" outlineLevel="0" collapsed="false">
      <c r="A289" s="135"/>
      <c r="B289" s="182"/>
      <c r="C289" s="135"/>
      <c r="D289" s="135"/>
      <c r="E289" s="182"/>
      <c r="F289" s="135"/>
      <c r="G289" s="135"/>
      <c r="H289" s="135"/>
      <c r="I289" s="135"/>
      <c r="J289" s="135"/>
      <c r="K289" s="135"/>
      <c r="L289" s="135"/>
      <c r="M289" s="135"/>
      <c r="N289" s="135"/>
      <c r="O289" s="135"/>
      <c r="P289" s="135"/>
      <c r="Q289" s="135"/>
      <c r="R289" s="135"/>
      <c r="S289" s="135"/>
    </row>
    <row r="290" customFormat="false" ht="15.75" hidden="false" customHeight="true" outlineLevel="0" collapsed="false">
      <c r="A290" s="135"/>
      <c r="B290" s="182"/>
      <c r="C290" s="135"/>
      <c r="D290" s="135"/>
      <c r="E290" s="182"/>
      <c r="F290" s="135"/>
      <c r="G290" s="135"/>
      <c r="H290" s="135"/>
      <c r="I290" s="135"/>
      <c r="J290" s="135"/>
      <c r="K290" s="135"/>
      <c r="L290" s="135"/>
      <c r="M290" s="135"/>
      <c r="N290" s="135"/>
      <c r="O290" s="135"/>
      <c r="P290" s="135"/>
      <c r="Q290" s="135"/>
      <c r="R290" s="135"/>
      <c r="S290" s="135"/>
    </row>
    <row r="291" customFormat="false" ht="15.75" hidden="false" customHeight="true" outlineLevel="0" collapsed="false">
      <c r="A291" s="135"/>
      <c r="B291" s="182"/>
      <c r="C291" s="135"/>
      <c r="D291" s="135"/>
      <c r="E291" s="182"/>
      <c r="F291" s="135"/>
      <c r="G291" s="135"/>
      <c r="H291" s="135"/>
      <c r="I291" s="135"/>
      <c r="J291" s="135"/>
      <c r="K291" s="135"/>
      <c r="L291" s="135"/>
      <c r="M291" s="135"/>
      <c r="N291" s="135"/>
      <c r="O291" s="135"/>
      <c r="P291" s="135"/>
      <c r="Q291" s="135"/>
      <c r="R291" s="135"/>
      <c r="S291" s="135"/>
    </row>
    <row r="292" customFormat="false" ht="15.75" hidden="false" customHeight="true" outlineLevel="0" collapsed="false">
      <c r="A292" s="135"/>
      <c r="B292" s="182"/>
      <c r="C292" s="135"/>
      <c r="D292" s="135"/>
      <c r="E292" s="182"/>
      <c r="F292" s="135"/>
      <c r="G292" s="135"/>
      <c r="H292" s="135"/>
      <c r="I292" s="135"/>
      <c r="J292" s="135"/>
      <c r="K292" s="135"/>
      <c r="L292" s="135"/>
      <c r="M292" s="135"/>
      <c r="N292" s="135"/>
      <c r="O292" s="135"/>
      <c r="P292" s="135"/>
      <c r="Q292" s="135"/>
      <c r="R292" s="135"/>
      <c r="S292" s="135"/>
    </row>
    <row r="293" customFormat="false" ht="15.75" hidden="false" customHeight="true" outlineLevel="0" collapsed="false">
      <c r="A293" s="135"/>
      <c r="B293" s="182"/>
      <c r="C293" s="135"/>
      <c r="D293" s="135"/>
      <c r="E293" s="182"/>
      <c r="F293" s="135"/>
      <c r="G293" s="135"/>
      <c r="H293" s="135"/>
      <c r="I293" s="135"/>
      <c r="J293" s="135"/>
      <c r="K293" s="135"/>
      <c r="L293" s="135"/>
      <c r="M293" s="135"/>
      <c r="N293" s="135"/>
      <c r="O293" s="135"/>
      <c r="P293" s="135"/>
      <c r="Q293" s="135"/>
      <c r="R293" s="135"/>
      <c r="S293" s="135"/>
    </row>
    <row r="294" customFormat="false" ht="15.75" hidden="false" customHeight="true" outlineLevel="0" collapsed="false">
      <c r="A294" s="135"/>
      <c r="B294" s="182"/>
      <c r="C294" s="135"/>
      <c r="D294" s="135"/>
      <c r="E294" s="182"/>
      <c r="F294" s="135"/>
      <c r="G294" s="135"/>
      <c r="H294" s="135"/>
      <c r="I294" s="135"/>
      <c r="J294" s="135"/>
      <c r="K294" s="135"/>
      <c r="L294" s="135"/>
      <c r="M294" s="135"/>
      <c r="N294" s="135"/>
      <c r="O294" s="135"/>
      <c r="P294" s="135"/>
      <c r="Q294" s="135"/>
      <c r="R294" s="135"/>
      <c r="S294" s="135"/>
    </row>
    <row r="295" customFormat="false" ht="15.75" hidden="false" customHeight="true" outlineLevel="0" collapsed="false">
      <c r="A295" s="135"/>
      <c r="B295" s="182"/>
      <c r="C295" s="135"/>
      <c r="D295" s="135"/>
      <c r="E295" s="182"/>
      <c r="F295" s="135"/>
      <c r="G295" s="135"/>
      <c r="H295" s="135"/>
      <c r="I295" s="135"/>
      <c r="J295" s="135"/>
      <c r="K295" s="135"/>
      <c r="L295" s="135"/>
      <c r="M295" s="135"/>
      <c r="N295" s="135"/>
      <c r="O295" s="135"/>
      <c r="P295" s="135"/>
      <c r="Q295" s="135"/>
      <c r="R295" s="135"/>
      <c r="S295" s="135"/>
    </row>
    <row r="296" customFormat="false" ht="15.75" hidden="false" customHeight="true" outlineLevel="0" collapsed="false">
      <c r="A296" s="135"/>
      <c r="B296" s="182"/>
      <c r="C296" s="135"/>
      <c r="D296" s="135"/>
      <c r="E296" s="182"/>
      <c r="F296" s="135"/>
      <c r="G296" s="135"/>
      <c r="H296" s="135"/>
      <c r="I296" s="135"/>
      <c r="J296" s="135"/>
      <c r="K296" s="135"/>
      <c r="L296" s="135"/>
      <c r="M296" s="135"/>
      <c r="N296" s="135"/>
      <c r="O296" s="135"/>
      <c r="P296" s="135"/>
      <c r="Q296" s="135"/>
      <c r="R296" s="135"/>
      <c r="S296" s="135"/>
    </row>
    <row r="297" customFormat="false" ht="15.75" hidden="false" customHeight="true" outlineLevel="0" collapsed="false">
      <c r="A297" s="135"/>
      <c r="B297" s="182"/>
      <c r="C297" s="135"/>
      <c r="D297" s="135"/>
      <c r="E297" s="182"/>
      <c r="F297" s="135"/>
      <c r="G297" s="135"/>
      <c r="H297" s="135"/>
      <c r="I297" s="135"/>
      <c r="J297" s="135"/>
      <c r="K297" s="135"/>
      <c r="L297" s="135"/>
      <c r="M297" s="135"/>
      <c r="N297" s="135"/>
      <c r="O297" s="135"/>
      <c r="P297" s="135"/>
      <c r="Q297" s="135"/>
      <c r="R297" s="135"/>
      <c r="S297" s="135"/>
    </row>
    <row r="298" customFormat="false" ht="15.75" hidden="false" customHeight="true" outlineLevel="0" collapsed="false">
      <c r="A298" s="135"/>
      <c r="B298" s="182"/>
      <c r="C298" s="135"/>
      <c r="D298" s="135"/>
      <c r="E298" s="182"/>
      <c r="F298" s="135"/>
      <c r="G298" s="135"/>
      <c r="H298" s="135"/>
      <c r="I298" s="135"/>
      <c r="J298" s="135"/>
      <c r="K298" s="135"/>
      <c r="L298" s="135"/>
      <c r="M298" s="135"/>
      <c r="N298" s="135"/>
      <c r="O298" s="135"/>
      <c r="P298" s="135"/>
      <c r="Q298" s="135"/>
      <c r="R298" s="135"/>
      <c r="S298" s="135"/>
    </row>
    <row r="299" customFormat="false" ht="15.75" hidden="false" customHeight="true" outlineLevel="0" collapsed="false">
      <c r="A299" s="135"/>
      <c r="B299" s="182"/>
      <c r="C299" s="135"/>
      <c r="D299" s="135"/>
      <c r="E299" s="182"/>
      <c r="F299" s="135"/>
      <c r="G299" s="135"/>
      <c r="H299" s="135"/>
      <c r="I299" s="135"/>
      <c r="J299" s="135"/>
      <c r="K299" s="135"/>
      <c r="L299" s="135"/>
      <c r="M299" s="135"/>
      <c r="N299" s="135"/>
      <c r="O299" s="135"/>
      <c r="P299" s="135"/>
      <c r="Q299" s="135"/>
      <c r="R299" s="135"/>
      <c r="S299" s="135"/>
    </row>
    <row r="300" customFormat="false" ht="15.75" hidden="false" customHeight="true" outlineLevel="0" collapsed="false">
      <c r="A300" s="135"/>
      <c r="B300" s="182"/>
      <c r="C300" s="135"/>
      <c r="D300" s="135"/>
      <c r="E300" s="182"/>
      <c r="F300" s="135"/>
      <c r="G300" s="135"/>
      <c r="H300" s="135"/>
      <c r="I300" s="135"/>
      <c r="J300" s="135"/>
      <c r="K300" s="135"/>
      <c r="L300" s="135"/>
      <c r="M300" s="135"/>
      <c r="N300" s="135"/>
      <c r="O300" s="135"/>
      <c r="P300" s="135"/>
      <c r="Q300" s="135"/>
      <c r="R300" s="135"/>
      <c r="S300" s="135"/>
    </row>
    <row r="301" customFormat="false" ht="15.75" hidden="false" customHeight="true" outlineLevel="0" collapsed="false">
      <c r="A301" s="135"/>
      <c r="B301" s="182"/>
      <c r="C301" s="135"/>
      <c r="D301" s="135"/>
      <c r="E301" s="182"/>
      <c r="F301" s="135"/>
      <c r="G301" s="135"/>
      <c r="H301" s="135"/>
      <c r="I301" s="135"/>
      <c r="J301" s="135"/>
      <c r="K301" s="135"/>
      <c r="L301" s="135"/>
      <c r="M301" s="135"/>
      <c r="N301" s="135"/>
      <c r="O301" s="135"/>
      <c r="P301" s="135"/>
      <c r="Q301" s="135"/>
      <c r="R301" s="135"/>
      <c r="S301" s="135"/>
    </row>
    <row r="302" customFormat="false" ht="15.75" hidden="false" customHeight="true" outlineLevel="0" collapsed="false">
      <c r="A302" s="135"/>
      <c r="B302" s="182"/>
      <c r="C302" s="135"/>
      <c r="D302" s="135"/>
      <c r="E302" s="182"/>
      <c r="F302" s="135"/>
      <c r="G302" s="135"/>
      <c r="H302" s="135"/>
      <c r="I302" s="135"/>
      <c r="J302" s="135"/>
      <c r="K302" s="135"/>
      <c r="L302" s="135"/>
      <c r="M302" s="135"/>
      <c r="N302" s="135"/>
      <c r="O302" s="135"/>
      <c r="P302" s="135"/>
      <c r="Q302" s="135"/>
      <c r="R302" s="135"/>
      <c r="S302" s="135"/>
    </row>
    <row r="303" customFormat="false" ht="15.75" hidden="false" customHeight="true" outlineLevel="0" collapsed="false">
      <c r="A303" s="135"/>
      <c r="B303" s="182"/>
      <c r="C303" s="135"/>
      <c r="D303" s="135"/>
      <c r="E303" s="182"/>
      <c r="F303" s="135"/>
      <c r="G303" s="135"/>
      <c r="H303" s="135"/>
      <c r="I303" s="135"/>
      <c r="J303" s="135"/>
      <c r="K303" s="135"/>
      <c r="L303" s="135"/>
      <c r="M303" s="135"/>
      <c r="N303" s="135"/>
      <c r="O303" s="135"/>
      <c r="P303" s="135"/>
      <c r="Q303" s="135"/>
      <c r="R303" s="135"/>
      <c r="S303" s="135"/>
    </row>
    <row r="304" customFormat="false" ht="15.75" hidden="false" customHeight="true" outlineLevel="0" collapsed="false">
      <c r="A304" s="135"/>
      <c r="B304" s="182"/>
      <c r="C304" s="135"/>
      <c r="D304" s="135"/>
      <c r="E304" s="182"/>
      <c r="F304" s="135"/>
      <c r="G304" s="135"/>
      <c r="H304" s="135"/>
      <c r="I304" s="135"/>
      <c r="J304" s="135"/>
      <c r="K304" s="135"/>
      <c r="L304" s="135"/>
      <c r="M304" s="135"/>
      <c r="N304" s="135"/>
      <c r="O304" s="135"/>
      <c r="P304" s="135"/>
      <c r="Q304" s="135"/>
      <c r="R304" s="135"/>
      <c r="S304" s="135"/>
    </row>
    <row r="305" customFormat="false" ht="15.75" hidden="false" customHeight="true" outlineLevel="0" collapsed="false">
      <c r="A305" s="135"/>
      <c r="B305" s="182"/>
      <c r="C305" s="135"/>
      <c r="D305" s="135"/>
      <c r="E305" s="182"/>
      <c r="F305" s="135"/>
      <c r="G305" s="135"/>
      <c r="H305" s="135"/>
      <c r="I305" s="135"/>
      <c r="J305" s="135"/>
      <c r="K305" s="135"/>
      <c r="L305" s="135"/>
      <c r="M305" s="135"/>
      <c r="N305" s="135"/>
      <c r="O305" s="135"/>
      <c r="P305" s="135"/>
      <c r="Q305" s="135"/>
      <c r="R305" s="135"/>
      <c r="S305" s="135"/>
    </row>
    <row r="306" customFormat="false" ht="15.75" hidden="false" customHeight="true" outlineLevel="0" collapsed="false">
      <c r="A306" s="135"/>
      <c r="B306" s="182"/>
      <c r="C306" s="135"/>
      <c r="D306" s="135"/>
      <c r="E306" s="182"/>
      <c r="F306" s="135"/>
      <c r="G306" s="135"/>
      <c r="H306" s="135"/>
      <c r="I306" s="135"/>
      <c r="J306" s="135"/>
      <c r="K306" s="135"/>
      <c r="L306" s="135"/>
      <c r="M306" s="135"/>
      <c r="N306" s="135"/>
      <c r="O306" s="135"/>
      <c r="P306" s="135"/>
      <c r="Q306" s="135"/>
      <c r="R306" s="135"/>
      <c r="S306" s="135"/>
    </row>
    <row r="307" customFormat="false" ht="15.75" hidden="false" customHeight="true" outlineLevel="0" collapsed="false">
      <c r="A307" s="135"/>
      <c r="B307" s="182"/>
      <c r="C307" s="135"/>
      <c r="D307" s="135"/>
      <c r="E307" s="182"/>
      <c r="F307" s="135"/>
      <c r="G307" s="135"/>
      <c r="H307" s="135"/>
      <c r="I307" s="135"/>
      <c r="J307" s="135"/>
      <c r="K307" s="135"/>
      <c r="L307" s="135"/>
      <c r="M307" s="135"/>
      <c r="N307" s="135"/>
      <c r="O307" s="135"/>
      <c r="P307" s="135"/>
      <c r="Q307" s="135"/>
      <c r="R307" s="135"/>
      <c r="S307" s="135"/>
    </row>
    <row r="308" customFormat="false" ht="15.75" hidden="false" customHeight="true" outlineLevel="0" collapsed="false">
      <c r="A308" s="135"/>
      <c r="B308" s="182"/>
      <c r="C308" s="135"/>
      <c r="D308" s="135"/>
      <c r="E308" s="182"/>
      <c r="F308" s="135"/>
      <c r="G308" s="135"/>
      <c r="H308" s="135"/>
      <c r="I308" s="135"/>
      <c r="J308" s="135"/>
      <c r="K308" s="135"/>
      <c r="L308" s="135"/>
      <c r="M308" s="135"/>
      <c r="N308" s="135"/>
      <c r="O308" s="135"/>
      <c r="P308" s="135"/>
      <c r="Q308" s="135"/>
      <c r="R308" s="135"/>
      <c r="S308" s="135"/>
    </row>
    <row r="309" customFormat="false" ht="15.75" hidden="false" customHeight="true" outlineLevel="0" collapsed="false">
      <c r="A309" s="135"/>
      <c r="B309" s="182"/>
      <c r="C309" s="135"/>
      <c r="D309" s="135"/>
      <c r="E309" s="182"/>
      <c r="F309" s="135"/>
      <c r="G309" s="135"/>
      <c r="H309" s="135"/>
      <c r="I309" s="135"/>
      <c r="J309" s="135"/>
      <c r="K309" s="135"/>
      <c r="L309" s="135"/>
      <c r="M309" s="135"/>
      <c r="N309" s="135"/>
      <c r="O309" s="135"/>
      <c r="P309" s="135"/>
      <c r="Q309" s="135"/>
      <c r="R309" s="135"/>
      <c r="S309" s="135"/>
    </row>
    <row r="310" customFormat="false" ht="15.75" hidden="false" customHeight="true" outlineLevel="0" collapsed="false">
      <c r="A310" s="135"/>
      <c r="B310" s="182"/>
      <c r="C310" s="135"/>
      <c r="D310" s="135"/>
      <c r="E310" s="182"/>
      <c r="F310" s="135"/>
      <c r="G310" s="135"/>
      <c r="H310" s="135"/>
      <c r="I310" s="135"/>
      <c r="J310" s="135"/>
      <c r="K310" s="135"/>
      <c r="L310" s="135"/>
      <c r="M310" s="135"/>
      <c r="N310" s="135"/>
      <c r="O310" s="135"/>
      <c r="P310" s="135"/>
      <c r="Q310" s="135"/>
      <c r="R310" s="135"/>
      <c r="S310" s="135"/>
    </row>
    <row r="311" customFormat="false" ht="15.75" hidden="false" customHeight="true" outlineLevel="0" collapsed="false">
      <c r="A311" s="135"/>
      <c r="B311" s="182"/>
      <c r="C311" s="135"/>
      <c r="D311" s="135"/>
      <c r="E311" s="182"/>
      <c r="F311" s="135"/>
      <c r="G311" s="135"/>
      <c r="H311" s="135"/>
      <c r="I311" s="135"/>
      <c r="J311" s="135"/>
      <c r="K311" s="135"/>
      <c r="L311" s="135"/>
      <c r="M311" s="135"/>
      <c r="N311" s="135"/>
      <c r="O311" s="135"/>
      <c r="P311" s="135"/>
      <c r="Q311" s="135"/>
      <c r="R311" s="135"/>
      <c r="S311" s="135"/>
    </row>
    <row r="312" customFormat="false" ht="15.75" hidden="false" customHeight="true" outlineLevel="0" collapsed="false">
      <c r="A312" s="135"/>
      <c r="B312" s="182"/>
      <c r="C312" s="135"/>
      <c r="D312" s="135"/>
      <c r="E312" s="182"/>
      <c r="F312" s="135"/>
      <c r="G312" s="135"/>
      <c r="H312" s="135"/>
      <c r="I312" s="135"/>
      <c r="J312" s="135"/>
      <c r="K312" s="135"/>
      <c r="L312" s="135"/>
      <c r="M312" s="135"/>
      <c r="N312" s="135"/>
      <c r="O312" s="135"/>
      <c r="P312" s="135"/>
      <c r="Q312" s="135"/>
      <c r="R312" s="135"/>
      <c r="S312" s="135"/>
    </row>
    <row r="313" customFormat="false" ht="15.75" hidden="false" customHeight="true" outlineLevel="0" collapsed="false">
      <c r="A313" s="135"/>
      <c r="B313" s="182"/>
      <c r="C313" s="135"/>
      <c r="D313" s="135"/>
      <c r="E313" s="182"/>
      <c r="F313" s="135"/>
      <c r="G313" s="135"/>
      <c r="H313" s="135"/>
      <c r="I313" s="135"/>
      <c r="J313" s="135"/>
      <c r="K313" s="135"/>
      <c r="L313" s="135"/>
      <c r="M313" s="135"/>
      <c r="N313" s="135"/>
      <c r="O313" s="135"/>
      <c r="P313" s="135"/>
      <c r="Q313" s="135"/>
      <c r="R313" s="135"/>
      <c r="S313" s="135"/>
    </row>
    <row r="314" customFormat="false" ht="15.75" hidden="false" customHeight="true" outlineLevel="0" collapsed="false">
      <c r="A314" s="135"/>
      <c r="B314" s="182"/>
      <c r="C314" s="135"/>
      <c r="D314" s="135"/>
      <c r="E314" s="182"/>
      <c r="F314" s="135"/>
      <c r="G314" s="135"/>
      <c r="H314" s="135"/>
      <c r="I314" s="135"/>
      <c r="J314" s="135"/>
      <c r="K314" s="135"/>
      <c r="L314" s="135"/>
      <c r="M314" s="135"/>
      <c r="N314" s="135"/>
      <c r="O314" s="135"/>
      <c r="P314" s="135"/>
      <c r="Q314" s="135"/>
      <c r="R314" s="135"/>
      <c r="S314" s="135"/>
    </row>
    <row r="315" customFormat="false" ht="15.75" hidden="false" customHeight="true" outlineLevel="0" collapsed="false">
      <c r="A315" s="135"/>
      <c r="B315" s="182"/>
      <c r="C315" s="135"/>
      <c r="D315" s="135"/>
      <c r="E315" s="182"/>
      <c r="F315" s="135"/>
      <c r="G315" s="135"/>
      <c r="H315" s="135"/>
      <c r="I315" s="135"/>
      <c r="J315" s="135"/>
      <c r="K315" s="135"/>
      <c r="L315" s="135"/>
      <c r="M315" s="135"/>
      <c r="N315" s="135"/>
      <c r="O315" s="135"/>
      <c r="P315" s="135"/>
      <c r="Q315" s="135"/>
      <c r="R315" s="135"/>
      <c r="S315" s="135"/>
    </row>
    <row r="316" customFormat="false" ht="15.75" hidden="false" customHeight="true" outlineLevel="0" collapsed="false">
      <c r="A316" s="135"/>
      <c r="B316" s="182"/>
      <c r="C316" s="135"/>
      <c r="D316" s="135"/>
      <c r="E316" s="182"/>
      <c r="F316" s="135"/>
      <c r="G316" s="135"/>
      <c r="H316" s="135"/>
      <c r="I316" s="135"/>
      <c r="J316" s="135"/>
      <c r="K316" s="135"/>
      <c r="L316" s="135"/>
      <c r="M316" s="135"/>
      <c r="N316" s="135"/>
      <c r="O316" s="135"/>
      <c r="P316" s="135"/>
      <c r="Q316" s="135"/>
      <c r="R316" s="135"/>
      <c r="S316" s="135"/>
    </row>
    <row r="317" customFormat="false" ht="15.75" hidden="false" customHeight="true" outlineLevel="0" collapsed="false">
      <c r="A317" s="135"/>
      <c r="B317" s="182"/>
      <c r="C317" s="135"/>
      <c r="D317" s="135"/>
      <c r="E317" s="182"/>
      <c r="F317" s="135"/>
      <c r="G317" s="135"/>
      <c r="H317" s="135"/>
      <c r="I317" s="135"/>
      <c r="J317" s="135"/>
      <c r="K317" s="135"/>
      <c r="L317" s="135"/>
      <c r="M317" s="135"/>
      <c r="N317" s="135"/>
      <c r="O317" s="135"/>
      <c r="P317" s="135"/>
      <c r="Q317" s="135"/>
      <c r="R317" s="135"/>
      <c r="S317" s="135"/>
    </row>
    <row r="318" customFormat="false" ht="15.75" hidden="false" customHeight="true" outlineLevel="0" collapsed="false">
      <c r="A318" s="135"/>
      <c r="B318" s="182"/>
      <c r="C318" s="135"/>
      <c r="D318" s="135"/>
      <c r="E318" s="182"/>
      <c r="F318" s="135"/>
      <c r="G318" s="135"/>
      <c r="H318" s="135"/>
      <c r="I318" s="135"/>
      <c r="J318" s="135"/>
      <c r="K318" s="135"/>
      <c r="L318" s="135"/>
      <c r="M318" s="135"/>
      <c r="N318" s="135"/>
      <c r="O318" s="135"/>
      <c r="P318" s="135"/>
      <c r="Q318" s="135"/>
      <c r="R318" s="135"/>
      <c r="S318" s="135"/>
    </row>
    <row r="319" customFormat="false" ht="15.75" hidden="false" customHeight="true" outlineLevel="0" collapsed="false">
      <c r="A319" s="135"/>
      <c r="B319" s="182"/>
      <c r="C319" s="135"/>
      <c r="D319" s="135"/>
      <c r="E319" s="182"/>
      <c r="F319" s="135"/>
      <c r="G319" s="135"/>
      <c r="H319" s="135"/>
      <c r="I319" s="135"/>
      <c r="J319" s="135"/>
      <c r="K319" s="135"/>
      <c r="L319" s="135"/>
      <c r="M319" s="135"/>
      <c r="N319" s="135"/>
      <c r="O319" s="135"/>
      <c r="P319" s="135"/>
      <c r="Q319" s="135"/>
      <c r="R319" s="135"/>
      <c r="S319" s="135"/>
    </row>
    <row r="320" customFormat="false" ht="15.75" hidden="false" customHeight="true" outlineLevel="0" collapsed="false">
      <c r="A320" s="135"/>
      <c r="B320" s="182"/>
      <c r="C320" s="135"/>
      <c r="D320" s="135"/>
      <c r="E320" s="182"/>
      <c r="F320" s="135"/>
      <c r="G320" s="135"/>
      <c r="H320" s="135"/>
      <c r="I320" s="135"/>
      <c r="J320" s="135"/>
      <c r="K320" s="135"/>
      <c r="L320" s="135"/>
      <c r="M320" s="135"/>
      <c r="N320" s="135"/>
      <c r="O320" s="135"/>
      <c r="P320" s="135"/>
      <c r="Q320" s="135"/>
      <c r="R320" s="135"/>
      <c r="S320" s="135"/>
    </row>
    <row r="321" customFormat="false" ht="15.75" hidden="false" customHeight="true" outlineLevel="0" collapsed="false">
      <c r="A321" s="135"/>
      <c r="B321" s="182"/>
      <c r="C321" s="135"/>
      <c r="D321" s="135"/>
      <c r="E321" s="182"/>
      <c r="F321" s="135"/>
      <c r="G321" s="135"/>
      <c r="H321" s="135"/>
      <c r="I321" s="135"/>
      <c r="J321" s="135"/>
      <c r="K321" s="135"/>
      <c r="L321" s="135"/>
      <c r="M321" s="135"/>
      <c r="N321" s="135"/>
      <c r="O321" s="135"/>
      <c r="P321" s="135"/>
      <c r="Q321" s="135"/>
      <c r="R321" s="135"/>
      <c r="S321" s="135"/>
    </row>
    <row r="322" customFormat="false" ht="15.75" hidden="false" customHeight="true" outlineLevel="0" collapsed="false">
      <c r="A322" s="135"/>
      <c r="B322" s="182"/>
      <c r="C322" s="135"/>
      <c r="D322" s="135"/>
      <c r="E322" s="182"/>
      <c r="F322" s="135"/>
      <c r="G322" s="135"/>
      <c r="H322" s="135"/>
      <c r="I322" s="135"/>
      <c r="J322" s="135"/>
      <c r="K322" s="135"/>
      <c r="L322" s="135"/>
      <c r="M322" s="135"/>
      <c r="N322" s="135"/>
      <c r="O322" s="135"/>
      <c r="P322" s="135"/>
      <c r="Q322" s="135"/>
      <c r="R322" s="135"/>
      <c r="S322" s="135"/>
    </row>
    <row r="323" customFormat="false" ht="15.75" hidden="false" customHeight="true" outlineLevel="0" collapsed="false">
      <c r="A323" s="135"/>
      <c r="B323" s="182"/>
      <c r="C323" s="135"/>
      <c r="D323" s="135"/>
      <c r="E323" s="182"/>
      <c r="F323" s="135"/>
      <c r="G323" s="135"/>
      <c r="H323" s="135"/>
      <c r="I323" s="135"/>
      <c r="J323" s="135"/>
      <c r="K323" s="135"/>
      <c r="L323" s="135"/>
      <c r="M323" s="135"/>
      <c r="N323" s="135"/>
      <c r="O323" s="135"/>
      <c r="P323" s="135"/>
      <c r="Q323" s="135"/>
      <c r="R323" s="135"/>
      <c r="S323" s="135"/>
    </row>
    <row r="324" customFormat="false" ht="15.75" hidden="false" customHeight="true" outlineLevel="0" collapsed="false">
      <c r="A324" s="135"/>
      <c r="B324" s="182"/>
      <c r="C324" s="135"/>
      <c r="D324" s="135"/>
      <c r="E324" s="182"/>
      <c r="F324" s="135"/>
      <c r="G324" s="135"/>
      <c r="H324" s="135"/>
      <c r="I324" s="135"/>
      <c r="J324" s="135"/>
      <c r="K324" s="135"/>
      <c r="L324" s="135"/>
      <c r="M324" s="135"/>
      <c r="N324" s="135"/>
      <c r="O324" s="135"/>
      <c r="P324" s="135"/>
      <c r="Q324" s="135"/>
      <c r="R324" s="135"/>
      <c r="S324" s="135"/>
    </row>
    <row r="325" customFormat="false" ht="15.75" hidden="false" customHeight="true" outlineLevel="0" collapsed="false">
      <c r="A325" s="135"/>
      <c r="B325" s="182"/>
      <c r="C325" s="135"/>
      <c r="D325" s="135"/>
      <c r="E325" s="182"/>
      <c r="F325" s="135"/>
      <c r="G325" s="135"/>
      <c r="H325" s="135"/>
      <c r="I325" s="135"/>
      <c r="J325" s="135"/>
      <c r="K325" s="135"/>
      <c r="L325" s="135"/>
      <c r="M325" s="135"/>
      <c r="N325" s="135"/>
      <c r="O325" s="135"/>
      <c r="P325" s="135"/>
      <c r="Q325" s="135"/>
      <c r="R325" s="135"/>
      <c r="S325" s="135"/>
    </row>
    <row r="326" customFormat="false" ht="15.75" hidden="false" customHeight="true" outlineLevel="0" collapsed="false">
      <c r="A326" s="135"/>
      <c r="B326" s="182"/>
      <c r="C326" s="135"/>
      <c r="D326" s="135"/>
      <c r="E326" s="182"/>
      <c r="F326" s="135"/>
      <c r="G326" s="135"/>
      <c r="H326" s="135"/>
      <c r="I326" s="135"/>
      <c r="J326" s="135"/>
      <c r="K326" s="135"/>
      <c r="L326" s="135"/>
      <c r="M326" s="135"/>
      <c r="N326" s="135"/>
      <c r="O326" s="135"/>
      <c r="P326" s="135"/>
      <c r="Q326" s="135"/>
      <c r="R326" s="135"/>
      <c r="S326" s="135"/>
    </row>
    <row r="327" customFormat="false" ht="15.75" hidden="false" customHeight="true" outlineLevel="0" collapsed="false">
      <c r="A327" s="135"/>
      <c r="B327" s="182"/>
      <c r="C327" s="135"/>
      <c r="D327" s="135"/>
      <c r="E327" s="182"/>
      <c r="F327" s="135"/>
      <c r="G327" s="135"/>
      <c r="H327" s="135"/>
      <c r="I327" s="135"/>
      <c r="J327" s="135"/>
      <c r="K327" s="135"/>
      <c r="L327" s="135"/>
      <c r="M327" s="135"/>
      <c r="N327" s="135"/>
      <c r="O327" s="135"/>
      <c r="P327" s="135"/>
      <c r="Q327" s="135"/>
      <c r="R327" s="135"/>
      <c r="S327" s="135"/>
    </row>
    <row r="328" customFormat="false" ht="15.75" hidden="false" customHeight="true" outlineLevel="0" collapsed="false">
      <c r="A328" s="135"/>
      <c r="B328" s="182"/>
      <c r="C328" s="135"/>
      <c r="D328" s="135"/>
      <c r="E328" s="182"/>
      <c r="F328" s="135"/>
      <c r="G328" s="135"/>
      <c r="H328" s="135"/>
      <c r="I328" s="135"/>
      <c r="J328" s="135"/>
      <c r="K328" s="135"/>
      <c r="L328" s="135"/>
      <c r="M328" s="135"/>
      <c r="N328" s="135"/>
      <c r="O328" s="135"/>
      <c r="P328" s="135"/>
      <c r="Q328" s="135"/>
      <c r="R328" s="135"/>
      <c r="S328" s="135"/>
    </row>
    <row r="329" customFormat="false" ht="15.75" hidden="false" customHeight="true" outlineLevel="0" collapsed="false">
      <c r="A329" s="135"/>
      <c r="B329" s="182"/>
      <c r="C329" s="135"/>
      <c r="D329" s="135"/>
      <c r="E329" s="182"/>
      <c r="F329" s="135"/>
      <c r="G329" s="135"/>
      <c r="H329" s="135"/>
      <c r="I329" s="135"/>
      <c r="J329" s="135"/>
      <c r="K329" s="135"/>
      <c r="L329" s="135"/>
      <c r="M329" s="135"/>
      <c r="N329" s="135"/>
      <c r="O329" s="135"/>
      <c r="P329" s="135"/>
      <c r="Q329" s="135"/>
      <c r="R329" s="135"/>
      <c r="S329" s="135"/>
    </row>
    <row r="330" customFormat="false" ht="15.75" hidden="false" customHeight="true" outlineLevel="0" collapsed="false">
      <c r="A330" s="135"/>
      <c r="B330" s="182"/>
      <c r="C330" s="135"/>
      <c r="D330" s="135"/>
      <c r="E330" s="182"/>
      <c r="F330" s="135"/>
      <c r="G330" s="135"/>
      <c r="H330" s="135"/>
      <c r="I330" s="135"/>
      <c r="J330" s="135"/>
      <c r="K330" s="135"/>
      <c r="L330" s="135"/>
      <c r="M330" s="135"/>
      <c r="N330" s="135"/>
      <c r="O330" s="135"/>
      <c r="P330" s="135"/>
      <c r="Q330" s="135"/>
      <c r="R330" s="135"/>
      <c r="S330" s="135"/>
    </row>
    <row r="331" customFormat="false" ht="15.75" hidden="false" customHeight="true" outlineLevel="0" collapsed="false">
      <c r="A331" s="135"/>
      <c r="B331" s="182"/>
      <c r="C331" s="135"/>
      <c r="D331" s="135"/>
      <c r="E331" s="182"/>
      <c r="F331" s="135"/>
      <c r="G331" s="135"/>
      <c r="H331" s="135"/>
      <c r="I331" s="135"/>
      <c r="J331" s="135"/>
      <c r="K331" s="135"/>
      <c r="L331" s="135"/>
      <c r="M331" s="135"/>
      <c r="N331" s="135"/>
      <c r="O331" s="135"/>
      <c r="P331" s="135"/>
      <c r="Q331" s="135"/>
      <c r="R331" s="135"/>
      <c r="S331" s="135"/>
    </row>
    <row r="332" customFormat="false" ht="15.75" hidden="false" customHeight="true" outlineLevel="0" collapsed="false">
      <c r="A332" s="135"/>
      <c r="B332" s="182"/>
      <c r="C332" s="135"/>
      <c r="D332" s="135"/>
      <c r="E332" s="182"/>
      <c r="F332" s="135"/>
      <c r="G332" s="135"/>
      <c r="H332" s="135"/>
      <c r="I332" s="135"/>
      <c r="J332" s="135"/>
      <c r="K332" s="135"/>
      <c r="L332" s="135"/>
      <c r="M332" s="135"/>
      <c r="N332" s="135"/>
      <c r="O332" s="135"/>
      <c r="P332" s="135"/>
      <c r="Q332" s="135"/>
      <c r="R332" s="135"/>
      <c r="S332" s="135"/>
    </row>
    <row r="333" customFormat="false" ht="15.75" hidden="false" customHeight="true" outlineLevel="0" collapsed="false">
      <c r="A333" s="135"/>
      <c r="B333" s="182"/>
      <c r="C333" s="135"/>
      <c r="D333" s="135"/>
      <c r="E333" s="182"/>
      <c r="F333" s="135"/>
      <c r="G333" s="135"/>
      <c r="H333" s="135"/>
      <c r="I333" s="135"/>
      <c r="J333" s="135"/>
      <c r="K333" s="135"/>
      <c r="L333" s="135"/>
      <c r="M333" s="135"/>
      <c r="N333" s="135"/>
      <c r="O333" s="135"/>
      <c r="P333" s="135"/>
      <c r="Q333" s="135"/>
      <c r="R333" s="135"/>
      <c r="S333" s="135"/>
    </row>
    <row r="334" customFormat="false" ht="15.75" hidden="false" customHeight="true" outlineLevel="0" collapsed="false">
      <c r="A334" s="135"/>
      <c r="B334" s="182"/>
      <c r="C334" s="135"/>
      <c r="D334" s="135"/>
      <c r="E334" s="182"/>
      <c r="F334" s="135"/>
      <c r="G334" s="135"/>
      <c r="H334" s="135"/>
      <c r="I334" s="135"/>
      <c r="J334" s="135"/>
      <c r="K334" s="135"/>
      <c r="L334" s="135"/>
      <c r="M334" s="135"/>
      <c r="N334" s="135"/>
      <c r="O334" s="135"/>
      <c r="P334" s="135"/>
      <c r="Q334" s="135"/>
      <c r="R334" s="135"/>
      <c r="S334" s="135"/>
    </row>
    <row r="335" customFormat="false" ht="15.75" hidden="false" customHeight="true" outlineLevel="0" collapsed="false">
      <c r="A335" s="135"/>
      <c r="B335" s="182"/>
      <c r="C335" s="135"/>
      <c r="D335" s="135"/>
      <c r="E335" s="182"/>
      <c r="F335" s="135"/>
      <c r="G335" s="135"/>
      <c r="H335" s="135"/>
      <c r="I335" s="135"/>
      <c r="J335" s="135"/>
      <c r="K335" s="135"/>
      <c r="L335" s="135"/>
      <c r="M335" s="135"/>
      <c r="N335" s="135"/>
      <c r="O335" s="135"/>
      <c r="P335" s="135"/>
      <c r="Q335" s="135"/>
      <c r="R335" s="135"/>
      <c r="S335" s="135"/>
    </row>
    <row r="336" customFormat="false" ht="15.75" hidden="false" customHeight="true" outlineLevel="0" collapsed="false">
      <c r="A336" s="135"/>
      <c r="B336" s="182"/>
      <c r="C336" s="135"/>
      <c r="D336" s="135"/>
      <c r="E336" s="182"/>
      <c r="F336" s="135"/>
      <c r="G336" s="135"/>
      <c r="H336" s="135"/>
      <c r="I336" s="135"/>
      <c r="J336" s="135"/>
      <c r="K336" s="135"/>
      <c r="L336" s="135"/>
      <c r="M336" s="135"/>
      <c r="N336" s="135"/>
      <c r="O336" s="135"/>
      <c r="P336" s="135"/>
      <c r="Q336" s="135"/>
      <c r="R336" s="135"/>
      <c r="S336" s="135"/>
    </row>
    <row r="337" customFormat="false" ht="15.75" hidden="false" customHeight="true" outlineLevel="0" collapsed="false">
      <c r="A337" s="135"/>
      <c r="B337" s="182"/>
      <c r="C337" s="135"/>
      <c r="D337" s="135"/>
      <c r="E337" s="182"/>
      <c r="F337" s="135"/>
      <c r="G337" s="135"/>
      <c r="H337" s="135"/>
      <c r="I337" s="135"/>
      <c r="J337" s="135"/>
      <c r="K337" s="135"/>
      <c r="L337" s="135"/>
      <c r="M337" s="135"/>
      <c r="N337" s="135"/>
      <c r="O337" s="135"/>
      <c r="P337" s="135"/>
      <c r="Q337" s="135"/>
      <c r="R337" s="135"/>
      <c r="S337" s="135"/>
    </row>
    <row r="338" customFormat="false" ht="15.75" hidden="false" customHeight="true" outlineLevel="0" collapsed="false">
      <c r="A338" s="135"/>
      <c r="B338" s="182"/>
      <c r="C338" s="135"/>
      <c r="D338" s="135"/>
      <c r="E338" s="182"/>
      <c r="F338" s="135"/>
      <c r="G338" s="135"/>
      <c r="H338" s="135"/>
      <c r="I338" s="135"/>
      <c r="J338" s="135"/>
      <c r="K338" s="135"/>
      <c r="L338" s="135"/>
      <c r="M338" s="135"/>
      <c r="N338" s="135"/>
      <c r="O338" s="135"/>
      <c r="P338" s="135"/>
      <c r="Q338" s="135"/>
      <c r="R338" s="135"/>
      <c r="S338" s="135"/>
    </row>
    <row r="339" customFormat="false" ht="15.75" hidden="false" customHeight="true" outlineLevel="0" collapsed="false">
      <c r="A339" s="135"/>
      <c r="B339" s="182"/>
      <c r="C339" s="135"/>
      <c r="D339" s="135"/>
      <c r="E339" s="182"/>
      <c r="F339" s="135"/>
      <c r="G339" s="135"/>
      <c r="H339" s="135"/>
      <c r="I339" s="135"/>
      <c r="J339" s="135"/>
      <c r="K339" s="135"/>
      <c r="L339" s="135"/>
      <c r="M339" s="135"/>
      <c r="N339" s="135"/>
      <c r="O339" s="135"/>
      <c r="P339" s="135"/>
      <c r="Q339" s="135"/>
      <c r="R339" s="135"/>
      <c r="S339" s="135"/>
    </row>
    <row r="340" customFormat="false" ht="15.75" hidden="false" customHeight="true" outlineLevel="0" collapsed="false">
      <c r="A340" s="135"/>
      <c r="B340" s="182"/>
      <c r="C340" s="135"/>
      <c r="D340" s="135"/>
      <c r="E340" s="182"/>
      <c r="F340" s="135"/>
      <c r="G340" s="135"/>
      <c r="H340" s="135"/>
      <c r="I340" s="135"/>
      <c r="J340" s="135"/>
      <c r="K340" s="135"/>
      <c r="L340" s="135"/>
      <c r="M340" s="135"/>
      <c r="N340" s="135"/>
      <c r="O340" s="135"/>
      <c r="P340" s="135"/>
      <c r="Q340" s="135"/>
      <c r="R340" s="135"/>
      <c r="S340" s="135"/>
    </row>
    <row r="341" customFormat="false" ht="15.75" hidden="false" customHeight="true" outlineLevel="0" collapsed="false">
      <c r="A341" s="135"/>
      <c r="B341" s="182"/>
      <c r="C341" s="135"/>
      <c r="D341" s="135"/>
      <c r="E341" s="182"/>
      <c r="F341" s="135"/>
      <c r="G341" s="135"/>
      <c r="H341" s="135"/>
      <c r="I341" s="135"/>
      <c r="J341" s="135"/>
      <c r="K341" s="135"/>
      <c r="L341" s="135"/>
      <c r="M341" s="135"/>
      <c r="N341" s="135"/>
      <c r="O341" s="135"/>
      <c r="P341" s="135"/>
      <c r="Q341" s="135"/>
      <c r="R341" s="135"/>
      <c r="S341" s="135"/>
    </row>
    <row r="342" customFormat="false" ht="15.75" hidden="false" customHeight="true" outlineLevel="0" collapsed="false">
      <c r="A342" s="135"/>
      <c r="B342" s="182"/>
      <c r="C342" s="135"/>
      <c r="D342" s="135"/>
      <c r="E342" s="182"/>
      <c r="F342" s="135"/>
      <c r="G342" s="135"/>
      <c r="H342" s="135"/>
      <c r="I342" s="135"/>
      <c r="J342" s="135"/>
      <c r="K342" s="135"/>
      <c r="L342" s="135"/>
      <c r="M342" s="135"/>
      <c r="N342" s="135"/>
      <c r="O342" s="135"/>
      <c r="P342" s="135"/>
      <c r="Q342" s="135"/>
      <c r="R342" s="135"/>
      <c r="S342" s="135"/>
    </row>
    <row r="343" customFormat="false" ht="15.75" hidden="false" customHeight="true" outlineLevel="0" collapsed="false">
      <c r="A343" s="135"/>
      <c r="B343" s="182"/>
      <c r="C343" s="135"/>
      <c r="D343" s="135"/>
      <c r="E343" s="182"/>
      <c r="F343" s="135"/>
      <c r="G343" s="135"/>
      <c r="H343" s="135"/>
      <c r="I343" s="135"/>
      <c r="J343" s="135"/>
      <c r="K343" s="135"/>
      <c r="L343" s="135"/>
      <c r="M343" s="135"/>
      <c r="N343" s="135"/>
      <c r="O343" s="135"/>
      <c r="P343" s="135"/>
      <c r="Q343" s="135"/>
      <c r="R343" s="135"/>
      <c r="S343" s="135"/>
    </row>
    <row r="344" customFormat="false" ht="15.75" hidden="false" customHeight="true" outlineLevel="0" collapsed="false">
      <c r="A344" s="135"/>
      <c r="B344" s="182"/>
      <c r="C344" s="135"/>
      <c r="D344" s="135"/>
      <c r="E344" s="182"/>
      <c r="F344" s="135"/>
      <c r="G344" s="135"/>
      <c r="H344" s="135"/>
      <c r="I344" s="135"/>
      <c r="J344" s="135"/>
      <c r="K344" s="135"/>
      <c r="L344" s="135"/>
      <c r="M344" s="135"/>
      <c r="N344" s="135"/>
      <c r="O344" s="135"/>
      <c r="P344" s="135"/>
      <c r="Q344" s="135"/>
      <c r="R344" s="135"/>
      <c r="S344" s="135"/>
    </row>
    <row r="345" customFormat="false" ht="15.75" hidden="false" customHeight="true" outlineLevel="0" collapsed="false">
      <c r="A345" s="135"/>
      <c r="B345" s="182"/>
      <c r="C345" s="135"/>
      <c r="D345" s="135"/>
      <c r="E345" s="182"/>
      <c r="F345" s="135"/>
      <c r="G345" s="135"/>
      <c r="H345" s="135"/>
      <c r="I345" s="135"/>
      <c r="J345" s="135"/>
      <c r="K345" s="135"/>
      <c r="L345" s="135"/>
      <c r="M345" s="135"/>
      <c r="N345" s="135"/>
      <c r="O345" s="135"/>
      <c r="P345" s="135"/>
      <c r="Q345" s="135"/>
      <c r="R345" s="135"/>
      <c r="S345" s="135"/>
    </row>
    <row r="346" customFormat="false" ht="15.75" hidden="false" customHeight="true" outlineLevel="0" collapsed="false">
      <c r="A346" s="135"/>
      <c r="B346" s="182"/>
      <c r="C346" s="135"/>
      <c r="D346" s="135"/>
      <c r="E346" s="182"/>
      <c r="F346" s="135"/>
      <c r="G346" s="135"/>
      <c r="H346" s="135"/>
      <c r="I346" s="135"/>
      <c r="J346" s="135"/>
      <c r="K346" s="135"/>
      <c r="L346" s="135"/>
      <c r="M346" s="135"/>
      <c r="N346" s="135"/>
      <c r="O346" s="135"/>
      <c r="P346" s="135"/>
      <c r="Q346" s="135"/>
      <c r="R346" s="135"/>
      <c r="S346" s="135"/>
    </row>
    <row r="347" customFormat="false" ht="15.75" hidden="false" customHeight="true" outlineLevel="0" collapsed="false">
      <c r="A347" s="135"/>
      <c r="B347" s="182"/>
      <c r="C347" s="135"/>
      <c r="D347" s="135"/>
      <c r="E347" s="182"/>
      <c r="F347" s="135"/>
      <c r="G347" s="135"/>
      <c r="H347" s="135"/>
      <c r="I347" s="135"/>
      <c r="J347" s="135"/>
      <c r="K347" s="135"/>
      <c r="L347" s="135"/>
      <c r="M347" s="135"/>
      <c r="N347" s="135"/>
      <c r="O347" s="135"/>
      <c r="P347" s="135"/>
      <c r="Q347" s="135"/>
      <c r="R347" s="135"/>
      <c r="S347" s="135"/>
    </row>
    <row r="348" customFormat="false" ht="15.75" hidden="false" customHeight="true" outlineLevel="0" collapsed="false">
      <c r="A348" s="135"/>
      <c r="B348" s="182"/>
      <c r="C348" s="135"/>
      <c r="D348" s="135"/>
      <c r="E348" s="182"/>
      <c r="F348" s="135"/>
      <c r="G348" s="135"/>
      <c r="H348" s="135"/>
      <c r="I348" s="135"/>
      <c r="J348" s="135"/>
      <c r="K348" s="135"/>
      <c r="L348" s="135"/>
      <c r="M348" s="135"/>
      <c r="N348" s="135"/>
      <c r="O348" s="135"/>
      <c r="P348" s="135"/>
      <c r="Q348" s="135"/>
      <c r="R348" s="135"/>
      <c r="S348" s="135"/>
    </row>
    <row r="349" customFormat="false" ht="15.75" hidden="false" customHeight="true" outlineLevel="0" collapsed="false">
      <c r="A349" s="135"/>
      <c r="B349" s="182"/>
      <c r="C349" s="135"/>
      <c r="D349" s="135"/>
      <c r="E349" s="182"/>
      <c r="F349" s="135"/>
      <c r="G349" s="135"/>
      <c r="H349" s="135"/>
      <c r="I349" s="135"/>
      <c r="J349" s="135"/>
      <c r="K349" s="135"/>
      <c r="L349" s="135"/>
      <c r="M349" s="135"/>
      <c r="N349" s="135"/>
      <c r="O349" s="135"/>
      <c r="P349" s="135"/>
      <c r="Q349" s="135"/>
      <c r="R349" s="135"/>
      <c r="S349" s="135"/>
    </row>
    <row r="350" customFormat="false" ht="15.75" hidden="false" customHeight="true" outlineLevel="0" collapsed="false">
      <c r="A350" s="135"/>
      <c r="B350" s="182"/>
      <c r="C350" s="135"/>
      <c r="D350" s="135"/>
      <c r="E350" s="182"/>
      <c r="F350" s="135"/>
      <c r="G350" s="135"/>
      <c r="H350" s="135"/>
      <c r="I350" s="135"/>
      <c r="J350" s="135"/>
      <c r="K350" s="135"/>
      <c r="L350" s="135"/>
      <c r="M350" s="135"/>
      <c r="N350" s="135"/>
      <c r="O350" s="135"/>
      <c r="P350" s="135"/>
      <c r="Q350" s="135"/>
      <c r="R350" s="135"/>
      <c r="S350" s="135"/>
    </row>
    <row r="351" customFormat="false" ht="15.75" hidden="false" customHeight="true" outlineLevel="0" collapsed="false">
      <c r="A351" s="135"/>
      <c r="B351" s="182"/>
      <c r="C351" s="135"/>
      <c r="D351" s="135"/>
      <c r="E351" s="182"/>
      <c r="F351" s="135"/>
      <c r="G351" s="135"/>
      <c r="H351" s="135"/>
      <c r="I351" s="135"/>
      <c r="J351" s="135"/>
      <c r="K351" s="135"/>
      <c r="L351" s="135"/>
      <c r="M351" s="135"/>
      <c r="N351" s="135"/>
      <c r="O351" s="135"/>
      <c r="P351" s="135"/>
      <c r="Q351" s="135"/>
      <c r="R351" s="135"/>
      <c r="S351" s="135"/>
    </row>
    <row r="352" customFormat="false" ht="15.75" hidden="false" customHeight="true" outlineLevel="0" collapsed="false">
      <c r="A352" s="135"/>
      <c r="B352" s="182"/>
      <c r="C352" s="135"/>
      <c r="D352" s="135"/>
      <c r="E352" s="182"/>
      <c r="F352" s="135"/>
      <c r="G352" s="135"/>
      <c r="H352" s="135"/>
      <c r="I352" s="135"/>
      <c r="J352" s="135"/>
      <c r="K352" s="135"/>
      <c r="L352" s="135"/>
      <c r="M352" s="135"/>
      <c r="N352" s="135"/>
      <c r="O352" s="135"/>
      <c r="P352" s="135"/>
      <c r="Q352" s="135"/>
      <c r="R352" s="135"/>
      <c r="S352" s="135"/>
    </row>
    <row r="353" customFormat="false" ht="15.75" hidden="false" customHeight="true" outlineLevel="0" collapsed="false">
      <c r="A353" s="135"/>
      <c r="B353" s="182"/>
      <c r="C353" s="135"/>
      <c r="D353" s="135"/>
      <c r="E353" s="182"/>
      <c r="F353" s="135"/>
      <c r="G353" s="135"/>
      <c r="H353" s="135"/>
      <c r="I353" s="135"/>
      <c r="J353" s="135"/>
      <c r="K353" s="135"/>
      <c r="L353" s="135"/>
      <c r="M353" s="135"/>
      <c r="N353" s="135"/>
      <c r="O353" s="135"/>
      <c r="P353" s="135"/>
      <c r="Q353" s="135"/>
      <c r="R353" s="135"/>
      <c r="S353" s="135"/>
    </row>
    <row r="354" customFormat="false" ht="15.75" hidden="false" customHeight="true" outlineLevel="0" collapsed="false">
      <c r="A354" s="135"/>
      <c r="B354" s="182"/>
      <c r="C354" s="135"/>
      <c r="D354" s="135"/>
      <c r="E354" s="182"/>
      <c r="F354" s="135"/>
      <c r="G354" s="135"/>
      <c r="H354" s="135"/>
      <c r="I354" s="135"/>
      <c r="J354" s="135"/>
      <c r="K354" s="135"/>
      <c r="L354" s="135"/>
      <c r="M354" s="135"/>
      <c r="N354" s="135"/>
      <c r="O354" s="135"/>
      <c r="P354" s="135"/>
      <c r="Q354" s="135"/>
      <c r="R354" s="135"/>
      <c r="S354" s="135"/>
    </row>
    <row r="355" customFormat="false" ht="15.75" hidden="false" customHeight="true" outlineLevel="0" collapsed="false">
      <c r="A355" s="135"/>
      <c r="B355" s="182"/>
      <c r="C355" s="135"/>
      <c r="D355" s="135"/>
      <c r="E355" s="182"/>
      <c r="F355" s="135"/>
      <c r="G355" s="135"/>
      <c r="H355" s="135"/>
      <c r="I355" s="135"/>
      <c r="J355" s="135"/>
      <c r="K355" s="135"/>
      <c r="L355" s="135"/>
      <c r="M355" s="135"/>
      <c r="N355" s="135"/>
      <c r="O355" s="135"/>
      <c r="P355" s="135"/>
      <c r="Q355" s="135"/>
      <c r="R355" s="135"/>
      <c r="S355" s="135"/>
    </row>
    <row r="356" customFormat="false" ht="15.75" hidden="false" customHeight="true" outlineLevel="0" collapsed="false">
      <c r="A356" s="135"/>
      <c r="B356" s="182"/>
      <c r="C356" s="135"/>
      <c r="D356" s="135"/>
      <c r="E356" s="182"/>
      <c r="F356" s="135"/>
      <c r="G356" s="135"/>
      <c r="H356" s="135"/>
      <c r="I356" s="135"/>
      <c r="J356" s="135"/>
      <c r="K356" s="135"/>
      <c r="L356" s="135"/>
      <c r="M356" s="135"/>
      <c r="N356" s="135"/>
      <c r="O356" s="135"/>
      <c r="P356" s="135"/>
      <c r="Q356" s="135"/>
      <c r="R356" s="135"/>
      <c r="S356" s="135"/>
    </row>
    <row r="357" customFormat="false" ht="15.75" hidden="false" customHeight="true" outlineLevel="0" collapsed="false">
      <c r="A357" s="135"/>
      <c r="B357" s="182"/>
      <c r="C357" s="135"/>
      <c r="D357" s="135"/>
      <c r="E357" s="182"/>
      <c r="F357" s="135"/>
      <c r="G357" s="135"/>
      <c r="H357" s="135"/>
      <c r="I357" s="135"/>
      <c r="J357" s="135"/>
      <c r="K357" s="135"/>
      <c r="L357" s="135"/>
      <c r="M357" s="135"/>
      <c r="N357" s="135"/>
      <c r="O357" s="135"/>
      <c r="P357" s="135"/>
      <c r="Q357" s="135"/>
      <c r="R357" s="135"/>
      <c r="S357" s="135"/>
    </row>
    <row r="358" customFormat="false" ht="15.75" hidden="false" customHeight="true" outlineLevel="0" collapsed="false">
      <c r="A358" s="135"/>
      <c r="B358" s="182"/>
      <c r="C358" s="135"/>
      <c r="D358" s="135"/>
      <c r="E358" s="182"/>
      <c r="F358" s="135"/>
      <c r="G358" s="135"/>
      <c r="H358" s="135"/>
      <c r="I358" s="135"/>
      <c r="J358" s="135"/>
      <c r="K358" s="135"/>
      <c r="L358" s="135"/>
      <c r="M358" s="135"/>
      <c r="N358" s="135"/>
      <c r="O358" s="135"/>
      <c r="P358" s="135"/>
      <c r="Q358" s="135"/>
      <c r="R358" s="135"/>
      <c r="S358" s="135"/>
    </row>
    <row r="359" customFormat="false" ht="15.75" hidden="false" customHeight="true" outlineLevel="0" collapsed="false">
      <c r="A359" s="135"/>
      <c r="B359" s="182"/>
      <c r="C359" s="135"/>
      <c r="D359" s="135"/>
      <c r="E359" s="182"/>
      <c r="F359" s="135"/>
      <c r="G359" s="135"/>
      <c r="H359" s="135"/>
      <c r="I359" s="135"/>
      <c r="J359" s="135"/>
      <c r="K359" s="135"/>
      <c r="L359" s="135"/>
      <c r="M359" s="135"/>
      <c r="N359" s="135"/>
      <c r="O359" s="135"/>
      <c r="P359" s="135"/>
      <c r="Q359" s="135"/>
      <c r="R359" s="135"/>
      <c r="S359" s="135"/>
    </row>
    <row r="360" customFormat="false" ht="15.75" hidden="false" customHeight="true" outlineLevel="0" collapsed="false">
      <c r="A360" s="135"/>
      <c r="B360" s="182"/>
      <c r="C360" s="135"/>
      <c r="D360" s="135"/>
      <c r="E360" s="182"/>
      <c r="F360" s="135"/>
      <c r="G360" s="135"/>
      <c r="H360" s="135"/>
      <c r="I360" s="135"/>
      <c r="J360" s="135"/>
      <c r="K360" s="135"/>
      <c r="L360" s="135"/>
      <c r="M360" s="135"/>
      <c r="N360" s="135"/>
      <c r="O360" s="135"/>
      <c r="P360" s="135"/>
      <c r="Q360" s="135"/>
      <c r="R360" s="135"/>
      <c r="S360" s="135"/>
    </row>
    <row r="361" customFormat="false" ht="15.75" hidden="false" customHeight="true" outlineLevel="0" collapsed="false">
      <c r="A361" s="135"/>
      <c r="B361" s="182"/>
      <c r="C361" s="135"/>
      <c r="D361" s="135"/>
      <c r="E361" s="182"/>
      <c r="F361" s="135"/>
      <c r="G361" s="135"/>
      <c r="H361" s="135"/>
      <c r="I361" s="135"/>
      <c r="J361" s="135"/>
      <c r="K361" s="135"/>
      <c r="L361" s="135"/>
      <c r="M361" s="135"/>
      <c r="N361" s="135"/>
      <c r="O361" s="135"/>
      <c r="P361" s="135"/>
      <c r="Q361" s="135"/>
      <c r="R361" s="135"/>
      <c r="S361" s="135"/>
    </row>
    <row r="362" customFormat="false" ht="15.75" hidden="false" customHeight="true" outlineLevel="0" collapsed="false">
      <c r="A362" s="135"/>
      <c r="B362" s="182"/>
      <c r="C362" s="135"/>
      <c r="D362" s="135"/>
      <c r="E362" s="182"/>
      <c r="F362" s="135"/>
      <c r="G362" s="135"/>
      <c r="H362" s="135"/>
      <c r="I362" s="135"/>
      <c r="J362" s="135"/>
      <c r="K362" s="135"/>
      <c r="L362" s="135"/>
      <c r="M362" s="135"/>
      <c r="N362" s="135"/>
      <c r="O362" s="135"/>
      <c r="P362" s="135"/>
      <c r="Q362" s="135"/>
      <c r="R362" s="135"/>
      <c r="S362" s="135"/>
    </row>
    <row r="363" customFormat="false" ht="15.75" hidden="false" customHeight="true" outlineLevel="0" collapsed="false">
      <c r="A363" s="135"/>
      <c r="B363" s="182"/>
      <c r="C363" s="135"/>
      <c r="D363" s="135"/>
      <c r="E363" s="182"/>
      <c r="F363" s="135"/>
      <c r="G363" s="135"/>
      <c r="H363" s="135"/>
      <c r="I363" s="135"/>
      <c r="J363" s="135"/>
      <c r="K363" s="135"/>
      <c r="L363" s="135"/>
      <c r="M363" s="135"/>
      <c r="N363" s="135"/>
      <c r="O363" s="135"/>
      <c r="P363" s="135"/>
      <c r="Q363" s="135"/>
      <c r="R363" s="135"/>
      <c r="S363" s="135"/>
    </row>
    <row r="364" customFormat="false" ht="15.75" hidden="false" customHeight="true" outlineLevel="0" collapsed="false">
      <c r="A364" s="135"/>
      <c r="B364" s="182"/>
      <c r="C364" s="135"/>
      <c r="D364" s="135"/>
      <c r="E364" s="182"/>
      <c r="F364" s="135"/>
      <c r="G364" s="135"/>
      <c r="H364" s="135"/>
      <c r="I364" s="135"/>
      <c r="J364" s="135"/>
      <c r="K364" s="135"/>
      <c r="L364" s="135"/>
      <c r="M364" s="135"/>
      <c r="N364" s="135"/>
      <c r="O364" s="135"/>
      <c r="P364" s="135"/>
      <c r="Q364" s="135"/>
      <c r="R364" s="135"/>
      <c r="S364" s="135"/>
    </row>
    <row r="365" customFormat="false" ht="15.75" hidden="false" customHeight="true" outlineLevel="0" collapsed="false">
      <c r="A365" s="135"/>
      <c r="B365" s="182"/>
      <c r="C365" s="135"/>
      <c r="D365" s="135"/>
      <c r="E365" s="182"/>
      <c r="F365" s="135"/>
      <c r="G365" s="135"/>
      <c r="H365" s="135"/>
      <c r="I365" s="135"/>
      <c r="J365" s="135"/>
      <c r="K365" s="135"/>
      <c r="L365" s="135"/>
      <c r="M365" s="135"/>
      <c r="N365" s="135"/>
      <c r="O365" s="135"/>
      <c r="P365" s="135"/>
      <c r="Q365" s="135"/>
      <c r="R365" s="135"/>
      <c r="S365" s="135"/>
    </row>
    <row r="366" customFormat="false" ht="15.75" hidden="false" customHeight="true" outlineLevel="0" collapsed="false">
      <c r="A366" s="135"/>
      <c r="B366" s="182"/>
      <c r="C366" s="135"/>
      <c r="D366" s="135"/>
      <c r="E366" s="182"/>
      <c r="F366" s="135"/>
      <c r="G366" s="135"/>
      <c r="H366" s="135"/>
      <c r="I366" s="135"/>
      <c r="J366" s="135"/>
      <c r="K366" s="135"/>
      <c r="L366" s="135"/>
      <c r="M366" s="135"/>
      <c r="N366" s="135"/>
      <c r="O366" s="135"/>
      <c r="P366" s="135"/>
      <c r="Q366" s="135"/>
      <c r="R366" s="135"/>
      <c r="S366" s="135"/>
    </row>
    <row r="367" customFormat="false" ht="15.75" hidden="false" customHeight="true" outlineLevel="0" collapsed="false">
      <c r="A367" s="135"/>
      <c r="B367" s="182"/>
      <c r="C367" s="135"/>
      <c r="D367" s="135"/>
      <c r="E367" s="182"/>
      <c r="F367" s="135"/>
      <c r="G367" s="135"/>
      <c r="H367" s="135"/>
      <c r="I367" s="135"/>
      <c r="J367" s="135"/>
      <c r="K367" s="135"/>
      <c r="L367" s="135"/>
      <c r="M367" s="135"/>
      <c r="N367" s="135"/>
      <c r="O367" s="135"/>
      <c r="P367" s="135"/>
      <c r="Q367" s="135"/>
      <c r="R367" s="135"/>
      <c r="S367" s="135"/>
    </row>
    <row r="368" customFormat="false" ht="15.75" hidden="false" customHeight="true" outlineLevel="0" collapsed="false">
      <c r="A368" s="135"/>
      <c r="B368" s="182"/>
      <c r="C368" s="135"/>
      <c r="D368" s="135"/>
      <c r="E368" s="182"/>
      <c r="F368" s="135"/>
      <c r="G368" s="135"/>
      <c r="H368" s="135"/>
      <c r="I368" s="135"/>
      <c r="J368" s="135"/>
      <c r="K368" s="135"/>
      <c r="L368" s="135"/>
      <c r="M368" s="135"/>
      <c r="N368" s="135"/>
      <c r="O368" s="135"/>
      <c r="P368" s="135"/>
      <c r="Q368" s="135"/>
      <c r="R368" s="135"/>
      <c r="S368" s="135"/>
    </row>
    <row r="369" customFormat="false" ht="15.75" hidden="false" customHeight="true" outlineLevel="0" collapsed="false">
      <c r="A369" s="135"/>
      <c r="B369" s="182"/>
      <c r="C369" s="135"/>
      <c r="D369" s="135"/>
      <c r="E369" s="182"/>
      <c r="F369" s="135"/>
      <c r="G369" s="135"/>
      <c r="H369" s="135"/>
      <c r="I369" s="135"/>
      <c r="J369" s="135"/>
      <c r="K369" s="135"/>
      <c r="L369" s="135"/>
      <c r="M369" s="135"/>
      <c r="N369" s="135"/>
      <c r="O369" s="135"/>
      <c r="P369" s="135"/>
      <c r="Q369" s="135"/>
      <c r="R369" s="135"/>
      <c r="S369" s="135"/>
    </row>
    <row r="370" customFormat="false" ht="15.75" hidden="false" customHeight="true" outlineLevel="0" collapsed="false">
      <c r="A370" s="135"/>
      <c r="B370" s="182"/>
      <c r="C370" s="135"/>
      <c r="D370" s="135"/>
      <c r="E370" s="182"/>
      <c r="F370" s="135"/>
      <c r="G370" s="135"/>
      <c r="H370" s="135"/>
      <c r="I370" s="135"/>
      <c r="J370" s="135"/>
      <c r="K370" s="135"/>
      <c r="L370" s="135"/>
      <c r="M370" s="135"/>
      <c r="N370" s="135"/>
      <c r="O370" s="135"/>
      <c r="P370" s="135"/>
      <c r="Q370" s="135"/>
      <c r="R370" s="135"/>
      <c r="S370" s="135"/>
    </row>
    <row r="371" customFormat="false" ht="15.75" hidden="false" customHeight="true" outlineLevel="0" collapsed="false">
      <c r="A371" s="135"/>
      <c r="B371" s="182"/>
      <c r="C371" s="135"/>
      <c r="D371" s="135"/>
      <c r="E371" s="182"/>
      <c r="F371" s="135"/>
      <c r="G371" s="135"/>
      <c r="H371" s="135"/>
      <c r="I371" s="135"/>
      <c r="J371" s="135"/>
      <c r="K371" s="135"/>
      <c r="L371" s="135"/>
      <c r="M371" s="135"/>
      <c r="N371" s="135"/>
      <c r="O371" s="135"/>
      <c r="P371" s="135"/>
      <c r="Q371" s="135"/>
      <c r="R371" s="135"/>
      <c r="S371" s="135"/>
    </row>
    <row r="372" customFormat="false" ht="15.75" hidden="false" customHeight="true" outlineLevel="0" collapsed="false">
      <c r="A372" s="135"/>
      <c r="B372" s="182"/>
      <c r="C372" s="135"/>
      <c r="D372" s="135"/>
      <c r="E372" s="182"/>
      <c r="F372" s="135"/>
      <c r="G372" s="135"/>
      <c r="H372" s="135"/>
      <c r="I372" s="135"/>
      <c r="J372" s="135"/>
      <c r="K372" s="135"/>
      <c r="L372" s="135"/>
      <c r="M372" s="135"/>
      <c r="N372" s="135"/>
      <c r="O372" s="135"/>
      <c r="P372" s="135"/>
      <c r="Q372" s="135"/>
      <c r="R372" s="135"/>
      <c r="S372" s="135"/>
    </row>
    <row r="373" customFormat="false" ht="15.75" hidden="false" customHeight="true" outlineLevel="0" collapsed="false">
      <c r="A373" s="135"/>
      <c r="B373" s="182"/>
      <c r="C373" s="135"/>
      <c r="D373" s="135"/>
      <c r="E373" s="182"/>
      <c r="F373" s="135"/>
      <c r="G373" s="135"/>
      <c r="H373" s="135"/>
      <c r="I373" s="135"/>
      <c r="J373" s="135"/>
      <c r="K373" s="135"/>
      <c r="L373" s="135"/>
      <c r="M373" s="135"/>
      <c r="N373" s="135"/>
      <c r="O373" s="135"/>
      <c r="P373" s="135"/>
      <c r="Q373" s="135"/>
      <c r="R373" s="135"/>
      <c r="S373" s="135"/>
    </row>
    <row r="374" customFormat="false" ht="15.75" hidden="false" customHeight="true" outlineLevel="0" collapsed="false">
      <c r="A374" s="135"/>
      <c r="B374" s="182"/>
      <c r="C374" s="135"/>
      <c r="D374" s="135"/>
      <c r="E374" s="182"/>
      <c r="F374" s="135"/>
      <c r="G374" s="135"/>
      <c r="H374" s="135"/>
      <c r="I374" s="135"/>
      <c r="J374" s="135"/>
      <c r="K374" s="135"/>
      <c r="L374" s="135"/>
      <c r="M374" s="135"/>
      <c r="N374" s="135"/>
      <c r="O374" s="135"/>
      <c r="P374" s="135"/>
      <c r="Q374" s="135"/>
      <c r="R374" s="135"/>
      <c r="S374" s="135"/>
    </row>
    <row r="375" customFormat="false" ht="15.75" hidden="false" customHeight="true" outlineLevel="0" collapsed="false">
      <c r="A375" s="135"/>
      <c r="B375" s="182"/>
      <c r="C375" s="135"/>
      <c r="D375" s="135"/>
      <c r="E375" s="182"/>
      <c r="F375" s="135"/>
      <c r="G375" s="135"/>
      <c r="H375" s="135"/>
      <c r="I375" s="135"/>
      <c r="J375" s="135"/>
      <c r="K375" s="135"/>
      <c r="L375" s="135"/>
      <c r="M375" s="135"/>
      <c r="N375" s="135"/>
      <c r="O375" s="135"/>
      <c r="P375" s="135"/>
      <c r="Q375" s="135"/>
      <c r="R375" s="135"/>
      <c r="S375" s="135"/>
    </row>
    <row r="376" customFormat="false" ht="15.75" hidden="false" customHeight="true" outlineLevel="0" collapsed="false">
      <c r="A376" s="135"/>
      <c r="B376" s="182"/>
      <c r="C376" s="135"/>
      <c r="D376" s="135"/>
      <c r="E376" s="182"/>
      <c r="F376" s="135"/>
      <c r="G376" s="135"/>
      <c r="H376" s="135"/>
      <c r="I376" s="135"/>
      <c r="J376" s="135"/>
      <c r="K376" s="135"/>
      <c r="L376" s="135"/>
      <c r="M376" s="135"/>
      <c r="N376" s="135"/>
      <c r="O376" s="135"/>
      <c r="P376" s="135"/>
      <c r="Q376" s="135"/>
      <c r="R376" s="135"/>
      <c r="S376" s="135"/>
    </row>
    <row r="377" customFormat="false" ht="15.75" hidden="false" customHeight="true" outlineLevel="0" collapsed="false">
      <c r="A377" s="135"/>
      <c r="B377" s="182"/>
      <c r="C377" s="135"/>
      <c r="D377" s="135"/>
      <c r="E377" s="182"/>
      <c r="F377" s="135"/>
      <c r="G377" s="135"/>
      <c r="H377" s="135"/>
      <c r="I377" s="135"/>
      <c r="J377" s="135"/>
      <c r="K377" s="135"/>
      <c r="L377" s="135"/>
      <c r="M377" s="135"/>
      <c r="N377" s="135"/>
      <c r="O377" s="135"/>
      <c r="P377" s="135"/>
      <c r="Q377" s="135"/>
      <c r="R377" s="135"/>
      <c r="S377" s="135"/>
    </row>
    <row r="378" customFormat="false" ht="15.75" hidden="false" customHeight="true" outlineLevel="0" collapsed="false">
      <c r="A378" s="135"/>
      <c r="B378" s="182"/>
      <c r="C378" s="135"/>
      <c r="D378" s="135"/>
      <c r="E378" s="182"/>
      <c r="F378" s="135"/>
      <c r="G378" s="135"/>
      <c r="H378" s="135"/>
      <c r="I378" s="135"/>
      <c r="J378" s="135"/>
      <c r="K378" s="135"/>
      <c r="L378" s="135"/>
      <c r="M378" s="135"/>
      <c r="N378" s="135"/>
      <c r="O378" s="135"/>
      <c r="P378" s="135"/>
      <c r="Q378" s="135"/>
      <c r="R378" s="135"/>
      <c r="S378" s="135"/>
    </row>
    <row r="379" customFormat="false" ht="15.75" hidden="false" customHeight="true" outlineLevel="0" collapsed="false">
      <c r="A379" s="135"/>
      <c r="B379" s="182"/>
      <c r="C379" s="135"/>
      <c r="D379" s="135"/>
      <c r="E379" s="182"/>
      <c r="F379" s="135"/>
      <c r="G379" s="135"/>
      <c r="H379" s="135"/>
      <c r="I379" s="135"/>
      <c r="J379" s="135"/>
      <c r="K379" s="135"/>
      <c r="L379" s="135"/>
      <c r="M379" s="135"/>
      <c r="N379" s="135"/>
      <c r="O379" s="135"/>
      <c r="P379" s="135"/>
      <c r="Q379" s="135"/>
      <c r="R379" s="135"/>
      <c r="S379" s="135"/>
    </row>
    <row r="380" customFormat="false" ht="15.75" hidden="false" customHeight="true" outlineLevel="0" collapsed="false">
      <c r="A380" s="135"/>
      <c r="B380" s="182"/>
      <c r="C380" s="135"/>
      <c r="D380" s="135"/>
      <c r="E380" s="182"/>
      <c r="F380" s="135"/>
      <c r="G380" s="135"/>
      <c r="H380" s="135"/>
      <c r="I380" s="135"/>
      <c r="J380" s="135"/>
      <c r="K380" s="135"/>
      <c r="L380" s="135"/>
      <c r="M380" s="135"/>
      <c r="N380" s="135"/>
      <c r="O380" s="135"/>
      <c r="P380" s="135"/>
      <c r="Q380" s="135"/>
      <c r="R380" s="135"/>
      <c r="S380" s="135"/>
    </row>
    <row r="381" customFormat="false" ht="15.75" hidden="false" customHeight="true" outlineLevel="0" collapsed="false">
      <c r="A381" s="135"/>
      <c r="B381" s="182"/>
      <c r="C381" s="135"/>
      <c r="D381" s="135"/>
      <c r="E381" s="182"/>
      <c r="F381" s="135"/>
      <c r="G381" s="135"/>
      <c r="H381" s="135"/>
      <c r="I381" s="135"/>
      <c r="J381" s="135"/>
      <c r="K381" s="135"/>
      <c r="L381" s="135"/>
      <c r="M381" s="135"/>
      <c r="N381" s="135"/>
      <c r="O381" s="135"/>
      <c r="P381" s="135"/>
      <c r="Q381" s="135"/>
      <c r="R381" s="135"/>
      <c r="S381" s="135"/>
    </row>
    <row r="382" customFormat="false" ht="15.75" hidden="false" customHeight="true" outlineLevel="0" collapsed="false">
      <c r="A382" s="135"/>
      <c r="B382" s="182"/>
      <c r="C382" s="135"/>
      <c r="D382" s="135"/>
      <c r="E382" s="182"/>
      <c r="F382" s="135"/>
      <c r="G382" s="135"/>
      <c r="H382" s="135"/>
      <c r="I382" s="135"/>
      <c r="J382" s="135"/>
      <c r="K382" s="135"/>
      <c r="L382" s="135"/>
      <c r="M382" s="135"/>
      <c r="N382" s="135"/>
      <c r="O382" s="135"/>
      <c r="P382" s="135"/>
      <c r="Q382" s="135"/>
      <c r="R382" s="135"/>
      <c r="S382" s="135"/>
    </row>
    <row r="383" customFormat="false" ht="15.75" hidden="false" customHeight="true" outlineLevel="0" collapsed="false">
      <c r="A383" s="135"/>
      <c r="B383" s="182"/>
      <c r="C383" s="135"/>
      <c r="D383" s="135"/>
      <c r="E383" s="182"/>
      <c r="F383" s="135"/>
      <c r="G383" s="135"/>
      <c r="H383" s="135"/>
      <c r="I383" s="135"/>
      <c r="J383" s="135"/>
      <c r="K383" s="135"/>
      <c r="L383" s="135"/>
      <c r="M383" s="135"/>
      <c r="N383" s="135"/>
      <c r="O383" s="135"/>
      <c r="P383" s="135"/>
      <c r="Q383" s="135"/>
      <c r="R383" s="135"/>
      <c r="S383" s="135"/>
    </row>
    <row r="384" customFormat="false" ht="15.75" hidden="false" customHeight="true" outlineLevel="0" collapsed="false">
      <c r="A384" s="135"/>
      <c r="B384" s="182"/>
      <c r="C384" s="135"/>
      <c r="D384" s="135"/>
      <c r="E384" s="182"/>
      <c r="F384" s="135"/>
      <c r="G384" s="135"/>
      <c r="H384" s="135"/>
      <c r="I384" s="135"/>
      <c r="J384" s="135"/>
      <c r="K384" s="135"/>
      <c r="L384" s="135"/>
      <c r="M384" s="135"/>
      <c r="N384" s="135"/>
      <c r="O384" s="135"/>
      <c r="P384" s="135"/>
      <c r="Q384" s="135"/>
      <c r="R384" s="135"/>
      <c r="S384" s="135"/>
    </row>
    <row r="385" customFormat="false" ht="15.75" hidden="false" customHeight="true" outlineLevel="0" collapsed="false">
      <c r="A385" s="135"/>
      <c r="B385" s="182"/>
      <c r="C385" s="135"/>
      <c r="D385" s="135"/>
      <c r="E385" s="182"/>
      <c r="F385" s="135"/>
      <c r="G385" s="135"/>
      <c r="H385" s="135"/>
      <c r="I385" s="135"/>
      <c r="J385" s="135"/>
      <c r="K385" s="135"/>
      <c r="L385" s="135"/>
      <c r="M385" s="135"/>
      <c r="N385" s="135"/>
      <c r="O385" s="135"/>
      <c r="P385" s="135"/>
      <c r="Q385" s="135"/>
      <c r="R385" s="135"/>
      <c r="S385" s="135"/>
    </row>
    <row r="386" customFormat="false" ht="15.75" hidden="false" customHeight="true" outlineLevel="0" collapsed="false">
      <c r="A386" s="135"/>
      <c r="B386" s="182"/>
      <c r="C386" s="135"/>
      <c r="D386" s="135"/>
      <c r="E386" s="182"/>
      <c r="F386" s="135"/>
      <c r="G386" s="135"/>
      <c r="H386" s="135"/>
      <c r="I386" s="135"/>
      <c r="J386" s="135"/>
      <c r="K386" s="135"/>
      <c r="L386" s="135"/>
      <c r="M386" s="135"/>
      <c r="N386" s="135"/>
      <c r="O386" s="135"/>
      <c r="P386" s="135"/>
      <c r="Q386" s="135"/>
      <c r="R386" s="135"/>
      <c r="S386" s="135"/>
    </row>
    <row r="387" customFormat="false" ht="15.75" hidden="false" customHeight="true" outlineLevel="0" collapsed="false">
      <c r="A387" s="135"/>
      <c r="B387" s="182"/>
      <c r="C387" s="135"/>
      <c r="D387" s="135"/>
      <c r="E387" s="182"/>
      <c r="F387" s="135"/>
      <c r="G387" s="135"/>
      <c r="H387" s="135"/>
      <c r="I387" s="135"/>
      <c r="J387" s="135"/>
      <c r="K387" s="135"/>
      <c r="L387" s="135"/>
      <c r="M387" s="135"/>
      <c r="N387" s="135"/>
      <c r="O387" s="135"/>
      <c r="P387" s="135"/>
      <c r="Q387" s="135"/>
      <c r="R387" s="135"/>
      <c r="S387" s="135"/>
    </row>
    <row r="388" customFormat="false" ht="15.75" hidden="false" customHeight="true" outlineLevel="0" collapsed="false">
      <c r="A388" s="135"/>
      <c r="B388" s="182"/>
      <c r="C388" s="135"/>
      <c r="D388" s="135"/>
      <c r="E388" s="182"/>
      <c r="F388" s="135"/>
      <c r="G388" s="135"/>
      <c r="H388" s="135"/>
      <c r="I388" s="135"/>
      <c r="J388" s="135"/>
      <c r="K388" s="135"/>
      <c r="L388" s="135"/>
      <c r="M388" s="135"/>
      <c r="N388" s="135"/>
      <c r="O388" s="135"/>
      <c r="P388" s="135"/>
      <c r="Q388" s="135"/>
      <c r="R388" s="135"/>
      <c r="S388" s="135"/>
    </row>
    <row r="389" customFormat="false" ht="15.75" hidden="false" customHeight="true" outlineLevel="0" collapsed="false">
      <c r="A389" s="135"/>
      <c r="B389" s="182"/>
      <c r="C389" s="135"/>
      <c r="D389" s="135"/>
      <c r="E389" s="182"/>
      <c r="F389" s="135"/>
      <c r="G389" s="135"/>
      <c r="H389" s="135"/>
      <c r="I389" s="135"/>
      <c r="J389" s="135"/>
      <c r="K389" s="135"/>
      <c r="L389" s="135"/>
      <c r="M389" s="135"/>
      <c r="N389" s="135"/>
      <c r="O389" s="135"/>
      <c r="P389" s="135"/>
      <c r="Q389" s="135"/>
      <c r="R389" s="135"/>
      <c r="S389" s="135"/>
    </row>
    <row r="390" customFormat="false" ht="15.75" hidden="false" customHeight="true" outlineLevel="0" collapsed="false">
      <c r="A390" s="135"/>
      <c r="B390" s="182"/>
      <c r="C390" s="135"/>
      <c r="D390" s="135"/>
      <c r="E390" s="182"/>
      <c r="F390" s="135"/>
      <c r="G390" s="135"/>
      <c r="H390" s="135"/>
      <c r="I390" s="135"/>
      <c r="J390" s="135"/>
      <c r="K390" s="135"/>
      <c r="L390" s="135"/>
      <c r="M390" s="135"/>
      <c r="N390" s="135"/>
      <c r="O390" s="135"/>
      <c r="P390" s="135"/>
      <c r="Q390" s="135"/>
      <c r="R390" s="135"/>
      <c r="S390" s="135"/>
    </row>
    <row r="391" customFormat="false" ht="15.75" hidden="false" customHeight="true" outlineLevel="0" collapsed="false">
      <c r="A391" s="135"/>
      <c r="B391" s="182"/>
      <c r="C391" s="135"/>
      <c r="D391" s="135"/>
      <c r="E391" s="182"/>
      <c r="F391" s="135"/>
      <c r="G391" s="135"/>
      <c r="H391" s="135"/>
      <c r="I391" s="135"/>
      <c r="J391" s="135"/>
      <c r="K391" s="135"/>
      <c r="L391" s="135"/>
      <c r="M391" s="135"/>
      <c r="N391" s="135"/>
      <c r="O391" s="135"/>
      <c r="P391" s="135"/>
      <c r="Q391" s="135"/>
      <c r="R391" s="135"/>
      <c r="S391" s="135"/>
    </row>
    <row r="392" customFormat="false" ht="15.75" hidden="false" customHeight="true" outlineLevel="0" collapsed="false">
      <c r="A392" s="135"/>
      <c r="B392" s="182"/>
      <c r="C392" s="135"/>
      <c r="D392" s="135"/>
      <c r="E392" s="182"/>
      <c r="F392" s="135"/>
      <c r="G392" s="135"/>
      <c r="H392" s="135"/>
      <c r="I392" s="135"/>
      <c r="J392" s="135"/>
      <c r="K392" s="135"/>
      <c r="L392" s="135"/>
      <c r="M392" s="135"/>
      <c r="N392" s="135"/>
      <c r="O392" s="135"/>
      <c r="P392" s="135"/>
      <c r="Q392" s="135"/>
      <c r="R392" s="135"/>
      <c r="S392" s="135"/>
    </row>
    <row r="393" customFormat="false" ht="15.75" hidden="false" customHeight="true" outlineLevel="0" collapsed="false">
      <c r="A393" s="135"/>
      <c r="B393" s="182"/>
      <c r="C393" s="135"/>
      <c r="D393" s="135"/>
      <c r="E393" s="182"/>
      <c r="F393" s="135"/>
      <c r="G393" s="135"/>
      <c r="H393" s="135"/>
      <c r="I393" s="135"/>
      <c r="J393" s="135"/>
      <c r="K393" s="135"/>
      <c r="L393" s="135"/>
      <c r="M393" s="135"/>
      <c r="N393" s="135"/>
      <c r="O393" s="135"/>
      <c r="P393" s="135"/>
      <c r="Q393" s="135"/>
      <c r="R393" s="135"/>
      <c r="S393" s="135"/>
    </row>
    <row r="394" customFormat="false" ht="15.75" hidden="false" customHeight="true" outlineLevel="0" collapsed="false">
      <c r="A394" s="135"/>
      <c r="B394" s="182"/>
      <c r="C394" s="135"/>
      <c r="D394" s="135"/>
      <c r="E394" s="182"/>
      <c r="F394" s="135"/>
      <c r="G394" s="135"/>
      <c r="H394" s="135"/>
      <c r="I394" s="135"/>
      <c r="J394" s="135"/>
      <c r="K394" s="135"/>
      <c r="L394" s="135"/>
      <c r="M394" s="135"/>
      <c r="N394" s="135"/>
      <c r="O394" s="135"/>
      <c r="P394" s="135"/>
      <c r="Q394" s="135"/>
      <c r="R394" s="135"/>
      <c r="S394" s="135"/>
    </row>
    <row r="395" customFormat="false" ht="15.75" hidden="false" customHeight="true" outlineLevel="0" collapsed="false">
      <c r="A395" s="135"/>
      <c r="B395" s="182"/>
      <c r="C395" s="135"/>
      <c r="D395" s="135"/>
      <c r="E395" s="182"/>
      <c r="F395" s="135"/>
      <c r="G395" s="135"/>
      <c r="H395" s="135"/>
      <c r="I395" s="135"/>
      <c r="J395" s="135"/>
      <c r="K395" s="135"/>
      <c r="L395" s="135"/>
      <c r="M395" s="135"/>
      <c r="N395" s="135"/>
      <c r="O395" s="135"/>
      <c r="P395" s="135"/>
      <c r="Q395" s="135"/>
      <c r="R395" s="135"/>
      <c r="S395" s="135"/>
    </row>
    <row r="396" customFormat="false" ht="15.75" hidden="false" customHeight="true" outlineLevel="0" collapsed="false">
      <c r="A396" s="135"/>
      <c r="B396" s="182"/>
      <c r="C396" s="135"/>
      <c r="D396" s="135"/>
      <c r="E396" s="182"/>
      <c r="F396" s="135"/>
      <c r="G396" s="135"/>
      <c r="H396" s="135"/>
      <c r="I396" s="135"/>
      <c r="J396" s="135"/>
      <c r="K396" s="135"/>
      <c r="L396" s="135"/>
      <c r="M396" s="135"/>
      <c r="N396" s="135"/>
      <c r="O396" s="135"/>
      <c r="P396" s="135"/>
      <c r="Q396" s="135"/>
      <c r="R396" s="135"/>
      <c r="S396" s="135"/>
    </row>
    <row r="397" customFormat="false" ht="15.75" hidden="false" customHeight="true" outlineLevel="0" collapsed="false">
      <c r="A397" s="135"/>
      <c r="B397" s="182"/>
      <c r="C397" s="135"/>
      <c r="D397" s="135"/>
      <c r="E397" s="182"/>
      <c r="F397" s="135"/>
      <c r="G397" s="135"/>
      <c r="H397" s="135"/>
      <c r="I397" s="135"/>
      <c r="J397" s="135"/>
      <c r="K397" s="135"/>
      <c r="L397" s="135"/>
      <c r="M397" s="135"/>
      <c r="N397" s="135"/>
      <c r="O397" s="135"/>
      <c r="P397" s="135"/>
      <c r="Q397" s="135"/>
      <c r="R397" s="135"/>
      <c r="S397" s="135"/>
    </row>
    <row r="398" customFormat="false" ht="15.75" hidden="false" customHeight="true" outlineLevel="0" collapsed="false">
      <c r="A398" s="135"/>
      <c r="B398" s="182"/>
      <c r="C398" s="135"/>
      <c r="D398" s="135"/>
      <c r="E398" s="182"/>
      <c r="F398" s="135"/>
      <c r="G398" s="135"/>
      <c r="H398" s="135"/>
      <c r="I398" s="135"/>
      <c r="J398" s="135"/>
      <c r="K398" s="135"/>
      <c r="L398" s="135"/>
      <c r="M398" s="135"/>
      <c r="N398" s="135"/>
      <c r="O398" s="135"/>
      <c r="P398" s="135"/>
      <c r="Q398" s="135"/>
      <c r="R398" s="135"/>
      <c r="S398" s="135"/>
    </row>
    <row r="399" customFormat="false" ht="15.75" hidden="false" customHeight="true" outlineLevel="0" collapsed="false">
      <c r="A399" s="135"/>
      <c r="B399" s="182"/>
      <c r="C399" s="135"/>
      <c r="D399" s="135"/>
      <c r="E399" s="182"/>
      <c r="F399" s="135"/>
      <c r="G399" s="135"/>
      <c r="H399" s="135"/>
      <c r="I399" s="135"/>
      <c r="J399" s="135"/>
      <c r="K399" s="135"/>
      <c r="L399" s="135"/>
      <c r="M399" s="135"/>
      <c r="N399" s="135"/>
      <c r="O399" s="135"/>
      <c r="P399" s="135"/>
      <c r="Q399" s="135"/>
      <c r="R399" s="135"/>
      <c r="S399" s="135"/>
    </row>
    <row r="400" customFormat="false" ht="15.75" hidden="false" customHeight="true" outlineLevel="0" collapsed="false">
      <c r="A400" s="135"/>
      <c r="B400" s="182"/>
      <c r="C400" s="135"/>
      <c r="D400" s="135"/>
      <c r="E400" s="182"/>
      <c r="F400" s="135"/>
      <c r="G400" s="135"/>
      <c r="H400" s="135"/>
      <c r="I400" s="135"/>
      <c r="J400" s="135"/>
      <c r="K400" s="135"/>
      <c r="L400" s="135"/>
      <c r="M400" s="135"/>
      <c r="N400" s="135"/>
      <c r="O400" s="135"/>
      <c r="P400" s="135"/>
      <c r="Q400" s="135"/>
      <c r="R400" s="135"/>
      <c r="S400" s="135"/>
    </row>
    <row r="401" customFormat="false" ht="15.75" hidden="false" customHeight="true" outlineLevel="0" collapsed="false">
      <c r="A401" s="135"/>
      <c r="B401" s="182"/>
      <c r="C401" s="135"/>
      <c r="D401" s="135"/>
      <c r="E401" s="182"/>
      <c r="F401" s="135"/>
      <c r="G401" s="135"/>
      <c r="H401" s="135"/>
      <c r="I401" s="135"/>
      <c r="J401" s="135"/>
      <c r="K401" s="135"/>
      <c r="L401" s="135"/>
      <c r="M401" s="135"/>
      <c r="N401" s="135"/>
      <c r="O401" s="135"/>
      <c r="P401" s="135"/>
      <c r="Q401" s="135"/>
      <c r="R401" s="135"/>
      <c r="S401" s="135"/>
    </row>
    <row r="402" customFormat="false" ht="15.75" hidden="false" customHeight="true" outlineLevel="0" collapsed="false">
      <c r="A402" s="135"/>
      <c r="B402" s="182"/>
      <c r="C402" s="135"/>
      <c r="D402" s="135"/>
      <c r="E402" s="182"/>
      <c r="F402" s="135"/>
      <c r="G402" s="135"/>
      <c r="H402" s="135"/>
      <c r="I402" s="135"/>
      <c r="J402" s="135"/>
      <c r="K402" s="135"/>
      <c r="L402" s="135"/>
      <c r="M402" s="135"/>
      <c r="N402" s="135"/>
      <c r="O402" s="135"/>
      <c r="P402" s="135"/>
      <c r="Q402" s="135"/>
      <c r="R402" s="135"/>
      <c r="S402" s="135"/>
    </row>
    <row r="403" customFormat="false" ht="15.75" hidden="false" customHeight="true" outlineLevel="0" collapsed="false">
      <c r="A403" s="135"/>
      <c r="B403" s="182"/>
      <c r="C403" s="135"/>
      <c r="D403" s="135"/>
      <c r="E403" s="182"/>
      <c r="F403" s="135"/>
      <c r="G403" s="135"/>
      <c r="H403" s="135"/>
      <c r="I403" s="135"/>
      <c r="J403" s="135"/>
      <c r="K403" s="135"/>
      <c r="L403" s="135"/>
      <c r="M403" s="135"/>
      <c r="N403" s="135"/>
      <c r="O403" s="135"/>
      <c r="P403" s="135"/>
      <c r="Q403" s="135"/>
      <c r="R403" s="135"/>
      <c r="S403" s="135"/>
    </row>
    <row r="404" customFormat="false" ht="15.75" hidden="false" customHeight="true" outlineLevel="0" collapsed="false">
      <c r="A404" s="135"/>
      <c r="B404" s="182"/>
      <c r="C404" s="135"/>
      <c r="D404" s="135"/>
      <c r="E404" s="182"/>
      <c r="F404" s="135"/>
      <c r="G404" s="135"/>
      <c r="H404" s="135"/>
      <c r="I404" s="135"/>
      <c r="J404" s="135"/>
      <c r="K404" s="135"/>
      <c r="L404" s="135"/>
      <c r="M404" s="135"/>
      <c r="N404" s="135"/>
      <c r="O404" s="135"/>
      <c r="P404" s="135"/>
      <c r="Q404" s="135"/>
      <c r="R404" s="135"/>
      <c r="S404" s="135"/>
    </row>
    <row r="405" customFormat="false" ht="15.75" hidden="false" customHeight="true" outlineLevel="0" collapsed="false">
      <c r="A405" s="135"/>
      <c r="B405" s="182"/>
      <c r="C405" s="135"/>
      <c r="D405" s="135"/>
      <c r="E405" s="182"/>
      <c r="F405" s="135"/>
      <c r="G405" s="135"/>
      <c r="H405" s="135"/>
      <c r="I405" s="135"/>
      <c r="J405" s="135"/>
      <c r="K405" s="135"/>
      <c r="L405" s="135"/>
      <c r="M405" s="135"/>
      <c r="N405" s="135"/>
      <c r="O405" s="135"/>
      <c r="P405" s="135"/>
      <c r="Q405" s="135"/>
      <c r="R405" s="135"/>
      <c r="S405" s="135"/>
    </row>
    <row r="406" customFormat="false" ht="15.75" hidden="false" customHeight="true" outlineLevel="0" collapsed="false">
      <c r="A406" s="135"/>
      <c r="B406" s="182"/>
      <c r="C406" s="135"/>
      <c r="D406" s="135"/>
      <c r="E406" s="182"/>
      <c r="F406" s="135"/>
      <c r="G406" s="135"/>
      <c r="H406" s="135"/>
      <c r="I406" s="135"/>
      <c r="J406" s="135"/>
      <c r="K406" s="135"/>
      <c r="L406" s="135"/>
      <c r="M406" s="135"/>
      <c r="N406" s="135"/>
      <c r="O406" s="135"/>
      <c r="P406" s="135"/>
      <c r="Q406" s="135"/>
      <c r="R406" s="135"/>
      <c r="S406" s="135"/>
    </row>
    <row r="407" customFormat="false" ht="15.75" hidden="false" customHeight="true" outlineLevel="0" collapsed="false">
      <c r="A407" s="135"/>
      <c r="B407" s="182"/>
      <c r="C407" s="135"/>
      <c r="D407" s="135"/>
      <c r="E407" s="182"/>
      <c r="F407" s="135"/>
      <c r="G407" s="135"/>
      <c r="H407" s="135"/>
      <c r="I407" s="135"/>
      <c r="J407" s="135"/>
      <c r="K407" s="135"/>
      <c r="L407" s="135"/>
      <c r="M407" s="135"/>
      <c r="N407" s="135"/>
      <c r="O407" s="135"/>
      <c r="P407" s="135"/>
      <c r="Q407" s="135"/>
      <c r="R407" s="135"/>
      <c r="S407" s="135"/>
    </row>
    <row r="408" customFormat="false" ht="15.75" hidden="false" customHeight="true" outlineLevel="0" collapsed="false">
      <c r="A408" s="135"/>
      <c r="B408" s="182"/>
      <c r="C408" s="135"/>
      <c r="D408" s="135"/>
      <c r="E408" s="182"/>
      <c r="F408" s="135"/>
      <c r="G408" s="135"/>
      <c r="H408" s="135"/>
      <c r="I408" s="135"/>
      <c r="J408" s="135"/>
      <c r="K408" s="135"/>
      <c r="L408" s="135"/>
      <c r="M408" s="135"/>
      <c r="N408" s="135"/>
      <c r="O408" s="135"/>
      <c r="P408" s="135"/>
      <c r="Q408" s="135"/>
      <c r="R408" s="135"/>
      <c r="S408" s="135"/>
    </row>
    <row r="409" customFormat="false" ht="15.75" hidden="false" customHeight="true" outlineLevel="0" collapsed="false">
      <c r="A409" s="135"/>
      <c r="B409" s="182"/>
      <c r="C409" s="135"/>
      <c r="D409" s="135"/>
      <c r="E409" s="182"/>
      <c r="F409" s="135"/>
      <c r="G409" s="135"/>
      <c r="H409" s="135"/>
      <c r="I409" s="135"/>
      <c r="J409" s="135"/>
      <c r="K409" s="135"/>
      <c r="L409" s="135"/>
      <c r="M409" s="135"/>
      <c r="N409" s="135"/>
      <c r="O409" s="135"/>
      <c r="P409" s="135"/>
      <c r="Q409" s="135"/>
      <c r="R409" s="135"/>
      <c r="S409" s="135"/>
    </row>
    <row r="410" customFormat="false" ht="15.75" hidden="false" customHeight="true" outlineLevel="0" collapsed="false">
      <c r="A410" s="135"/>
      <c r="B410" s="182"/>
      <c r="C410" s="135"/>
      <c r="D410" s="135"/>
      <c r="E410" s="182"/>
      <c r="F410" s="135"/>
      <c r="G410" s="135"/>
      <c r="H410" s="135"/>
      <c r="I410" s="135"/>
      <c r="J410" s="135"/>
      <c r="K410" s="135"/>
      <c r="L410" s="135"/>
      <c r="M410" s="135"/>
      <c r="N410" s="135"/>
      <c r="O410" s="135"/>
      <c r="P410" s="135"/>
      <c r="Q410" s="135"/>
      <c r="R410" s="135"/>
      <c r="S410" s="135"/>
    </row>
    <row r="411" customFormat="false" ht="15.75" hidden="false" customHeight="true" outlineLevel="0" collapsed="false">
      <c r="A411" s="135"/>
      <c r="B411" s="182"/>
      <c r="C411" s="135"/>
      <c r="D411" s="135"/>
      <c r="E411" s="182"/>
      <c r="F411" s="135"/>
      <c r="G411" s="135"/>
      <c r="H411" s="135"/>
      <c r="I411" s="135"/>
      <c r="J411" s="135"/>
      <c r="K411" s="135"/>
      <c r="L411" s="135"/>
      <c r="M411" s="135"/>
      <c r="N411" s="135"/>
      <c r="O411" s="135"/>
      <c r="P411" s="135"/>
      <c r="Q411" s="135"/>
      <c r="R411" s="135"/>
      <c r="S411" s="135"/>
    </row>
    <row r="412" customFormat="false" ht="15.75" hidden="false" customHeight="true" outlineLevel="0" collapsed="false">
      <c r="A412" s="135"/>
      <c r="B412" s="182"/>
      <c r="C412" s="135"/>
      <c r="D412" s="135"/>
      <c r="E412" s="182"/>
      <c r="F412" s="135"/>
      <c r="G412" s="135"/>
      <c r="H412" s="135"/>
      <c r="I412" s="135"/>
      <c r="J412" s="135"/>
      <c r="K412" s="135"/>
      <c r="L412" s="135"/>
      <c r="M412" s="135"/>
      <c r="N412" s="135"/>
      <c r="O412" s="135"/>
      <c r="P412" s="135"/>
      <c r="Q412" s="135"/>
      <c r="R412" s="135"/>
      <c r="S412" s="135"/>
    </row>
    <row r="413" customFormat="false" ht="15.75" hidden="false" customHeight="true" outlineLevel="0" collapsed="false">
      <c r="A413" s="135"/>
      <c r="B413" s="182"/>
      <c r="C413" s="135"/>
      <c r="D413" s="135"/>
      <c r="E413" s="182"/>
      <c r="F413" s="135"/>
      <c r="G413" s="135"/>
      <c r="H413" s="135"/>
      <c r="I413" s="135"/>
      <c r="J413" s="135"/>
      <c r="K413" s="135"/>
      <c r="L413" s="135"/>
      <c r="M413" s="135"/>
      <c r="N413" s="135"/>
      <c r="O413" s="135"/>
      <c r="P413" s="135"/>
      <c r="Q413" s="135"/>
      <c r="R413" s="135"/>
      <c r="S413" s="135"/>
    </row>
    <row r="414" customFormat="false" ht="15.75" hidden="false" customHeight="true" outlineLevel="0" collapsed="false">
      <c r="A414" s="135"/>
      <c r="B414" s="182"/>
      <c r="C414" s="135"/>
      <c r="D414" s="135"/>
      <c r="E414" s="182"/>
      <c r="F414" s="135"/>
      <c r="G414" s="135"/>
      <c r="H414" s="135"/>
      <c r="I414" s="135"/>
      <c r="J414" s="135"/>
      <c r="K414" s="135"/>
      <c r="L414" s="135"/>
      <c r="M414" s="135"/>
      <c r="N414" s="135"/>
      <c r="O414" s="135"/>
      <c r="P414" s="135"/>
      <c r="Q414" s="135"/>
      <c r="R414" s="135"/>
      <c r="S414" s="135"/>
    </row>
    <row r="415" customFormat="false" ht="15.75" hidden="false" customHeight="true" outlineLevel="0" collapsed="false">
      <c r="A415" s="135"/>
      <c r="B415" s="182"/>
      <c r="C415" s="135"/>
      <c r="D415" s="135"/>
      <c r="E415" s="182"/>
      <c r="F415" s="135"/>
      <c r="G415" s="135"/>
      <c r="H415" s="135"/>
      <c r="I415" s="135"/>
      <c r="J415" s="135"/>
      <c r="K415" s="135"/>
      <c r="L415" s="135"/>
      <c r="M415" s="135"/>
      <c r="N415" s="135"/>
      <c r="O415" s="135"/>
      <c r="P415" s="135"/>
      <c r="Q415" s="135"/>
      <c r="R415" s="135"/>
      <c r="S415" s="135"/>
    </row>
    <row r="416" customFormat="false" ht="15.75" hidden="false" customHeight="true" outlineLevel="0" collapsed="false">
      <c r="A416" s="135"/>
      <c r="B416" s="182"/>
      <c r="C416" s="135"/>
      <c r="D416" s="135"/>
      <c r="E416" s="182"/>
      <c r="F416" s="135"/>
      <c r="G416" s="135"/>
      <c r="H416" s="135"/>
      <c r="I416" s="135"/>
      <c r="J416" s="135"/>
      <c r="K416" s="135"/>
      <c r="L416" s="135"/>
      <c r="M416" s="135"/>
      <c r="N416" s="135"/>
      <c r="O416" s="135"/>
      <c r="P416" s="135"/>
      <c r="Q416" s="135"/>
      <c r="R416" s="135"/>
      <c r="S416" s="135"/>
    </row>
    <row r="417" customFormat="false" ht="15.75" hidden="false" customHeight="true" outlineLevel="0" collapsed="false">
      <c r="A417" s="135"/>
      <c r="B417" s="182"/>
      <c r="C417" s="135"/>
      <c r="D417" s="135"/>
      <c r="E417" s="182"/>
      <c r="F417" s="135"/>
      <c r="G417" s="135"/>
      <c r="H417" s="135"/>
      <c r="I417" s="135"/>
      <c r="J417" s="135"/>
      <c r="K417" s="135"/>
      <c r="L417" s="135"/>
      <c r="M417" s="135"/>
      <c r="N417" s="135"/>
      <c r="O417" s="135"/>
      <c r="P417" s="135"/>
      <c r="Q417" s="135"/>
      <c r="R417" s="135"/>
      <c r="S417" s="135"/>
    </row>
    <row r="418" customFormat="false" ht="15.75" hidden="false" customHeight="true" outlineLevel="0" collapsed="false">
      <c r="A418" s="135"/>
      <c r="B418" s="182"/>
      <c r="C418" s="135"/>
      <c r="D418" s="135"/>
      <c r="E418" s="182"/>
      <c r="F418" s="135"/>
      <c r="G418" s="135"/>
      <c r="H418" s="135"/>
      <c r="I418" s="135"/>
      <c r="J418" s="135"/>
      <c r="K418" s="135"/>
      <c r="L418" s="135"/>
      <c r="M418" s="135"/>
      <c r="N418" s="135"/>
      <c r="O418" s="135"/>
      <c r="P418" s="135"/>
      <c r="Q418" s="135"/>
      <c r="R418" s="135"/>
      <c r="S418" s="135"/>
    </row>
    <row r="419" customFormat="false" ht="15.75" hidden="false" customHeight="true" outlineLevel="0" collapsed="false">
      <c r="A419" s="135"/>
      <c r="B419" s="182"/>
      <c r="C419" s="135"/>
      <c r="D419" s="135"/>
      <c r="E419" s="182"/>
      <c r="F419" s="135"/>
      <c r="G419" s="135"/>
      <c r="H419" s="135"/>
      <c r="I419" s="135"/>
      <c r="J419" s="135"/>
      <c r="K419" s="135"/>
      <c r="L419" s="135"/>
      <c r="M419" s="135"/>
      <c r="N419" s="135"/>
      <c r="O419" s="135"/>
      <c r="P419" s="135"/>
      <c r="Q419" s="135"/>
      <c r="R419" s="135"/>
      <c r="S419" s="135"/>
    </row>
    <row r="420" customFormat="false" ht="15.75" hidden="false" customHeight="true" outlineLevel="0" collapsed="false">
      <c r="A420" s="135"/>
      <c r="B420" s="182"/>
      <c r="C420" s="135"/>
      <c r="D420" s="135"/>
      <c r="E420" s="182"/>
      <c r="F420" s="135"/>
      <c r="G420" s="135"/>
      <c r="H420" s="135"/>
      <c r="I420" s="135"/>
      <c r="J420" s="135"/>
      <c r="K420" s="135"/>
      <c r="L420" s="135"/>
      <c r="M420" s="135"/>
      <c r="N420" s="135"/>
      <c r="O420" s="135"/>
      <c r="P420" s="135"/>
      <c r="Q420" s="135"/>
      <c r="R420" s="135"/>
      <c r="S420" s="135"/>
    </row>
    <row r="421" customFormat="false" ht="15.75" hidden="false" customHeight="true" outlineLevel="0" collapsed="false">
      <c r="A421" s="135"/>
      <c r="B421" s="182"/>
      <c r="C421" s="135"/>
      <c r="D421" s="135"/>
      <c r="E421" s="182"/>
      <c r="F421" s="135"/>
      <c r="G421" s="135"/>
      <c r="H421" s="135"/>
      <c r="I421" s="135"/>
      <c r="J421" s="135"/>
      <c r="K421" s="135"/>
      <c r="L421" s="135"/>
      <c r="M421" s="135"/>
      <c r="N421" s="135"/>
      <c r="O421" s="135"/>
      <c r="P421" s="135"/>
      <c r="Q421" s="135"/>
      <c r="R421" s="135"/>
      <c r="S421" s="135"/>
    </row>
    <row r="422" customFormat="false" ht="15.75" hidden="false" customHeight="true" outlineLevel="0" collapsed="false">
      <c r="A422" s="135"/>
      <c r="B422" s="182"/>
      <c r="C422" s="135"/>
      <c r="D422" s="135"/>
      <c r="E422" s="182"/>
      <c r="F422" s="135"/>
      <c r="G422" s="135"/>
      <c r="H422" s="135"/>
      <c r="I422" s="135"/>
      <c r="J422" s="135"/>
      <c r="K422" s="135"/>
      <c r="L422" s="135"/>
      <c r="M422" s="135"/>
      <c r="N422" s="135"/>
      <c r="O422" s="135"/>
      <c r="P422" s="135"/>
      <c r="Q422" s="135"/>
      <c r="R422" s="135"/>
      <c r="S422" s="135"/>
    </row>
    <row r="423" customFormat="false" ht="15.75" hidden="false" customHeight="true" outlineLevel="0" collapsed="false">
      <c r="A423" s="135"/>
      <c r="B423" s="182"/>
      <c r="C423" s="135"/>
      <c r="D423" s="135"/>
      <c r="E423" s="182"/>
      <c r="F423" s="135"/>
      <c r="G423" s="135"/>
      <c r="H423" s="135"/>
      <c r="I423" s="135"/>
      <c r="J423" s="135"/>
      <c r="K423" s="135"/>
      <c r="L423" s="135"/>
      <c r="M423" s="135"/>
      <c r="N423" s="135"/>
      <c r="O423" s="135"/>
      <c r="P423" s="135"/>
      <c r="Q423" s="135"/>
      <c r="R423" s="135"/>
      <c r="S423" s="135"/>
    </row>
    <row r="424" customFormat="false" ht="15.75" hidden="false" customHeight="true" outlineLevel="0" collapsed="false">
      <c r="A424" s="135"/>
      <c r="B424" s="182"/>
      <c r="C424" s="135"/>
      <c r="D424" s="135"/>
      <c r="E424" s="182"/>
      <c r="F424" s="135"/>
      <c r="G424" s="135"/>
      <c r="H424" s="135"/>
      <c r="I424" s="135"/>
      <c r="J424" s="135"/>
      <c r="K424" s="135"/>
      <c r="L424" s="135"/>
      <c r="M424" s="135"/>
      <c r="N424" s="135"/>
      <c r="O424" s="135"/>
      <c r="P424" s="135"/>
      <c r="Q424" s="135"/>
      <c r="R424" s="135"/>
      <c r="S424" s="135"/>
    </row>
    <row r="425" customFormat="false" ht="15.75" hidden="false" customHeight="true" outlineLevel="0" collapsed="false">
      <c r="A425" s="135"/>
      <c r="B425" s="182"/>
      <c r="C425" s="135"/>
      <c r="D425" s="135"/>
      <c r="E425" s="182"/>
      <c r="F425" s="135"/>
      <c r="G425" s="135"/>
      <c r="H425" s="135"/>
      <c r="I425" s="135"/>
      <c r="J425" s="135"/>
      <c r="K425" s="135"/>
      <c r="L425" s="135"/>
      <c r="M425" s="135"/>
      <c r="N425" s="135"/>
      <c r="O425" s="135"/>
      <c r="P425" s="135"/>
      <c r="Q425" s="135"/>
      <c r="R425" s="135"/>
      <c r="S425" s="135"/>
    </row>
    <row r="426" customFormat="false" ht="15.75" hidden="false" customHeight="true" outlineLevel="0" collapsed="false">
      <c r="A426" s="135"/>
      <c r="B426" s="182"/>
      <c r="C426" s="135"/>
      <c r="D426" s="135"/>
      <c r="E426" s="182"/>
      <c r="F426" s="135"/>
      <c r="G426" s="135"/>
      <c r="H426" s="135"/>
      <c r="I426" s="135"/>
      <c r="J426" s="135"/>
      <c r="K426" s="135"/>
      <c r="L426" s="135"/>
      <c r="M426" s="135"/>
      <c r="N426" s="135"/>
      <c r="O426" s="135"/>
      <c r="P426" s="135"/>
      <c r="Q426" s="135"/>
      <c r="R426" s="135"/>
      <c r="S426" s="135"/>
    </row>
    <row r="427" customFormat="false" ht="15.75" hidden="false" customHeight="true" outlineLevel="0" collapsed="false">
      <c r="A427" s="135"/>
      <c r="B427" s="182"/>
      <c r="C427" s="135"/>
      <c r="D427" s="135"/>
      <c r="E427" s="182"/>
      <c r="F427" s="135"/>
      <c r="G427" s="135"/>
      <c r="H427" s="135"/>
      <c r="I427" s="135"/>
      <c r="J427" s="135"/>
      <c r="K427" s="135"/>
      <c r="L427" s="135"/>
      <c r="M427" s="135"/>
      <c r="N427" s="135"/>
      <c r="O427" s="135"/>
      <c r="P427" s="135"/>
      <c r="Q427" s="135"/>
      <c r="R427" s="135"/>
      <c r="S427" s="135"/>
    </row>
    <row r="428" customFormat="false" ht="15.75" hidden="false" customHeight="true" outlineLevel="0" collapsed="false">
      <c r="A428" s="135"/>
      <c r="B428" s="182"/>
      <c r="C428" s="135"/>
      <c r="D428" s="135"/>
      <c r="E428" s="182"/>
      <c r="F428" s="135"/>
      <c r="G428" s="135"/>
      <c r="H428" s="135"/>
      <c r="I428" s="135"/>
      <c r="J428" s="135"/>
      <c r="K428" s="135"/>
      <c r="L428" s="135"/>
      <c r="M428" s="135"/>
      <c r="N428" s="135"/>
      <c r="O428" s="135"/>
      <c r="P428" s="135"/>
      <c r="Q428" s="135"/>
      <c r="R428" s="135"/>
      <c r="S428" s="135"/>
    </row>
    <row r="429" customFormat="false" ht="15.75" hidden="false" customHeight="true" outlineLevel="0" collapsed="false">
      <c r="A429" s="135"/>
      <c r="B429" s="182"/>
      <c r="C429" s="135"/>
      <c r="D429" s="135"/>
      <c r="E429" s="182"/>
      <c r="F429" s="135"/>
      <c r="G429" s="135"/>
      <c r="H429" s="135"/>
      <c r="I429" s="135"/>
      <c r="J429" s="135"/>
      <c r="K429" s="135"/>
      <c r="L429" s="135"/>
      <c r="M429" s="135"/>
      <c r="N429" s="135"/>
      <c r="O429" s="135"/>
      <c r="P429" s="135"/>
      <c r="Q429" s="135"/>
      <c r="R429" s="135"/>
      <c r="S429" s="135"/>
    </row>
    <row r="430" customFormat="false" ht="15.75" hidden="false" customHeight="true" outlineLevel="0" collapsed="false">
      <c r="A430" s="135"/>
      <c r="B430" s="182"/>
      <c r="C430" s="135"/>
      <c r="D430" s="135"/>
      <c r="E430" s="182"/>
      <c r="F430" s="135"/>
      <c r="G430" s="135"/>
      <c r="H430" s="135"/>
      <c r="I430" s="135"/>
      <c r="J430" s="135"/>
      <c r="K430" s="135"/>
      <c r="L430" s="135"/>
      <c r="M430" s="135"/>
      <c r="N430" s="135"/>
      <c r="O430" s="135"/>
      <c r="P430" s="135"/>
      <c r="Q430" s="135"/>
      <c r="R430" s="135"/>
      <c r="S430" s="135"/>
    </row>
    <row r="431" customFormat="false" ht="15.75" hidden="false" customHeight="true" outlineLevel="0" collapsed="false">
      <c r="A431" s="135"/>
      <c r="B431" s="182"/>
      <c r="C431" s="135"/>
      <c r="D431" s="135"/>
      <c r="E431" s="182"/>
      <c r="F431" s="135"/>
      <c r="G431" s="135"/>
      <c r="H431" s="135"/>
      <c r="I431" s="135"/>
      <c r="J431" s="135"/>
      <c r="K431" s="135"/>
      <c r="L431" s="135"/>
      <c r="M431" s="135"/>
      <c r="N431" s="135"/>
      <c r="O431" s="135"/>
      <c r="P431" s="135"/>
      <c r="Q431" s="135"/>
      <c r="R431" s="135"/>
      <c r="S431" s="135"/>
    </row>
    <row r="432" customFormat="false" ht="15.75" hidden="false" customHeight="true" outlineLevel="0" collapsed="false">
      <c r="A432" s="135"/>
      <c r="B432" s="182"/>
      <c r="C432" s="135"/>
      <c r="D432" s="135"/>
      <c r="E432" s="182"/>
      <c r="F432" s="135"/>
      <c r="G432" s="135"/>
      <c r="H432" s="135"/>
      <c r="I432" s="135"/>
      <c r="J432" s="135"/>
      <c r="K432" s="135"/>
      <c r="L432" s="135"/>
      <c r="M432" s="135"/>
      <c r="N432" s="135"/>
      <c r="O432" s="135"/>
      <c r="P432" s="135"/>
      <c r="Q432" s="135"/>
      <c r="R432" s="135"/>
      <c r="S432" s="135"/>
    </row>
    <row r="433" customFormat="false" ht="15.75" hidden="false" customHeight="true" outlineLevel="0" collapsed="false">
      <c r="A433" s="135"/>
      <c r="B433" s="182"/>
      <c r="C433" s="135"/>
      <c r="D433" s="135"/>
      <c r="E433" s="182"/>
      <c r="F433" s="135"/>
      <c r="G433" s="135"/>
      <c r="H433" s="135"/>
      <c r="I433" s="135"/>
      <c r="J433" s="135"/>
      <c r="K433" s="135"/>
      <c r="L433" s="135"/>
      <c r="M433" s="135"/>
      <c r="N433" s="135"/>
      <c r="O433" s="135"/>
      <c r="P433" s="135"/>
      <c r="Q433" s="135"/>
      <c r="R433" s="135"/>
      <c r="S433" s="135"/>
    </row>
    <row r="434" customFormat="false" ht="15.75" hidden="false" customHeight="true" outlineLevel="0" collapsed="false">
      <c r="A434" s="135"/>
      <c r="B434" s="182"/>
      <c r="C434" s="135"/>
      <c r="D434" s="135"/>
      <c r="E434" s="182"/>
      <c r="F434" s="135"/>
      <c r="G434" s="135"/>
      <c r="H434" s="135"/>
      <c r="I434" s="135"/>
      <c r="J434" s="135"/>
      <c r="K434" s="135"/>
      <c r="L434" s="135"/>
      <c r="M434" s="135"/>
      <c r="N434" s="135"/>
      <c r="O434" s="135"/>
      <c r="P434" s="135"/>
      <c r="Q434" s="135"/>
      <c r="R434" s="135"/>
      <c r="S434" s="135"/>
    </row>
    <row r="435" customFormat="false" ht="15.75" hidden="false" customHeight="true" outlineLevel="0" collapsed="false">
      <c r="A435" s="135"/>
      <c r="B435" s="182"/>
      <c r="C435" s="135"/>
      <c r="D435" s="135"/>
      <c r="E435" s="182"/>
      <c r="F435" s="135"/>
      <c r="G435" s="135"/>
      <c r="H435" s="135"/>
      <c r="I435" s="135"/>
      <c r="J435" s="135"/>
      <c r="K435" s="135"/>
      <c r="L435" s="135"/>
      <c r="M435" s="135"/>
      <c r="N435" s="135"/>
      <c r="O435" s="135"/>
      <c r="P435" s="135"/>
      <c r="Q435" s="135"/>
      <c r="R435" s="135"/>
      <c r="S435" s="135"/>
    </row>
    <row r="436" customFormat="false" ht="15.75" hidden="false" customHeight="true" outlineLevel="0" collapsed="false">
      <c r="A436" s="135"/>
      <c r="B436" s="182"/>
      <c r="C436" s="135"/>
      <c r="D436" s="135"/>
      <c r="E436" s="182"/>
      <c r="F436" s="135"/>
      <c r="G436" s="135"/>
      <c r="H436" s="135"/>
      <c r="I436" s="135"/>
      <c r="J436" s="135"/>
      <c r="K436" s="135"/>
      <c r="L436" s="135"/>
      <c r="M436" s="135"/>
      <c r="N436" s="135"/>
      <c r="O436" s="135"/>
      <c r="P436" s="135"/>
      <c r="Q436" s="135"/>
      <c r="R436" s="135"/>
      <c r="S436" s="135"/>
    </row>
    <row r="437" customFormat="false" ht="15.75" hidden="false" customHeight="true" outlineLevel="0" collapsed="false">
      <c r="A437" s="135"/>
      <c r="B437" s="182"/>
      <c r="C437" s="135"/>
      <c r="D437" s="135"/>
      <c r="E437" s="182"/>
      <c r="F437" s="135"/>
      <c r="G437" s="135"/>
      <c r="H437" s="135"/>
      <c r="I437" s="135"/>
      <c r="J437" s="135"/>
      <c r="K437" s="135"/>
      <c r="L437" s="135"/>
      <c r="M437" s="135"/>
      <c r="N437" s="135"/>
      <c r="O437" s="135"/>
      <c r="P437" s="135"/>
      <c r="Q437" s="135"/>
      <c r="R437" s="135"/>
      <c r="S437" s="135"/>
    </row>
    <row r="438" customFormat="false" ht="15.75" hidden="false" customHeight="true" outlineLevel="0" collapsed="false">
      <c r="A438" s="135"/>
      <c r="B438" s="182"/>
      <c r="C438" s="135"/>
      <c r="D438" s="135"/>
      <c r="E438" s="182"/>
      <c r="F438" s="135"/>
      <c r="G438" s="135"/>
      <c r="H438" s="135"/>
      <c r="I438" s="135"/>
      <c r="J438" s="135"/>
      <c r="K438" s="135"/>
      <c r="L438" s="135"/>
      <c r="M438" s="135"/>
      <c r="N438" s="135"/>
      <c r="O438" s="135"/>
      <c r="P438" s="135"/>
      <c r="Q438" s="135"/>
      <c r="R438" s="135"/>
      <c r="S438" s="135"/>
    </row>
    <row r="439" customFormat="false" ht="15.75" hidden="false" customHeight="true" outlineLevel="0" collapsed="false">
      <c r="A439" s="135"/>
      <c r="B439" s="182"/>
      <c r="C439" s="135"/>
      <c r="D439" s="135"/>
      <c r="E439" s="182"/>
      <c r="F439" s="135"/>
      <c r="G439" s="135"/>
      <c r="H439" s="135"/>
      <c r="I439" s="135"/>
      <c r="J439" s="135"/>
      <c r="K439" s="135"/>
      <c r="L439" s="135"/>
      <c r="M439" s="135"/>
      <c r="N439" s="135"/>
      <c r="O439" s="135"/>
      <c r="P439" s="135"/>
      <c r="Q439" s="135"/>
      <c r="R439" s="135"/>
      <c r="S439" s="135"/>
    </row>
    <row r="440" customFormat="false" ht="15.75" hidden="false" customHeight="true" outlineLevel="0" collapsed="false">
      <c r="A440" s="135"/>
      <c r="B440" s="182"/>
      <c r="C440" s="135"/>
      <c r="D440" s="135"/>
      <c r="E440" s="182"/>
      <c r="F440" s="135"/>
      <c r="G440" s="135"/>
      <c r="H440" s="135"/>
      <c r="I440" s="135"/>
      <c r="J440" s="135"/>
      <c r="K440" s="135"/>
      <c r="L440" s="135"/>
      <c r="M440" s="135"/>
      <c r="N440" s="135"/>
      <c r="O440" s="135"/>
      <c r="P440" s="135"/>
      <c r="Q440" s="135"/>
      <c r="R440" s="135"/>
      <c r="S440" s="135"/>
    </row>
    <row r="441" customFormat="false" ht="15.75" hidden="false" customHeight="true" outlineLevel="0" collapsed="false">
      <c r="A441" s="135"/>
      <c r="B441" s="182"/>
      <c r="C441" s="135"/>
      <c r="D441" s="135"/>
      <c r="E441" s="182"/>
      <c r="F441" s="135"/>
      <c r="G441" s="135"/>
      <c r="H441" s="135"/>
      <c r="I441" s="135"/>
      <c r="J441" s="135"/>
      <c r="K441" s="135"/>
      <c r="L441" s="135"/>
      <c r="M441" s="135"/>
      <c r="N441" s="135"/>
      <c r="O441" s="135"/>
      <c r="P441" s="135"/>
      <c r="Q441" s="135"/>
      <c r="R441" s="135"/>
      <c r="S441" s="135"/>
    </row>
    <row r="442" customFormat="false" ht="15.75" hidden="false" customHeight="true" outlineLevel="0" collapsed="false">
      <c r="A442" s="135"/>
      <c r="B442" s="182"/>
      <c r="C442" s="135"/>
      <c r="D442" s="135"/>
      <c r="E442" s="182"/>
      <c r="F442" s="135"/>
      <c r="G442" s="135"/>
      <c r="H442" s="135"/>
      <c r="I442" s="135"/>
      <c r="J442" s="135"/>
      <c r="K442" s="135"/>
      <c r="L442" s="135"/>
      <c r="M442" s="135"/>
      <c r="N442" s="135"/>
      <c r="O442" s="135"/>
      <c r="P442" s="135"/>
      <c r="Q442" s="135"/>
      <c r="R442" s="135"/>
      <c r="S442" s="135"/>
    </row>
    <row r="443" customFormat="false" ht="15.75" hidden="false" customHeight="true" outlineLevel="0" collapsed="false">
      <c r="A443" s="135"/>
      <c r="B443" s="182"/>
      <c r="C443" s="135"/>
      <c r="D443" s="135"/>
      <c r="E443" s="182"/>
      <c r="F443" s="135"/>
      <c r="G443" s="135"/>
      <c r="H443" s="135"/>
      <c r="I443" s="135"/>
      <c r="J443" s="135"/>
      <c r="K443" s="135"/>
      <c r="L443" s="135"/>
      <c r="M443" s="135"/>
      <c r="N443" s="135"/>
      <c r="O443" s="135"/>
      <c r="P443" s="135"/>
      <c r="Q443" s="135"/>
      <c r="R443" s="135"/>
      <c r="S443" s="135"/>
    </row>
    <row r="444" customFormat="false" ht="15.75" hidden="false" customHeight="true" outlineLevel="0" collapsed="false">
      <c r="A444" s="135"/>
      <c r="B444" s="182"/>
      <c r="C444" s="135"/>
      <c r="D444" s="135"/>
      <c r="E444" s="182"/>
      <c r="F444" s="135"/>
      <c r="G444" s="135"/>
      <c r="H444" s="135"/>
      <c r="I444" s="135"/>
      <c r="J444" s="135"/>
      <c r="K444" s="135"/>
      <c r="L444" s="135"/>
      <c r="M444" s="135"/>
      <c r="N444" s="135"/>
      <c r="O444" s="135"/>
      <c r="P444" s="135"/>
      <c r="Q444" s="135"/>
      <c r="R444" s="135"/>
      <c r="S444" s="135"/>
    </row>
    <row r="445" customFormat="false" ht="15.75" hidden="false" customHeight="true" outlineLevel="0" collapsed="false">
      <c r="A445" s="135"/>
      <c r="B445" s="182"/>
      <c r="C445" s="135"/>
      <c r="D445" s="135"/>
      <c r="E445" s="182"/>
      <c r="F445" s="135"/>
      <c r="G445" s="135"/>
      <c r="H445" s="135"/>
      <c r="I445" s="135"/>
      <c r="J445" s="135"/>
      <c r="K445" s="135"/>
      <c r="L445" s="135"/>
      <c r="M445" s="135"/>
      <c r="N445" s="135"/>
      <c r="O445" s="135"/>
      <c r="P445" s="135"/>
      <c r="Q445" s="135"/>
      <c r="R445" s="135"/>
      <c r="S445" s="135"/>
    </row>
    <row r="446" customFormat="false" ht="15.75" hidden="false" customHeight="true" outlineLevel="0" collapsed="false">
      <c r="A446" s="135"/>
      <c r="B446" s="182"/>
      <c r="C446" s="135"/>
      <c r="D446" s="135"/>
      <c r="E446" s="182"/>
      <c r="F446" s="135"/>
      <c r="G446" s="135"/>
      <c r="H446" s="135"/>
      <c r="I446" s="135"/>
      <c r="J446" s="135"/>
      <c r="K446" s="135"/>
      <c r="L446" s="135"/>
      <c r="M446" s="135"/>
      <c r="N446" s="135"/>
      <c r="O446" s="135"/>
      <c r="P446" s="135"/>
      <c r="Q446" s="135"/>
      <c r="R446" s="135"/>
      <c r="S446" s="135"/>
    </row>
    <row r="447" customFormat="false" ht="15.75" hidden="false" customHeight="true" outlineLevel="0" collapsed="false">
      <c r="A447" s="135"/>
      <c r="B447" s="182"/>
      <c r="C447" s="135"/>
      <c r="D447" s="135"/>
      <c r="E447" s="182"/>
      <c r="F447" s="135"/>
      <c r="G447" s="135"/>
      <c r="H447" s="135"/>
      <c r="I447" s="135"/>
      <c r="J447" s="135"/>
      <c r="K447" s="135"/>
      <c r="L447" s="135"/>
      <c r="M447" s="135"/>
      <c r="N447" s="135"/>
      <c r="O447" s="135"/>
      <c r="P447" s="135"/>
      <c r="Q447" s="135"/>
      <c r="R447" s="135"/>
      <c r="S447" s="135"/>
    </row>
    <row r="448" customFormat="false" ht="15.75" hidden="false" customHeight="true" outlineLevel="0" collapsed="false">
      <c r="A448" s="135"/>
      <c r="B448" s="182"/>
      <c r="C448" s="135"/>
      <c r="D448" s="135"/>
      <c r="E448" s="182"/>
      <c r="F448" s="135"/>
      <c r="G448" s="135"/>
      <c r="H448" s="135"/>
      <c r="I448" s="135"/>
      <c r="J448" s="135"/>
      <c r="K448" s="135"/>
      <c r="L448" s="135"/>
      <c r="M448" s="135"/>
      <c r="N448" s="135"/>
      <c r="O448" s="135"/>
      <c r="P448" s="135"/>
      <c r="Q448" s="135"/>
      <c r="R448" s="135"/>
      <c r="S448" s="135"/>
    </row>
    <row r="449" customFormat="false" ht="15.75" hidden="false" customHeight="true" outlineLevel="0" collapsed="false">
      <c r="A449" s="135"/>
      <c r="B449" s="182"/>
      <c r="C449" s="135"/>
      <c r="D449" s="135"/>
      <c r="E449" s="182"/>
      <c r="F449" s="135"/>
      <c r="G449" s="135"/>
      <c r="H449" s="135"/>
      <c r="I449" s="135"/>
      <c r="J449" s="135"/>
      <c r="K449" s="135"/>
      <c r="L449" s="135"/>
      <c r="M449" s="135"/>
      <c r="N449" s="135"/>
      <c r="O449" s="135"/>
      <c r="P449" s="135"/>
      <c r="Q449" s="135"/>
      <c r="R449" s="135"/>
      <c r="S449" s="135"/>
    </row>
    <row r="450" customFormat="false" ht="15.75" hidden="false" customHeight="true" outlineLevel="0" collapsed="false">
      <c r="A450" s="135"/>
      <c r="B450" s="182"/>
      <c r="C450" s="135"/>
      <c r="D450" s="135"/>
      <c r="E450" s="182"/>
      <c r="F450" s="135"/>
      <c r="G450" s="135"/>
      <c r="H450" s="135"/>
      <c r="I450" s="135"/>
      <c r="J450" s="135"/>
      <c r="K450" s="135"/>
      <c r="L450" s="135"/>
      <c r="M450" s="135"/>
      <c r="N450" s="135"/>
      <c r="O450" s="135"/>
      <c r="P450" s="135"/>
      <c r="Q450" s="135"/>
      <c r="R450" s="135"/>
      <c r="S450" s="135"/>
    </row>
    <row r="451" customFormat="false" ht="15.75" hidden="false" customHeight="true" outlineLevel="0" collapsed="false">
      <c r="A451" s="135"/>
      <c r="B451" s="182"/>
      <c r="C451" s="135"/>
      <c r="D451" s="135"/>
      <c r="E451" s="182"/>
      <c r="F451" s="135"/>
      <c r="G451" s="135"/>
      <c r="H451" s="135"/>
      <c r="I451" s="135"/>
      <c r="J451" s="135"/>
      <c r="K451" s="135"/>
      <c r="L451" s="135"/>
      <c r="M451" s="135"/>
      <c r="N451" s="135"/>
      <c r="O451" s="135"/>
      <c r="P451" s="135"/>
      <c r="Q451" s="135"/>
      <c r="R451" s="135"/>
      <c r="S451" s="135"/>
    </row>
    <row r="452" customFormat="false" ht="15.75" hidden="false" customHeight="true" outlineLevel="0" collapsed="false">
      <c r="A452" s="135"/>
      <c r="B452" s="182"/>
      <c r="C452" s="135"/>
      <c r="D452" s="135"/>
      <c r="E452" s="182"/>
      <c r="F452" s="135"/>
      <c r="G452" s="135"/>
      <c r="H452" s="135"/>
      <c r="I452" s="135"/>
      <c r="J452" s="135"/>
      <c r="K452" s="135"/>
      <c r="L452" s="135"/>
      <c r="M452" s="135"/>
      <c r="N452" s="135"/>
      <c r="O452" s="135"/>
      <c r="P452" s="135"/>
      <c r="Q452" s="135"/>
      <c r="R452" s="135"/>
      <c r="S452" s="135"/>
    </row>
    <row r="453" customFormat="false" ht="15.75" hidden="false" customHeight="true" outlineLevel="0" collapsed="false">
      <c r="A453" s="135"/>
      <c r="B453" s="182"/>
      <c r="C453" s="135"/>
      <c r="D453" s="135"/>
      <c r="E453" s="182"/>
      <c r="F453" s="135"/>
      <c r="G453" s="135"/>
      <c r="H453" s="135"/>
      <c r="I453" s="135"/>
      <c r="J453" s="135"/>
      <c r="K453" s="135"/>
      <c r="L453" s="135"/>
      <c r="M453" s="135"/>
      <c r="N453" s="135"/>
      <c r="O453" s="135"/>
      <c r="P453" s="135"/>
      <c r="Q453" s="135"/>
      <c r="R453" s="135"/>
      <c r="S453" s="135"/>
    </row>
    <row r="454" customFormat="false" ht="15.75" hidden="false" customHeight="true" outlineLevel="0" collapsed="false">
      <c r="A454" s="135"/>
      <c r="B454" s="182"/>
      <c r="C454" s="135"/>
      <c r="D454" s="135"/>
      <c r="E454" s="182"/>
      <c r="F454" s="135"/>
      <c r="G454" s="135"/>
      <c r="H454" s="135"/>
      <c r="I454" s="135"/>
      <c r="J454" s="135"/>
      <c r="K454" s="135"/>
      <c r="L454" s="135"/>
      <c r="M454" s="135"/>
      <c r="N454" s="135"/>
      <c r="O454" s="135"/>
      <c r="P454" s="135"/>
      <c r="Q454" s="135"/>
      <c r="R454" s="135"/>
      <c r="S454" s="135"/>
    </row>
    <row r="455" customFormat="false" ht="15.75" hidden="false" customHeight="true" outlineLevel="0" collapsed="false">
      <c r="A455" s="135"/>
      <c r="B455" s="182"/>
      <c r="C455" s="135"/>
      <c r="D455" s="135"/>
      <c r="E455" s="182"/>
      <c r="F455" s="135"/>
      <c r="G455" s="135"/>
      <c r="H455" s="135"/>
      <c r="I455" s="135"/>
      <c r="J455" s="135"/>
      <c r="K455" s="135"/>
      <c r="L455" s="135"/>
      <c r="M455" s="135"/>
      <c r="N455" s="135"/>
      <c r="O455" s="135"/>
      <c r="P455" s="135"/>
      <c r="Q455" s="135"/>
      <c r="R455" s="135"/>
      <c r="S455" s="135"/>
    </row>
    <row r="456" customFormat="false" ht="15.75" hidden="false" customHeight="true" outlineLevel="0" collapsed="false">
      <c r="A456" s="135"/>
      <c r="B456" s="182"/>
      <c r="C456" s="135"/>
      <c r="D456" s="135"/>
      <c r="E456" s="182"/>
      <c r="F456" s="135"/>
      <c r="G456" s="135"/>
      <c r="H456" s="135"/>
      <c r="I456" s="135"/>
      <c r="J456" s="135"/>
      <c r="K456" s="135"/>
      <c r="L456" s="135"/>
      <c r="M456" s="135"/>
      <c r="N456" s="135"/>
      <c r="O456" s="135"/>
      <c r="P456" s="135"/>
      <c r="Q456" s="135"/>
      <c r="R456" s="135"/>
      <c r="S456" s="135"/>
    </row>
    <row r="457" customFormat="false" ht="15.75" hidden="false" customHeight="true" outlineLevel="0" collapsed="false">
      <c r="A457" s="135"/>
      <c r="B457" s="182"/>
      <c r="C457" s="135"/>
      <c r="D457" s="135"/>
      <c r="E457" s="182"/>
      <c r="F457" s="135"/>
      <c r="G457" s="135"/>
      <c r="H457" s="135"/>
      <c r="I457" s="135"/>
      <c r="J457" s="135"/>
      <c r="K457" s="135"/>
      <c r="L457" s="135"/>
      <c r="M457" s="135"/>
      <c r="N457" s="135"/>
      <c r="O457" s="135"/>
      <c r="P457" s="135"/>
      <c r="Q457" s="135"/>
      <c r="R457" s="135"/>
      <c r="S457" s="135"/>
    </row>
    <row r="458" customFormat="false" ht="15.75" hidden="false" customHeight="true" outlineLevel="0" collapsed="false">
      <c r="A458" s="135"/>
      <c r="B458" s="182"/>
      <c r="C458" s="135"/>
      <c r="D458" s="135"/>
      <c r="E458" s="182"/>
      <c r="F458" s="135"/>
      <c r="G458" s="135"/>
      <c r="H458" s="135"/>
      <c r="I458" s="135"/>
      <c r="J458" s="135"/>
      <c r="K458" s="135"/>
      <c r="L458" s="135"/>
      <c r="M458" s="135"/>
      <c r="N458" s="135"/>
      <c r="O458" s="135"/>
      <c r="P458" s="135"/>
      <c r="Q458" s="135"/>
      <c r="R458" s="135"/>
      <c r="S458" s="135"/>
    </row>
    <row r="459" customFormat="false" ht="15.75" hidden="false" customHeight="true" outlineLevel="0" collapsed="false">
      <c r="A459" s="135"/>
      <c r="B459" s="182"/>
      <c r="C459" s="135"/>
      <c r="D459" s="135"/>
      <c r="E459" s="182"/>
      <c r="F459" s="135"/>
      <c r="G459" s="135"/>
      <c r="H459" s="135"/>
      <c r="I459" s="135"/>
      <c r="J459" s="135"/>
      <c r="K459" s="135"/>
      <c r="L459" s="135"/>
      <c r="M459" s="135"/>
      <c r="N459" s="135"/>
      <c r="O459" s="135"/>
      <c r="P459" s="135"/>
      <c r="Q459" s="135"/>
      <c r="R459" s="135"/>
      <c r="S459" s="135"/>
    </row>
    <row r="460" customFormat="false" ht="15.75" hidden="false" customHeight="true" outlineLevel="0" collapsed="false">
      <c r="A460" s="135"/>
      <c r="B460" s="182"/>
      <c r="C460" s="135"/>
      <c r="D460" s="135"/>
      <c r="E460" s="182"/>
      <c r="F460" s="135"/>
      <c r="G460" s="135"/>
      <c r="H460" s="135"/>
      <c r="I460" s="135"/>
      <c r="J460" s="135"/>
      <c r="K460" s="135"/>
      <c r="L460" s="135"/>
      <c r="M460" s="135"/>
      <c r="N460" s="135"/>
      <c r="O460" s="135"/>
      <c r="P460" s="135"/>
      <c r="Q460" s="135"/>
      <c r="R460" s="135"/>
      <c r="S460" s="135"/>
    </row>
    <row r="461" customFormat="false" ht="15.75" hidden="false" customHeight="true" outlineLevel="0" collapsed="false">
      <c r="A461" s="135"/>
      <c r="B461" s="182"/>
      <c r="C461" s="135"/>
      <c r="D461" s="135"/>
      <c r="E461" s="182"/>
      <c r="F461" s="135"/>
      <c r="G461" s="135"/>
      <c r="H461" s="135"/>
      <c r="I461" s="135"/>
      <c r="J461" s="135"/>
      <c r="K461" s="135"/>
      <c r="L461" s="135"/>
      <c r="M461" s="135"/>
      <c r="N461" s="135"/>
      <c r="O461" s="135"/>
      <c r="P461" s="135"/>
      <c r="Q461" s="135"/>
      <c r="R461" s="135"/>
      <c r="S461" s="135"/>
    </row>
    <row r="462" customFormat="false" ht="15.75" hidden="false" customHeight="true" outlineLevel="0" collapsed="false">
      <c r="A462" s="135"/>
      <c r="B462" s="182"/>
      <c r="C462" s="135"/>
      <c r="D462" s="135"/>
      <c r="E462" s="182"/>
      <c r="F462" s="135"/>
      <c r="G462" s="135"/>
      <c r="H462" s="135"/>
      <c r="I462" s="135"/>
      <c r="J462" s="135"/>
      <c r="K462" s="135"/>
      <c r="L462" s="135"/>
      <c r="M462" s="135"/>
      <c r="N462" s="135"/>
      <c r="O462" s="135"/>
      <c r="P462" s="135"/>
      <c r="Q462" s="135"/>
      <c r="R462" s="135"/>
      <c r="S462" s="135"/>
    </row>
    <row r="463" customFormat="false" ht="15.75" hidden="false" customHeight="true" outlineLevel="0" collapsed="false">
      <c r="A463" s="135"/>
      <c r="B463" s="182"/>
      <c r="C463" s="135"/>
      <c r="D463" s="135"/>
      <c r="E463" s="182"/>
      <c r="F463" s="135"/>
      <c r="G463" s="135"/>
      <c r="H463" s="135"/>
      <c r="I463" s="135"/>
      <c r="J463" s="135"/>
      <c r="K463" s="135"/>
      <c r="L463" s="135"/>
      <c r="M463" s="135"/>
      <c r="N463" s="135"/>
      <c r="O463" s="135"/>
      <c r="P463" s="135"/>
      <c r="Q463" s="135"/>
      <c r="R463" s="135"/>
      <c r="S463" s="135"/>
    </row>
    <row r="464" customFormat="false" ht="15.75" hidden="false" customHeight="true" outlineLevel="0" collapsed="false">
      <c r="A464" s="135"/>
      <c r="B464" s="182"/>
      <c r="C464" s="135"/>
      <c r="D464" s="135"/>
      <c r="E464" s="182"/>
      <c r="F464" s="135"/>
      <c r="G464" s="135"/>
      <c r="H464" s="135"/>
      <c r="I464" s="135"/>
      <c r="J464" s="135"/>
      <c r="K464" s="135"/>
      <c r="L464" s="135"/>
      <c r="M464" s="135"/>
      <c r="N464" s="135"/>
      <c r="O464" s="135"/>
      <c r="P464" s="135"/>
      <c r="Q464" s="135"/>
      <c r="R464" s="135"/>
      <c r="S464" s="135"/>
    </row>
    <row r="465" customFormat="false" ht="15.75" hidden="false" customHeight="true" outlineLevel="0" collapsed="false">
      <c r="A465" s="135"/>
      <c r="B465" s="182"/>
      <c r="C465" s="135"/>
      <c r="D465" s="135"/>
      <c r="E465" s="182"/>
      <c r="F465" s="135"/>
      <c r="G465" s="135"/>
      <c r="H465" s="135"/>
      <c r="I465" s="135"/>
      <c r="J465" s="135"/>
      <c r="K465" s="135"/>
      <c r="L465" s="135"/>
      <c r="M465" s="135"/>
      <c r="N465" s="135"/>
      <c r="O465" s="135"/>
      <c r="P465" s="135"/>
      <c r="Q465" s="135"/>
      <c r="R465" s="135"/>
      <c r="S465" s="135"/>
    </row>
    <row r="466" customFormat="false" ht="15.75" hidden="false" customHeight="true" outlineLevel="0" collapsed="false">
      <c r="A466" s="135"/>
      <c r="B466" s="182"/>
      <c r="C466" s="135"/>
      <c r="D466" s="135"/>
      <c r="E466" s="182"/>
      <c r="F466" s="135"/>
      <c r="G466" s="135"/>
      <c r="H466" s="135"/>
      <c r="I466" s="135"/>
      <c r="J466" s="135"/>
      <c r="K466" s="135"/>
      <c r="L466" s="135"/>
      <c r="M466" s="135"/>
      <c r="N466" s="135"/>
      <c r="O466" s="135"/>
      <c r="P466" s="135"/>
      <c r="Q466" s="135"/>
      <c r="R466" s="135"/>
      <c r="S466" s="135"/>
    </row>
    <row r="467" customFormat="false" ht="15.75" hidden="false" customHeight="true" outlineLevel="0" collapsed="false">
      <c r="A467" s="135"/>
      <c r="B467" s="182"/>
      <c r="C467" s="135"/>
      <c r="D467" s="135"/>
      <c r="E467" s="182"/>
      <c r="F467" s="135"/>
      <c r="G467" s="135"/>
      <c r="H467" s="135"/>
      <c r="I467" s="135"/>
      <c r="J467" s="135"/>
      <c r="K467" s="135"/>
      <c r="L467" s="135"/>
      <c r="M467" s="135"/>
      <c r="N467" s="135"/>
      <c r="O467" s="135"/>
      <c r="P467" s="135"/>
      <c r="Q467" s="135"/>
      <c r="R467" s="135"/>
      <c r="S467" s="135"/>
    </row>
    <row r="468" customFormat="false" ht="15.75" hidden="false" customHeight="true" outlineLevel="0" collapsed="false">
      <c r="A468" s="135"/>
      <c r="B468" s="182"/>
      <c r="C468" s="135"/>
      <c r="D468" s="135"/>
      <c r="E468" s="182"/>
      <c r="F468" s="135"/>
      <c r="G468" s="135"/>
      <c r="H468" s="135"/>
      <c r="I468" s="135"/>
      <c r="J468" s="135"/>
      <c r="K468" s="135"/>
      <c r="L468" s="135"/>
      <c r="M468" s="135"/>
      <c r="N468" s="135"/>
      <c r="O468" s="135"/>
      <c r="P468" s="135"/>
      <c r="Q468" s="135"/>
      <c r="R468" s="135"/>
      <c r="S468" s="135"/>
    </row>
    <row r="469" customFormat="false" ht="15.75" hidden="false" customHeight="true" outlineLevel="0" collapsed="false">
      <c r="A469" s="135"/>
      <c r="B469" s="182"/>
      <c r="C469" s="135"/>
      <c r="D469" s="135"/>
      <c r="E469" s="182"/>
      <c r="F469" s="135"/>
      <c r="G469" s="135"/>
      <c r="H469" s="135"/>
      <c r="I469" s="135"/>
      <c r="J469" s="135"/>
      <c r="K469" s="135"/>
      <c r="L469" s="135"/>
      <c r="M469" s="135"/>
      <c r="N469" s="135"/>
      <c r="O469" s="135"/>
      <c r="P469" s="135"/>
      <c r="Q469" s="135"/>
      <c r="R469" s="135"/>
      <c r="S469" s="135"/>
    </row>
    <row r="470" customFormat="false" ht="15.75" hidden="false" customHeight="true" outlineLevel="0" collapsed="false">
      <c r="A470" s="135"/>
      <c r="B470" s="182"/>
      <c r="C470" s="135"/>
      <c r="D470" s="135"/>
      <c r="E470" s="182"/>
      <c r="F470" s="135"/>
      <c r="G470" s="135"/>
      <c r="H470" s="135"/>
      <c r="I470" s="135"/>
      <c r="J470" s="135"/>
      <c r="K470" s="135"/>
      <c r="L470" s="135"/>
      <c r="M470" s="135"/>
      <c r="N470" s="135"/>
      <c r="O470" s="135"/>
      <c r="P470" s="135"/>
      <c r="Q470" s="135"/>
      <c r="R470" s="135"/>
      <c r="S470" s="135"/>
    </row>
    <row r="471" customFormat="false" ht="15.75" hidden="false" customHeight="true" outlineLevel="0" collapsed="false">
      <c r="A471" s="135"/>
      <c r="B471" s="182"/>
      <c r="C471" s="135"/>
      <c r="D471" s="135"/>
      <c r="E471" s="182"/>
      <c r="F471" s="135"/>
      <c r="G471" s="135"/>
      <c r="H471" s="135"/>
      <c r="I471" s="135"/>
      <c r="J471" s="135"/>
      <c r="K471" s="135"/>
      <c r="L471" s="135"/>
      <c r="M471" s="135"/>
      <c r="N471" s="135"/>
      <c r="O471" s="135"/>
      <c r="P471" s="135"/>
      <c r="Q471" s="135"/>
      <c r="R471" s="135"/>
      <c r="S471" s="135"/>
    </row>
    <row r="472" customFormat="false" ht="15.75" hidden="false" customHeight="true" outlineLevel="0" collapsed="false">
      <c r="A472" s="135"/>
      <c r="B472" s="182"/>
      <c r="C472" s="135"/>
      <c r="D472" s="135"/>
      <c r="E472" s="182"/>
      <c r="F472" s="135"/>
      <c r="G472" s="135"/>
      <c r="H472" s="135"/>
      <c r="I472" s="135"/>
      <c r="J472" s="135"/>
      <c r="K472" s="135"/>
      <c r="L472" s="135"/>
      <c r="M472" s="135"/>
      <c r="N472" s="135"/>
      <c r="O472" s="135"/>
      <c r="P472" s="135"/>
      <c r="Q472" s="135"/>
      <c r="R472" s="135"/>
      <c r="S472" s="135"/>
    </row>
    <row r="473" customFormat="false" ht="15.75" hidden="false" customHeight="true" outlineLevel="0" collapsed="false">
      <c r="A473" s="135"/>
      <c r="B473" s="182"/>
      <c r="C473" s="135"/>
      <c r="D473" s="135"/>
      <c r="E473" s="182"/>
      <c r="F473" s="135"/>
      <c r="G473" s="135"/>
      <c r="H473" s="135"/>
      <c r="I473" s="135"/>
      <c r="J473" s="135"/>
      <c r="K473" s="135"/>
      <c r="L473" s="135"/>
      <c r="M473" s="135"/>
      <c r="N473" s="135"/>
      <c r="O473" s="135"/>
      <c r="P473" s="135"/>
      <c r="Q473" s="135"/>
      <c r="R473" s="135"/>
      <c r="S473" s="135"/>
    </row>
    <row r="474" customFormat="false" ht="15.75" hidden="false" customHeight="true" outlineLevel="0" collapsed="false">
      <c r="A474" s="135"/>
      <c r="B474" s="182"/>
      <c r="C474" s="135"/>
      <c r="D474" s="135"/>
      <c r="E474" s="182"/>
      <c r="F474" s="135"/>
      <c r="G474" s="135"/>
      <c r="H474" s="135"/>
      <c r="I474" s="135"/>
      <c r="J474" s="135"/>
      <c r="K474" s="135"/>
      <c r="L474" s="135"/>
      <c r="M474" s="135"/>
      <c r="N474" s="135"/>
      <c r="O474" s="135"/>
      <c r="P474" s="135"/>
      <c r="Q474" s="135"/>
      <c r="R474" s="135"/>
      <c r="S474" s="135"/>
    </row>
    <row r="475" customFormat="false" ht="15.75" hidden="false" customHeight="true" outlineLevel="0" collapsed="false">
      <c r="A475" s="135"/>
      <c r="B475" s="182"/>
      <c r="C475" s="135"/>
      <c r="D475" s="135"/>
      <c r="E475" s="182"/>
      <c r="F475" s="135"/>
      <c r="G475" s="135"/>
      <c r="H475" s="135"/>
      <c r="I475" s="135"/>
      <c r="J475" s="135"/>
      <c r="K475" s="135"/>
      <c r="L475" s="135"/>
      <c r="M475" s="135"/>
      <c r="N475" s="135"/>
      <c r="O475" s="135"/>
      <c r="P475" s="135"/>
      <c r="Q475" s="135"/>
      <c r="R475" s="135"/>
      <c r="S475" s="135"/>
    </row>
    <row r="476" customFormat="false" ht="15.75" hidden="false" customHeight="true" outlineLevel="0" collapsed="false">
      <c r="A476" s="135"/>
      <c r="B476" s="182"/>
      <c r="C476" s="135"/>
      <c r="D476" s="135"/>
      <c r="E476" s="182"/>
      <c r="F476" s="135"/>
      <c r="G476" s="135"/>
      <c r="H476" s="135"/>
      <c r="I476" s="135"/>
      <c r="J476" s="135"/>
      <c r="K476" s="135"/>
      <c r="L476" s="135"/>
      <c r="M476" s="135"/>
      <c r="N476" s="135"/>
      <c r="O476" s="135"/>
      <c r="P476" s="135"/>
      <c r="Q476" s="135"/>
      <c r="R476" s="135"/>
      <c r="S476" s="135"/>
    </row>
    <row r="477" customFormat="false" ht="15.75" hidden="false" customHeight="true" outlineLevel="0" collapsed="false">
      <c r="A477" s="135"/>
      <c r="B477" s="182"/>
      <c r="C477" s="135"/>
      <c r="D477" s="135"/>
      <c r="E477" s="182"/>
      <c r="F477" s="135"/>
      <c r="G477" s="135"/>
      <c r="H477" s="135"/>
      <c r="I477" s="135"/>
      <c r="J477" s="135"/>
      <c r="K477" s="135"/>
      <c r="L477" s="135"/>
      <c r="M477" s="135"/>
      <c r="N477" s="135"/>
      <c r="O477" s="135"/>
      <c r="P477" s="135"/>
      <c r="Q477" s="135"/>
      <c r="R477" s="135"/>
      <c r="S477" s="135"/>
    </row>
    <row r="478" customFormat="false" ht="15.75" hidden="false" customHeight="true" outlineLevel="0" collapsed="false">
      <c r="A478" s="135"/>
      <c r="B478" s="182"/>
      <c r="C478" s="135"/>
      <c r="D478" s="135"/>
      <c r="E478" s="182"/>
      <c r="F478" s="135"/>
      <c r="G478" s="135"/>
      <c r="H478" s="135"/>
      <c r="I478" s="135"/>
      <c r="J478" s="135"/>
      <c r="K478" s="135"/>
      <c r="L478" s="135"/>
      <c r="M478" s="135"/>
      <c r="N478" s="135"/>
      <c r="O478" s="135"/>
      <c r="P478" s="135"/>
      <c r="Q478" s="135"/>
      <c r="R478" s="135"/>
      <c r="S478" s="135"/>
    </row>
    <row r="479" customFormat="false" ht="15.75" hidden="false" customHeight="true" outlineLevel="0" collapsed="false">
      <c r="A479" s="135"/>
      <c r="B479" s="182"/>
      <c r="C479" s="135"/>
      <c r="D479" s="135"/>
      <c r="E479" s="182"/>
      <c r="F479" s="135"/>
      <c r="G479" s="135"/>
      <c r="H479" s="135"/>
      <c r="I479" s="135"/>
      <c r="J479" s="135"/>
      <c r="K479" s="135"/>
      <c r="L479" s="135"/>
      <c r="M479" s="135"/>
      <c r="N479" s="135"/>
      <c r="O479" s="135"/>
      <c r="P479" s="135"/>
      <c r="Q479" s="135"/>
      <c r="R479" s="135"/>
      <c r="S479" s="135"/>
    </row>
    <row r="480" customFormat="false" ht="15.75" hidden="false" customHeight="true" outlineLevel="0" collapsed="false">
      <c r="A480" s="135"/>
      <c r="B480" s="182"/>
      <c r="C480" s="135"/>
      <c r="D480" s="135"/>
      <c r="E480" s="182"/>
      <c r="F480" s="135"/>
      <c r="G480" s="135"/>
      <c r="H480" s="135"/>
      <c r="I480" s="135"/>
      <c r="J480" s="135"/>
      <c r="K480" s="135"/>
      <c r="L480" s="135"/>
      <c r="M480" s="135"/>
      <c r="N480" s="135"/>
      <c r="O480" s="135"/>
      <c r="P480" s="135"/>
      <c r="Q480" s="135"/>
      <c r="R480" s="135"/>
      <c r="S480" s="135"/>
    </row>
    <row r="481" customFormat="false" ht="15.75" hidden="false" customHeight="true" outlineLevel="0" collapsed="false">
      <c r="A481" s="135"/>
      <c r="B481" s="182"/>
      <c r="C481" s="135"/>
      <c r="D481" s="135"/>
      <c r="E481" s="182"/>
      <c r="F481" s="135"/>
      <c r="G481" s="135"/>
      <c r="H481" s="135"/>
      <c r="I481" s="135"/>
      <c r="J481" s="135"/>
      <c r="K481" s="135"/>
      <c r="L481" s="135"/>
      <c r="M481" s="135"/>
      <c r="N481" s="135"/>
      <c r="O481" s="135"/>
      <c r="P481" s="135"/>
      <c r="Q481" s="135"/>
      <c r="R481" s="135"/>
      <c r="S481" s="135"/>
    </row>
    <row r="482" customFormat="false" ht="15.75" hidden="false" customHeight="true" outlineLevel="0" collapsed="false">
      <c r="A482" s="135"/>
      <c r="B482" s="182"/>
      <c r="C482" s="135"/>
      <c r="D482" s="135"/>
      <c r="E482" s="182"/>
      <c r="F482" s="135"/>
      <c r="G482" s="135"/>
      <c r="H482" s="135"/>
      <c r="I482" s="135"/>
      <c r="J482" s="135"/>
      <c r="K482" s="135"/>
      <c r="L482" s="135"/>
      <c r="M482" s="135"/>
      <c r="N482" s="135"/>
      <c r="O482" s="135"/>
      <c r="P482" s="135"/>
      <c r="Q482" s="135"/>
      <c r="R482" s="135"/>
      <c r="S482" s="135"/>
    </row>
    <row r="483" customFormat="false" ht="15.75" hidden="false" customHeight="true" outlineLevel="0" collapsed="false">
      <c r="A483" s="135"/>
      <c r="B483" s="182"/>
      <c r="C483" s="135"/>
      <c r="D483" s="135"/>
      <c r="E483" s="182"/>
      <c r="F483" s="135"/>
      <c r="G483" s="135"/>
      <c r="H483" s="135"/>
      <c r="I483" s="135"/>
      <c r="J483" s="135"/>
      <c r="K483" s="135"/>
      <c r="L483" s="135"/>
      <c r="M483" s="135"/>
      <c r="N483" s="135"/>
      <c r="O483" s="135"/>
      <c r="P483" s="135"/>
      <c r="Q483" s="135"/>
      <c r="R483" s="135"/>
      <c r="S483" s="135"/>
    </row>
    <row r="484" customFormat="false" ht="15.75" hidden="false" customHeight="true" outlineLevel="0" collapsed="false">
      <c r="A484" s="135"/>
      <c r="B484" s="182"/>
      <c r="C484" s="135"/>
      <c r="D484" s="135"/>
      <c r="E484" s="182"/>
      <c r="F484" s="135"/>
      <c r="G484" s="135"/>
      <c r="H484" s="135"/>
      <c r="I484" s="135"/>
      <c r="J484" s="135"/>
      <c r="K484" s="135"/>
      <c r="L484" s="135"/>
      <c r="M484" s="135"/>
      <c r="N484" s="135"/>
      <c r="O484" s="135"/>
      <c r="P484" s="135"/>
      <c r="Q484" s="135"/>
      <c r="R484" s="135"/>
      <c r="S484" s="135"/>
    </row>
    <row r="485" customFormat="false" ht="15.75" hidden="false" customHeight="true" outlineLevel="0" collapsed="false">
      <c r="A485" s="135"/>
      <c r="B485" s="182"/>
      <c r="C485" s="135"/>
      <c r="D485" s="135"/>
      <c r="E485" s="182"/>
      <c r="F485" s="135"/>
      <c r="G485" s="135"/>
      <c r="H485" s="135"/>
      <c r="I485" s="135"/>
      <c r="J485" s="135"/>
      <c r="K485" s="135"/>
      <c r="L485" s="135"/>
      <c r="M485" s="135"/>
      <c r="N485" s="135"/>
      <c r="O485" s="135"/>
      <c r="P485" s="135"/>
      <c r="Q485" s="135"/>
      <c r="R485" s="135"/>
      <c r="S485" s="135"/>
    </row>
    <row r="486" customFormat="false" ht="15.75" hidden="false" customHeight="true" outlineLevel="0" collapsed="false">
      <c r="A486" s="135"/>
      <c r="B486" s="182"/>
      <c r="C486" s="135"/>
      <c r="D486" s="135"/>
      <c r="E486" s="182"/>
      <c r="F486" s="135"/>
      <c r="G486" s="135"/>
      <c r="H486" s="135"/>
      <c r="I486" s="135"/>
      <c r="J486" s="135"/>
      <c r="K486" s="135"/>
      <c r="L486" s="135"/>
      <c r="M486" s="135"/>
      <c r="N486" s="135"/>
      <c r="O486" s="135"/>
      <c r="P486" s="135"/>
      <c r="Q486" s="135"/>
      <c r="R486" s="135"/>
      <c r="S486" s="135"/>
    </row>
    <row r="487" customFormat="false" ht="15.75" hidden="false" customHeight="true" outlineLevel="0" collapsed="false">
      <c r="A487" s="135"/>
      <c r="B487" s="182"/>
      <c r="C487" s="135"/>
      <c r="D487" s="135"/>
      <c r="E487" s="182"/>
      <c r="F487" s="135"/>
      <c r="G487" s="135"/>
      <c r="H487" s="135"/>
      <c r="I487" s="135"/>
      <c r="J487" s="135"/>
      <c r="K487" s="135"/>
      <c r="L487" s="135"/>
      <c r="M487" s="135"/>
      <c r="N487" s="135"/>
      <c r="O487" s="135"/>
      <c r="P487" s="135"/>
      <c r="Q487" s="135"/>
      <c r="R487" s="135"/>
      <c r="S487" s="135"/>
    </row>
    <row r="488" customFormat="false" ht="15.75" hidden="false" customHeight="true" outlineLevel="0" collapsed="false">
      <c r="A488" s="135"/>
      <c r="B488" s="182"/>
      <c r="C488" s="135"/>
      <c r="D488" s="135"/>
      <c r="E488" s="182"/>
      <c r="F488" s="135"/>
      <c r="G488" s="135"/>
      <c r="H488" s="135"/>
      <c r="I488" s="135"/>
      <c r="J488" s="135"/>
      <c r="K488" s="135"/>
      <c r="L488" s="135"/>
      <c r="M488" s="135"/>
      <c r="N488" s="135"/>
      <c r="O488" s="135"/>
      <c r="P488" s="135"/>
      <c r="Q488" s="135"/>
      <c r="R488" s="135"/>
      <c r="S488" s="135"/>
    </row>
    <row r="489" customFormat="false" ht="15.75" hidden="false" customHeight="true" outlineLevel="0" collapsed="false">
      <c r="A489" s="135"/>
      <c r="B489" s="182"/>
      <c r="C489" s="135"/>
      <c r="D489" s="135"/>
      <c r="E489" s="182"/>
      <c r="F489" s="135"/>
      <c r="G489" s="135"/>
      <c r="H489" s="135"/>
      <c r="I489" s="135"/>
      <c r="J489" s="135"/>
      <c r="K489" s="135"/>
      <c r="L489" s="135"/>
      <c r="M489" s="135"/>
      <c r="N489" s="135"/>
      <c r="O489" s="135"/>
      <c r="P489" s="135"/>
      <c r="Q489" s="135"/>
      <c r="R489" s="135"/>
      <c r="S489" s="135"/>
    </row>
    <row r="490" customFormat="false" ht="15.75" hidden="false" customHeight="true" outlineLevel="0" collapsed="false">
      <c r="A490" s="135"/>
      <c r="B490" s="182"/>
      <c r="C490" s="135"/>
      <c r="D490" s="135"/>
      <c r="E490" s="182"/>
      <c r="F490" s="135"/>
      <c r="G490" s="135"/>
      <c r="H490" s="135"/>
      <c r="I490" s="135"/>
      <c r="J490" s="135"/>
      <c r="K490" s="135"/>
      <c r="L490" s="135"/>
      <c r="M490" s="135"/>
      <c r="N490" s="135"/>
      <c r="O490" s="135"/>
      <c r="P490" s="135"/>
      <c r="Q490" s="135"/>
      <c r="R490" s="135"/>
      <c r="S490" s="135"/>
    </row>
    <row r="491" customFormat="false" ht="15.75" hidden="false" customHeight="true" outlineLevel="0" collapsed="false">
      <c r="A491" s="135"/>
      <c r="B491" s="182"/>
      <c r="C491" s="135"/>
      <c r="D491" s="135"/>
      <c r="E491" s="182"/>
      <c r="F491" s="135"/>
      <c r="G491" s="135"/>
      <c r="H491" s="135"/>
      <c r="I491" s="135"/>
      <c r="J491" s="135"/>
      <c r="K491" s="135"/>
      <c r="L491" s="135"/>
      <c r="M491" s="135"/>
      <c r="N491" s="135"/>
      <c r="O491" s="135"/>
      <c r="P491" s="135"/>
      <c r="Q491" s="135"/>
      <c r="R491" s="135"/>
      <c r="S491" s="135"/>
    </row>
    <row r="492" customFormat="false" ht="15.75" hidden="false" customHeight="true" outlineLevel="0" collapsed="false">
      <c r="A492" s="135"/>
      <c r="B492" s="182"/>
      <c r="C492" s="135"/>
      <c r="D492" s="135"/>
      <c r="E492" s="182"/>
      <c r="F492" s="135"/>
      <c r="G492" s="135"/>
      <c r="H492" s="135"/>
      <c r="I492" s="135"/>
      <c r="J492" s="135"/>
      <c r="K492" s="135"/>
      <c r="L492" s="135"/>
      <c r="M492" s="135"/>
      <c r="N492" s="135"/>
      <c r="O492" s="135"/>
      <c r="P492" s="135"/>
      <c r="Q492" s="135"/>
      <c r="R492" s="135"/>
      <c r="S492" s="135"/>
    </row>
    <row r="493" customFormat="false" ht="15.75" hidden="false" customHeight="true" outlineLevel="0" collapsed="false">
      <c r="A493" s="135"/>
      <c r="B493" s="182"/>
      <c r="C493" s="135"/>
      <c r="D493" s="135"/>
      <c r="E493" s="182"/>
      <c r="F493" s="135"/>
      <c r="G493" s="135"/>
      <c r="H493" s="135"/>
      <c r="I493" s="135"/>
      <c r="J493" s="135"/>
      <c r="K493" s="135"/>
      <c r="L493" s="135"/>
      <c r="M493" s="135"/>
      <c r="N493" s="135"/>
      <c r="O493" s="135"/>
      <c r="P493" s="135"/>
      <c r="Q493" s="135"/>
      <c r="R493" s="135"/>
      <c r="S493" s="135"/>
    </row>
    <row r="494" customFormat="false" ht="15.75" hidden="false" customHeight="true" outlineLevel="0" collapsed="false">
      <c r="A494" s="135"/>
      <c r="B494" s="182"/>
      <c r="C494" s="135"/>
      <c r="D494" s="135"/>
      <c r="E494" s="182"/>
      <c r="F494" s="135"/>
      <c r="G494" s="135"/>
      <c r="H494" s="135"/>
      <c r="I494" s="135"/>
      <c r="J494" s="135"/>
      <c r="K494" s="135"/>
      <c r="L494" s="135"/>
      <c r="M494" s="135"/>
      <c r="N494" s="135"/>
      <c r="O494" s="135"/>
      <c r="P494" s="135"/>
      <c r="Q494" s="135"/>
      <c r="R494" s="135"/>
      <c r="S494" s="135"/>
    </row>
    <row r="495" customFormat="false" ht="15.75" hidden="false" customHeight="true" outlineLevel="0" collapsed="false">
      <c r="A495" s="135"/>
      <c r="B495" s="182"/>
      <c r="C495" s="135"/>
      <c r="D495" s="135"/>
      <c r="E495" s="182"/>
      <c r="F495" s="135"/>
      <c r="G495" s="135"/>
      <c r="H495" s="135"/>
      <c r="I495" s="135"/>
      <c r="J495" s="135"/>
      <c r="K495" s="135"/>
      <c r="L495" s="135"/>
      <c r="M495" s="135"/>
      <c r="N495" s="135"/>
      <c r="O495" s="135"/>
      <c r="P495" s="135"/>
      <c r="Q495" s="135"/>
      <c r="R495" s="135"/>
      <c r="S495" s="135"/>
    </row>
    <row r="496" customFormat="false" ht="15.75" hidden="false" customHeight="true" outlineLevel="0" collapsed="false">
      <c r="A496" s="135"/>
      <c r="B496" s="182"/>
      <c r="C496" s="135"/>
      <c r="D496" s="135"/>
      <c r="E496" s="182"/>
      <c r="F496" s="135"/>
      <c r="G496" s="135"/>
      <c r="H496" s="135"/>
      <c r="I496" s="135"/>
      <c r="J496" s="135"/>
      <c r="K496" s="135"/>
      <c r="L496" s="135"/>
      <c r="M496" s="135"/>
      <c r="N496" s="135"/>
      <c r="O496" s="135"/>
      <c r="P496" s="135"/>
      <c r="Q496" s="135"/>
      <c r="R496" s="135"/>
      <c r="S496" s="135"/>
    </row>
    <row r="497" customFormat="false" ht="15.75" hidden="false" customHeight="true" outlineLevel="0" collapsed="false">
      <c r="A497" s="135"/>
      <c r="B497" s="182"/>
      <c r="C497" s="135"/>
      <c r="D497" s="135"/>
      <c r="E497" s="182"/>
      <c r="F497" s="135"/>
      <c r="G497" s="135"/>
      <c r="H497" s="135"/>
      <c r="I497" s="135"/>
      <c r="J497" s="135"/>
      <c r="K497" s="135"/>
      <c r="L497" s="135"/>
      <c r="M497" s="135"/>
      <c r="N497" s="135"/>
      <c r="O497" s="135"/>
      <c r="P497" s="135"/>
      <c r="Q497" s="135"/>
      <c r="R497" s="135"/>
      <c r="S497" s="135"/>
    </row>
    <row r="498" customFormat="false" ht="15.75" hidden="false" customHeight="true" outlineLevel="0" collapsed="false">
      <c r="A498" s="135"/>
      <c r="B498" s="182"/>
      <c r="C498" s="135"/>
      <c r="D498" s="135"/>
      <c r="E498" s="182"/>
      <c r="F498" s="135"/>
      <c r="G498" s="135"/>
      <c r="H498" s="135"/>
      <c r="I498" s="135"/>
      <c r="J498" s="135"/>
      <c r="K498" s="135"/>
      <c r="L498" s="135"/>
      <c r="M498" s="135"/>
      <c r="N498" s="135"/>
      <c r="O498" s="135"/>
      <c r="P498" s="135"/>
      <c r="Q498" s="135"/>
      <c r="R498" s="135"/>
      <c r="S498" s="135"/>
    </row>
    <row r="499" customFormat="false" ht="15.75" hidden="false" customHeight="true" outlineLevel="0" collapsed="false">
      <c r="A499" s="135"/>
      <c r="B499" s="182"/>
      <c r="C499" s="135"/>
      <c r="D499" s="135"/>
      <c r="E499" s="182"/>
      <c r="F499" s="135"/>
      <c r="G499" s="135"/>
      <c r="H499" s="135"/>
      <c r="I499" s="135"/>
      <c r="J499" s="135"/>
      <c r="K499" s="135"/>
      <c r="L499" s="135"/>
      <c r="M499" s="135"/>
      <c r="N499" s="135"/>
      <c r="O499" s="135"/>
      <c r="P499" s="135"/>
      <c r="Q499" s="135"/>
      <c r="R499" s="135"/>
      <c r="S499" s="135"/>
    </row>
    <row r="500" customFormat="false" ht="15.75" hidden="false" customHeight="true" outlineLevel="0" collapsed="false">
      <c r="A500" s="135"/>
      <c r="B500" s="182"/>
      <c r="C500" s="135"/>
      <c r="D500" s="135"/>
      <c r="E500" s="182"/>
      <c r="F500" s="135"/>
      <c r="G500" s="135"/>
      <c r="H500" s="135"/>
      <c r="I500" s="135"/>
      <c r="J500" s="135"/>
      <c r="K500" s="135"/>
      <c r="L500" s="135"/>
      <c r="M500" s="135"/>
      <c r="N500" s="135"/>
      <c r="O500" s="135"/>
      <c r="P500" s="135"/>
      <c r="Q500" s="135"/>
      <c r="R500" s="135"/>
      <c r="S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R9"/>
  <conditionalFormatting sqref="L3:L1000">
    <cfRule type="cellIs" priority="2" operator="equal" aboveAverage="0" equalAverage="0" bottom="0" percent="0" rank="0" text="" dxfId="14">
      <formula>"no_show"</formula>
    </cfRule>
    <cfRule type="cellIs" priority="3" operator="equal" aboveAverage="0" equalAverage="0" bottom="0" percent="0" rank="0" text="" dxfId="18">
      <formula>"completed"</formula>
    </cfRule>
  </conditionalFormatting>
  <conditionalFormatting sqref="N3:N1000">
    <cfRule type="cellIs" priority="4" operator="equal" aboveAverage="0" equalAverage="0" bottom="0" percent="0" rank="0" text="" dxfId="18">
      <formula>"improved"</formula>
    </cfRule>
    <cfRule type="cellIs" priority="5" operator="equal" aboveAverage="0" equalAverage="0" bottom="0" percent="0" rank="0" text="" dxfId="16">
      <formula>"needs_more"</formula>
    </cfRule>
  </conditionalFormatting>
  <conditionalFormatting sqref="S4:S9">
    <cfRule type="expression" priority="6" aboveAverage="0" equalAverage="0" bottom="0" percent="0" rank="0" text="" dxfId="31">
      <formula>OR(ISNUMBER(SEARCH("🔴",S4)),ISNUMBER(SEARCH("KHẨN",S4)))</formula>
    </cfRule>
    <cfRule type="expression" priority="7" aboveAverage="0" equalAverage="0" bottom="0" percent="0" rank="0" text="" dxfId="15">
      <formula>ISNUMBER(SEARCH("🟡",S4))</formula>
    </cfRule>
    <cfRule type="expression" priority="8" aboveAverage="0" equalAverage="0" bottom="0" percent="0" rank="0" text="" dxfId="18">
      <formula>ISNUMBER(SEARCH("✅",S4))</formula>
    </cfRule>
  </conditionalFormatting>
  <conditionalFormatting sqref="S4:S1000">
    <cfRule type="expression" priority="9" aboveAverage="0" equalAverage="0" bottom="0" percent="0" rank="0" text="" dxfId="19">
      <formula>OR(ISNUMBER(SEARCH(" ngay",S4)),ISNUMBER(SEARCH(" gấp",S4)),ISNUMBER(SEARCH("GỌI",S4)),ISNUMBER(SEARCH("NGUY",S4)))</formula>
    </cfRule>
    <cfRule type="expression" priority="10" aboveAverage="0" equalAverage="0" bottom="0" percent="0" rank="0" text="" dxfId="20">
      <formula>ISNUMBER(SEARCH("Không cần làm gì",S4))</formula>
    </cfRule>
    <cfRule type="expression" priority="11" aboveAverage="0" equalAverage="0" bottom="0" percent="0" rank="0" text="" dxfId="21">
      <formula>LEN(S4)&gt;0</formula>
    </cfRule>
  </conditionalFormatting>
  <dataValidations count="6">
    <dataValidation allowBlank="true" errorStyle="stop" operator="between" showDropDown="false" showErrorMessage="false" showInputMessage="false" sqref="N4:N1000" type="list">
      <formula1>'CH1. Danh mục lựa chọn'!$B$268:$B$270</formula1>
      <formula2>0</formula2>
    </dataValidation>
    <dataValidation allowBlank="true" errorStyle="stop" operator="between" showDropDown="false" showErrorMessage="false" showInputMessage="false" sqref="F4:F1000" type="list">
      <formula1>'CH1. Danh mục lựa chọn'!$B$245:$B$248</formula1>
      <formula2>0</formula2>
    </dataValidation>
    <dataValidation allowBlank="true" errorStyle="stop" operator="between" showDropDown="false" showErrorMessage="false" showInputMessage="false" sqref="H4:H1000" type="list">
      <formula1>'CH1. Danh mục lựa chọn'!$B$235:$B$241</formula1>
      <formula2>0</formula2>
    </dataValidation>
    <dataValidation allowBlank="true" errorStyle="stop" operator="between" showDropDown="false" showErrorMessage="false" showInputMessage="false" sqref="L4:L1000" type="list">
      <formula1>'CH1. Danh mục lựa chọn'!$B$260:$B$264</formula1>
      <formula2>0</formula2>
    </dataValidation>
    <dataValidation allowBlank="true" errorStyle="stop" operator="between" showDropDown="false" showErrorMessage="false" showInputMessage="false" sqref="G4:G1000" type="list">
      <formula1>'CH1. Danh mục lựa chọn'!$B$252:$B$256</formula1>
      <formula2>0</formula2>
    </dataValidation>
    <dataValidation allowBlank="true" errorStyle="stop" operator="between" showDropDown="false" showErrorMessage="false" showInputMessage="false" sqref="O4:O1000" type="list">
      <formula1>'CH1. Danh mục lựa chọn'!$B$274:$B$277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S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5.29"/>
    <col collapsed="false" customWidth="true" hidden="false" outlineLevel="0" max="2" min="2" style="1" width="15.71"/>
    <col collapsed="false" customWidth="true" hidden="false" outlineLevel="0" max="3" min="3" style="1" width="20"/>
    <col collapsed="false" customWidth="true" hidden="false" outlineLevel="0" max="4" min="4" style="1" width="20.57"/>
    <col collapsed="false" customWidth="true" hidden="false" outlineLevel="0" max="5" min="5" style="1" width="19.57"/>
    <col collapsed="false" customWidth="true" hidden="false" outlineLevel="0" max="6" min="6" style="1" width="15"/>
    <col collapsed="false" customWidth="true" hidden="false" outlineLevel="0" max="7" min="7" style="1" width="21.29"/>
    <col collapsed="false" customWidth="true" hidden="false" outlineLevel="0" max="8" min="8" style="1" width="19.43"/>
    <col collapsed="false" customWidth="true" hidden="false" outlineLevel="0" max="9" min="9" style="1" width="23.71"/>
    <col collapsed="false" customWidth="true" hidden="false" outlineLevel="0" max="10" min="10" style="1" width="15"/>
    <col collapsed="false" customWidth="true" hidden="false" outlineLevel="0" max="11" min="11" style="1" width="26.71"/>
    <col collapsed="false" customWidth="true" hidden="false" outlineLevel="0" max="12" min="12" style="1" width="25.43"/>
    <col collapsed="false" customWidth="true" hidden="false" outlineLevel="0" max="13" min="13" style="1" width="26.43"/>
    <col collapsed="false" customWidth="true" hidden="false" outlineLevel="0" max="14" min="14" style="1" width="17.43"/>
    <col collapsed="false" customWidth="true" hidden="false" outlineLevel="0" max="15" min="15" style="1" width="23.86"/>
    <col collapsed="false" customWidth="true" hidden="false" outlineLevel="0" max="16" min="16" style="1" width="19.86"/>
    <col collapsed="false" customWidth="true" hidden="false" outlineLevel="0" max="17" min="17" style="1" width="10.14"/>
    <col collapsed="false" customWidth="true" hidden="false" outlineLevel="0" max="18" min="18" style="1" width="81.86"/>
    <col collapsed="false" customWidth="true" hidden="false" outlineLevel="0" max="19" min="19" style="1" width="33.86"/>
    <col collapsed="false" customWidth="true" hidden="false" outlineLevel="0" max="26" min="20" style="1" width="8.71"/>
  </cols>
  <sheetData>
    <row r="1" customFormat="false" ht="51.75" hidden="false" customHeight="true" outlineLevel="0" collapsed="false">
      <c r="A1" s="103" t="s">
        <v>3472</v>
      </c>
      <c r="B1" s="103" t="s">
        <v>850</v>
      </c>
      <c r="C1" s="103" t="s">
        <v>3300</v>
      </c>
      <c r="D1" s="103" t="s">
        <v>872</v>
      </c>
      <c r="E1" s="103" t="s">
        <v>3473</v>
      </c>
      <c r="F1" s="103" t="s">
        <v>3474</v>
      </c>
      <c r="G1" s="103" t="s">
        <v>3475</v>
      </c>
      <c r="H1" s="103" t="s">
        <v>906</v>
      </c>
      <c r="I1" s="103" t="s">
        <v>3476</v>
      </c>
      <c r="J1" s="103" t="s">
        <v>3477</v>
      </c>
      <c r="K1" s="103" t="s">
        <v>3478</v>
      </c>
      <c r="L1" s="103" t="s">
        <v>3479</v>
      </c>
      <c r="M1" s="103" t="s">
        <v>3480</v>
      </c>
      <c r="N1" s="103" t="s">
        <v>3481</v>
      </c>
      <c r="O1" s="103" t="s">
        <v>907</v>
      </c>
      <c r="P1" s="103" t="s">
        <v>3482</v>
      </c>
      <c r="Q1" s="103" t="s">
        <v>2270</v>
      </c>
      <c r="R1" s="183" t="s">
        <v>480</v>
      </c>
      <c r="S1" s="103" t="s">
        <v>875</v>
      </c>
    </row>
    <row r="2" customFormat="false" ht="15" hidden="false" customHeight="true" outlineLevel="0" collapsed="false">
      <c r="A2" s="176" t="s">
        <v>3483</v>
      </c>
      <c r="B2" s="176" t="s">
        <v>3308</v>
      </c>
      <c r="C2" s="176" t="s">
        <v>3309</v>
      </c>
      <c r="D2" s="176" t="s">
        <v>3248</v>
      </c>
      <c r="E2" s="176" t="s">
        <v>470</v>
      </c>
      <c r="F2" s="176" t="s">
        <v>3484</v>
      </c>
      <c r="G2" s="176" t="s">
        <v>3485</v>
      </c>
      <c r="H2" s="176" t="s">
        <v>3486</v>
      </c>
      <c r="I2" s="176" t="s">
        <v>3487</v>
      </c>
      <c r="J2" s="176" t="s">
        <v>3488</v>
      </c>
      <c r="K2" s="176" t="s">
        <v>3489</v>
      </c>
      <c r="L2" s="176" t="s">
        <v>3490</v>
      </c>
      <c r="M2" s="176" t="s">
        <v>3491</v>
      </c>
      <c r="N2" s="176" t="s">
        <v>3492</v>
      </c>
      <c r="O2" s="176" t="s">
        <v>3493</v>
      </c>
      <c r="P2" s="176" t="s">
        <v>3436</v>
      </c>
      <c r="Q2" s="176" t="s">
        <v>2281</v>
      </c>
      <c r="R2" s="176" t="s">
        <v>2503</v>
      </c>
      <c r="S2" s="176" t="s">
        <v>3010</v>
      </c>
    </row>
    <row r="3" customFormat="false" ht="24.75" hidden="false" customHeight="true" outlineLevel="0" collapsed="false">
      <c r="A3" s="195" t="s">
        <v>3494</v>
      </c>
      <c r="B3" s="195" t="s">
        <v>3315</v>
      </c>
      <c r="C3" s="195" t="s">
        <v>3449</v>
      </c>
      <c r="D3" s="195" t="s">
        <v>3015</v>
      </c>
      <c r="E3" s="195" t="s">
        <v>3495</v>
      </c>
      <c r="F3" s="195" t="s">
        <v>3496</v>
      </c>
      <c r="G3" s="195" t="s">
        <v>3497</v>
      </c>
      <c r="H3" s="195" t="s">
        <v>3498</v>
      </c>
      <c r="I3" s="195" t="s">
        <v>3499</v>
      </c>
      <c r="J3" s="195" t="s">
        <v>3500</v>
      </c>
      <c r="K3" s="195" t="s">
        <v>3501</v>
      </c>
      <c r="L3" s="195" t="s">
        <v>3502</v>
      </c>
      <c r="M3" s="195" t="s">
        <v>3502</v>
      </c>
      <c r="N3" s="195" t="s">
        <v>3502</v>
      </c>
      <c r="O3" s="195" t="s">
        <v>3503</v>
      </c>
      <c r="P3" s="195" t="s">
        <v>3504</v>
      </c>
      <c r="Q3" s="195" t="s">
        <v>2281</v>
      </c>
      <c r="R3" s="195" t="s">
        <v>3319</v>
      </c>
      <c r="S3" s="195" t="s">
        <v>3022</v>
      </c>
    </row>
    <row r="4" customFormat="false" ht="33" hidden="false" customHeight="true" outlineLevel="0" collapsed="false">
      <c r="A4" s="209" t="s">
        <v>3505</v>
      </c>
      <c r="B4" s="210" t="str">
        <f aca="false">IFERROR(HYPERLINK("#'DL09. Học viên'!A"&amp;MATCH("HV002",'DL09. Học viên'!A:A,0),"HV002"),"HV002")</f>
        <v>HV002</v>
      </c>
      <c r="C4" s="209" t="s">
        <v>2552</v>
      </c>
      <c r="D4" s="210" t="str">
        <f aca="false">IFERROR(HYPERLINK("#'DL09. Học viên'!A"&amp;MATCH("LOP-IELTS-6.5-04",'DL10. Lớp học'!A:A,0),"LOP-IELTS-6.5-04"),"LOP-IELTS-6.5-04")</f>
        <v>LOP-IELTS-6.5-04</v>
      </c>
      <c r="E4" s="209" t="s">
        <v>1247</v>
      </c>
      <c r="F4" s="232" t="n">
        <v>46188.375</v>
      </c>
      <c r="G4" s="232" t="n">
        <v>46189.375</v>
      </c>
      <c r="H4" s="236" t="b">
        <f aca="false">TRUE()</f>
        <v>1</v>
      </c>
      <c r="I4" s="215" t="n">
        <v>5</v>
      </c>
      <c r="J4" s="215" t="n">
        <v>9</v>
      </c>
      <c r="K4" s="209" t="s">
        <v>3506</v>
      </c>
      <c r="L4" s="209" t="s">
        <v>3507</v>
      </c>
      <c r="M4" s="209"/>
      <c r="N4" s="209"/>
      <c r="O4" s="236" t="b">
        <f aca="false">FALSE()</f>
        <v>0</v>
      </c>
      <c r="P4" s="210"/>
      <c r="Q4" s="209"/>
      <c r="R4" s="212" t="str">
        <f aca="true" t="array" ref="R4:R4">IF(AND(G4&lt;&gt;"",(NOW()-N(G4))*24&gt;slaSurveyReport_hours,P4=""),INDEX('CH4. Thông điệp nhắc việc'!$G:$G,MATCH("NA078",'CH4. Thông điệp nhắc việc'!$A:$A,0)),IF(AND(F4&lt;&gt;"",G4=""),INDEX('CH4. Thông điệp nhắc việc'!$G:$G,MATCH("NA036",'CH4. Thông điệp nhắc việc'!$A:$A,0)),IF(AND(G4&lt;&gt;"",ISNUMBER(SEARCH("yes",O4))),INDEX('CH4. Thông điệp nhắc việc'!$G:$G,MATCH("NA079",'CH4. Thông điệp nhắc việc'!$A:$A,0)),IF(G4&lt;&gt;"",INDEX('CH4. Thông điệp nhắc việc'!$G:$G,MATCH("NA037",'CH4. Thông điệp nhắc việc'!$A:$A,0)),""))))</f>
        <v>HV đã nộp khảo sát nhưng quá 48 giờ (cấu hình slaSurveyReport_hours) chưa xử lý. Việc cần làm: phân công đọc và báo cáo khảo sát ngay.</v>
      </c>
      <c r="S4" s="224" t="str">
        <f aca="false">IFERROR(VLOOKUP(D4,'DL10. Lớp học'!$A:$B,2,FALSE()),"")</f>
        <v>IELTS 6.5 Tối T2-T4-T6 (10/2025)</v>
      </c>
    </row>
    <row r="5" customFormat="false" ht="33" hidden="false" customHeight="true" outlineLevel="0" collapsed="false">
      <c r="A5" s="209" t="s">
        <v>3508</v>
      </c>
      <c r="B5" s="210" t="str">
        <f aca="false">IFERROR(HYPERLINK("#'DL09. Học viên'!A"&amp;MATCH("HV005",'DL09. Học viên'!A:A,0),"HV005"),"HV005")</f>
        <v>HV005</v>
      </c>
      <c r="C5" s="209" t="s">
        <v>2563</v>
      </c>
      <c r="D5" s="210" t="str">
        <f aca="false">IFERROR(HYPERLINK("#'DL09. Học viên'!A"&amp;MATCH("LOP-IELTS-6.5-03",'DL10. Lớp học'!A:A,0),"LOP-IELTS-6.5-03"),"LOP-IELTS-6.5-03")</f>
        <v>LOP-IELTS-6.5-03</v>
      </c>
      <c r="E5" s="209" t="s">
        <v>1247</v>
      </c>
      <c r="F5" s="232" t="n">
        <v>46198.375</v>
      </c>
      <c r="G5" s="232" t="n">
        <v>46199.375</v>
      </c>
      <c r="H5" s="236" t="b">
        <f aca="false">TRUE()</f>
        <v>1</v>
      </c>
      <c r="I5" s="215" t="n">
        <v>2</v>
      </c>
      <c r="J5" s="215" t="n">
        <v>3</v>
      </c>
      <c r="K5" s="209" t="s">
        <v>3509</v>
      </c>
      <c r="L5" s="209"/>
      <c r="M5" s="209" t="s">
        <v>3510</v>
      </c>
      <c r="N5" s="209" t="s">
        <v>3511</v>
      </c>
      <c r="O5" s="236" t="b">
        <f aca="false">FALSE()</f>
        <v>0</v>
      </c>
      <c r="P5" s="210"/>
      <c r="Q5" s="209"/>
      <c r="R5" s="212" t="str">
        <f aca="true" t="array" ref="R5:R5">IF(AND(G5&lt;&gt;"",(NOW()-N(G5))*24&gt;slaSurveyReport_hours,P5=""),INDEX('CH4. Thông điệp nhắc việc'!$G:$G,MATCH("NA078",'CH4. Thông điệp nhắc việc'!$A:$A,0)),IF(AND(F5&lt;&gt;"",G5=""),INDEX('CH4. Thông điệp nhắc việc'!$G:$G,MATCH("NA036",'CH4. Thông điệp nhắc việc'!$A:$A,0)),IF(AND(G5&lt;&gt;"",ISNUMBER(SEARCH("yes",O5))),INDEX('CH4. Thông điệp nhắc việc'!$G:$G,MATCH("NA079",'CH4. Thông điệp nhắc việc'!$A:$A,0)),IF(G5&lt;&gt;"",INDEX('CH4. Thông điệp nhắc việc'!$G:$G,MATCH("NA037",'CH4. Thông điệp nhắc việc'!$A:$A,0)),""))))</f>
        <v>HV đã nộp khảo sát nhưng quá 48 giờ (cấu hình slaSurveyReport_hours) chưa xử lý. Việc cần làm: phân công đọc và báo cáo khảo sát ngay.</v>
      </c>
      <c r="S5" s="224" t="str">
        <f aca="false">IFERROR(VLOOKUP(D5,'DL10. Lớp học'!$A:$B,2,FALSE()),"")</f>
        <v>IELTS 6.5 Tối (05/2025)</v>
      </c>
    </row>
    <row r="6" customFormat="false" ht="33" hidden="false" customHeight="true" outlineLevel="0" collapsed="false">
      <c r="A6" s="209" t="s">
        <v>3512</v>
      </c>
      <c r="B6" s="210" t="str">
        <f aca="false">IFERROR(HYPERLINK("#'DL09. Học viên'!A"&amp;MATCH("HV001",'DL09. Học viên'!A:A,0),"HV001"),"HV001")</f>
        <v>HV001</v>
      </c>
      <c r="C6" s="209" t="s">
        <v>2548</v>
      </c>
      <c r="D6" s="210" t="str">
        <f aca="false">IFERROR(HYPERLINK("#'DL09. Học viên'!A"&amp;MATCH("LOP-FOUND-PLA-01",'DL10. Lớp học'!A:A,0),"LOP-FOUND-PLA-01"),"LOP-FOUND-PLA-01")</f>
        <v>LOP-FOUND-PLA-01</v>
      </c>
      <c r="E6" s="209" t="s">
        <v>1247</v>
      </c>
      <c r="F6" s="232" t="n">
        <v>46205.375</v>
      </c>
      <c r="G6" s="232"/>
      <c r="H6" s="236" t="b">
        <f aca="false">TRUE()</f>
        <v>1</v>
      </c>
      <c r="I6" s="215"/>
      <c r="J6" s="215"/>
      <c r="K6" s="209"/>
      <c r="L6" s="209"/>
      <c r="M6" s="209"/>
      <c r="N6" s="209"/>
      <c r="O6" s="236" t="b">
        <f aca="false">FALSE()</f>
        <v>0</v>
      </c>
      <c r="P6" s="210"/>
      <c r="Q6" s="209"/>
      <c r="R6" s="212" t="str">
        <f aca="true" t="array" ref="R6:R6">IF(AND(G6&lt;&gt;"",(NOW()-N(G6))*24&gt;slaSurveyReport_hours,P6=""),INDEX('CH4. Thông điệp nhắc việc'!$G:$G,MATCH("NA078",'CH4. Thông điệp nhắc việc'!$A:$A,0)),IF(AND(F6&lt;&gt;"",G6=""),INDEX('CH4. Thông điệp nhắc việc'!$G:$G,MATCH("NA036",'CH4. Thông điệp nhắc việc'!$A:$A,0)),IF(AND(G6&lt;&gt;"",ISNUMBER(SEARCH("yes",O6))),INDEX('CH4. Thông điệp nhắc việc'!$G:$G,MATCH("NA079",'CH4. Thông điệp nhắc việc'!$A:$A,0)),IF(G6&lt;&gt;"",INDEX('CH4. Thông điệp nhắc việc'!$G:$G,MATCH("NA037",'CH4. Thông điệp nhắc việc'!$A:$A,0)),""))))</f>
        <v>Đã gửi khảo sát nhưng HV chưa làm. Việc cần làm: nhắc HV làm khảo sát.</v>
      </c>
      <c r="S6" s="224" t="str">
        <f aca="false">IFERROR(VLOOKUP(D6,'DL10. Lớp học'!$A:$B,2,FALSE()),"")</f>
        <v>Foundation PLA T7-CN sáng (06/2026)</v>
      </c>
    </row>
    <row r="7" customFormat="false" ht="33" hidden="false" customHeight="true" outlineLevel="0" collapsed="false">
      <c r="A7" s="209" t="s">
        <v>3513</v>
      </c>
      <c r="B7" s="210" t="str">
        <f aca="false">IFERROR(HYPERLINK("#'DL09. Học viên'!A"&amp;MATCH("HV003",'DL09. Học viên'!A:A,0),"HV003"),"HV003")</f>
        <v>HV003</v>
      </c>
      <c r="C7" s="209" t="s">
        <v>2556</v>
      </c>
      <c r="D7" s="210" t="str">
        <f aca="false">IFERROR(HYPERLINK("#'DL09. Học viên'!A"&amp;MATCH("LOP-IELTS-6.0-12",'DL10. Lớp học'!A:A,0),"LOP-IELTS-6.0-12"),"LOP-IELTS-6.0-12")</f>
        <v>LOP-IELTS-6.0-12</v>
      </c>
      <c r="E7" s="209" t="s">
        <v>1247</v>
      </c>
      <c r="F7" s="232" t="n">
        <v>46200.375</v>
      </c>
      <c r="G7" s="232" t="n">
        <v>46201.375</v>
      </c>
      <c r="H7" s="236" t="b">
        <f aca="false">TRUE()</f>
        <v>1</v>
      </c>
      <c r="I7" s="215" t="n">
        <v>4</v>
      </c>
      <c r="J7" s="215" t="n">
        <v>7</v>
      </c>
      <c r="K7" s="209" t="s">
        <v>3412</v>
      </c>
      <c r="L7" s="209"/>
      <c r="M7" s="209" t="s">
        <v>3514</v>
      </c>
      <c r="N7" s="209"/>
      <c r="O7" s="236" t="b">
        <f aca="false">FALSE()</f>
        <v>0</v>
      </c>
      <c r="P7" s="210"/>
      <c r="Q7" s="209"/>
      <c r="R7" s="212" t="str">
        <f aca="true" t="array" ref="R7:R7">IF(AND(G7&lt;&gt;"",(NOW()-N(G7))*24&gt;slaSurveyReport_hours,P7=""),INDEX('CH4. Thông điệp nhắc việc'!$G:$G,MATCH("NA078",'CH4. Thông điệp nhắc việc'!$A:$A,0)),IF(AND(F7&lt;&gt;"",G7=""),INDEX('CH4. Thông điệp nhắc việc'!$G:$G,MATCH("NA036",'CH4. Thông điệp nhắc việc'!$A:$A,0)),IF(AND(G7&lt;&gt;"",ISNUMBER(SEARCH("yes",O7))),INDEX('CH4. Thông điệp nhắc việc'!$G:$G,MATCH("NA079",'CH4. Thông điệp nhắc việc'!$A:$A,0)),IF(G7&lt;&gt;"",INDEX('CH4. Thông điệp nhắc việc'!$G:$G,MATCH("NA037",'CH4. Thông điệp nhắc việc'!$A:$A,0)),""))))</f>
        <v>HV đã nộp khảo sát nhưng quá 48 giờ (cấu hình slaSurveyReport_hours) chưa xử lý. Việc cần làm: phân công đọc và báo cáo khảo sát ngay.</v>
      </c>
      <c r="S7" s="224" t="str">
        <f aca="false">IFERROR(VLOOKUP(D7,'DL10. Lớp học'!$A:$B,2,FALSE()),"")</f>
        <v>IELTS 6.0 Cuối tuần (01/2026)</v>
      </c>
    </row>
    <row r="8" customFormat="false" ht="33" hidden="false" customHeight="true" outlineLevel="0" collapsed="false">
      <c r="A8" s="209" t="s">
        <v>3515</v>
      </c>
      <c r="B8" s="210" t="str">
        <f aca="false">IFERROR(HYPERLINK("#'DL09. Học viên'!A"&amp;MATCH("HV009",'DL09. Học viên'!A:A,0),"HV009"),"HV009")</f>
        <v>HV009</v>
      </c>
      <c r="C8" s="209" t="s">
        <v>2571</v>
      </c>
      <c r="D8" s="210" t="str">
        <f aca="false">IFERROR(HYPERLINK("#'DL09. Học viên'!A"&amp;MATCH("LOP-FOUND-PLA-01",'DL10. Lớp học'!A:A,0),"LOP-FOUND-PLA-01"),"LOP-FOUND-PLA-01")</f>
        <v>LOP-FOUND-PLA-01</v>
      </c>
      <c r="E8" s="209" t="s">
        <v>1247</v>
      </c>
      <c r="F8" s="232" t="n">
        <v>46202.375</v>
      </c>
      <c r="G8" s="232" t="n">
        <v>46203.375</v>
      </c>
      <c r="H8" s="236" t="b">
        <f aca="false">TRUE()</f>
        <v>1</v>
      </c>
      <c r="I8" s="215" t="n">
        <v>5</v>
      </c>
      <c r="J8" s="215" t="n">
        <v>9</v>
      </c>
      <c r="K8" s="209" t="s">
        <v>3506</v>
      </c>
      <c r="L8" s="209" t="s">
        <v>3516</v>
      </c>
      <c r="M8" s="209"/>
      <c r="N8" s="209"/>
      <c r="O8" s="236" t="b">
        <f aca="false">FALSE()</f>
        <v>0</v>
      </c>
      <c r="P8" s="210"/>
      <c r="Q8" s="209"/>
      <c r="R8" s="212" t="str">
        <f aca="true" t="array" ref="R8:R8">IF(AND(G8&lt;&gt;"",(NOW()-N(G8))*24&gt;slaSurveyReport_hours,P8=""),INDEX('CH4. Thông điệp nhắc việc'!$G:$G,MATCH("NA078",'CH4. Thông điệp nhắc việc'!$A:$A,0)),IF(AND(F8&lt;&gt;"",G8=""),INDEX('CH4. Thông điệp nhắc việc'!$G:$G,MATCH("NA036",'CH4. Thông điệp nhắc việc'!$A:$A,0)),IF(AND(G8&lt;&gt;"",ISNUMBER(SEARCH("yes",O8))),INDEX('CH4. Thông điệp nhắc việc'!$G:$G,MATCH("NA079",'CH4. Thông điệp nhắc việc'!$A:$A,0)),IF(G8&lt;&gt;"",INDEX('CH4. Thông điệp nhắc việc'!$G:$G,MATCH("NA037",'CH4. Thông điệp nhắc việc'!$A:$A,0)),""))))</f>
        <v>HV đã nộp khảo sát nhưng quá 48 giờ (cấu hình slaSurveyReport_hours) chưa xử lý. Việc cần làm: phân công đọc và báo cáo khảo sát ngay.</v>
      </c>
      <c r="S8" s="224" t="str">
        <f aca="false">IFERROR(VLOOKUP(D8,'DL10. Lớp học'!$A:$B,2,FALSE()),"")</f>
        <v>Foundation PLA T7-CN sáng (06/2026)</v>
      </c>
    </row>
    <row r="9" customFormat="false" ht="33" hidden="false" customHeight="true" outlineLevel="0" collapsed="false">
      <c r="A9" s="209" t="s">
        <v>3517</v>
      </c>
      <c r="B9" s="210" t="str">
        <f aca="false">IFERROR(HYPERLINK("#'DL09. Học viên'!A"&amp;MATCH("HV012",'DL09. Học viên'!A:A,0),"HV012"),"HV012")</f>
        <v>HV012</v>
      </c>
      <c r="C9" s="209" t="s">
        <v>2581</v>
      </c>
      <c r="D9" s="210" t="str">
        <f aca="false">IFERROR(HYPERLINK("#'DL09. Học viên'!A"&amp;MATCH("LOP-IELTS-6.0-12",'DL10. Lớp học'!A:A,0),"LOP-IELTS-6.0-12"),"LOP-IELTS-6.0-12")</f>
        <v>LOP-IELTS-6.0-12</v>
      </c>
      <c r="E9" s="209" t="s">
        <v>1247</v>
      </c>
      <c r="F9" s="232" t="n">
        <v>46204.375</v>
      </c>
      <c r="G9" s="232" t="n">
        <v>46205.375</v>
      </c>
      <c r="H9" s="236" t="b">
        <f aca="false">TRUE()</f>
        <v>1</v>
      </c>
      <c r="I9" s="215" t="n">
        <v>4</v>
      </c>
      <c r="J9" s="215" t="n">
        <v>8</v>
      </c>
      <c r="K9" s="209" t="s">
        <v>3412</v>
      </c>
      <c r="L9" s="209" t="s">
        <v>3518</v>
      </c>
      <c r="M9" s="209"/>
      <c r="N9" s="209"/>
      <c r="O9" s="236" t="b">
        <f aca="false">FALSE()</f>
        <v>0</v>
      </c>
      <c r="P9" s="210"/>
      <c r="Q9" s="209"/>
      <c r="R9" s="212" t="str">
        <f aca="true" t="array" ref="R9:R9">IF(AND(G9&lt;&gt;"",(NOW()-N(G9))*24&gt;slaSurveyReport_hours,P9=""),INDEX('CH4. Thông điệp nhắc việc'!$G:$G,MATCH("NA078",'CH4. Thông điệp nhắc việc'!$A:$A,0)),IF(AND(F9&lt;&gt;"",G9=""),INDEX('CH4. Thông điệp nhắc việc'!$G:$G,MATCH("NA036",'CH4. Thông điệp nhắc việc'!$A:$A,0)),IF(AND(G9&lt;&gt;"",ISNUMBER(SEARCH("yes",O9))),INDEX('CH4. Thông điệp nhắc việc'!$G:$G,MATCH("NA079",'CH4. Thông điệp nhắc việc'!$A:$A,0)),IF(G9&lt;&gt;"",INDEX('CH4. Thông điệp nhắc việc'!$G:$G,MATCH("NA037",'CH4. Thông điệp nhắc việc'!$A:$A,0)),""))))</f>
        <v>HV đã nộp khảo sát nhưng quá 48 giờ (cấu hình slaSurveyReport_hours) chưa xử lý. Việc cần làm: phân công đọc và báo cáo khảo sát ngay.</v>
      </c>
      <c r="S9" s="224" t="str">
        <f aca="false">IFERROR(VLOOKUP(D9,'DL10. Lớp học'!$A:$B,2,FALSE()),"")</f>
        <v>IELTS 6.0 Cuối tuần (01/2026)</v>
      </c>
    </row>
    <row r="10" customFormat="false" ht="15" hidden="false" customHeight="true" outlineLevel="0" collapsed="false">
      <c r="A10" s="135"/>
      <c r="B10" s="135"/>
      <c r="C10" s="135"/>
      <c r="D10" s="135"/>
      <c r="E10" s="135"/>
      <c r="F10" s="182"/>
      <c r="G10" s="182"/>
      <c r="H10" s="135"/>
      <c r="I10" s="135"/>
      <c r="J10" s="135"/>
      <c r="K10" s="135"/>
      <c r="L10" s="135"/>
      <c r="M10" s="135"/>
      <c r="N10" s="135"/>
      <c r="O10" s="135"/>
      <c r="P10" s="135"/>
      <c r="Q10" s="135"/>
      <c r="R10" s="135"/>
      <c r="S10" s="135"/>
    </row>
    <row r="11" customFormat="false" ht="15" hidden="false" customHeight="true" outlineLevel="0" collapsed="false">
      <c r="A11" s="135"/>
      <c r="B11" s="135"/>
      <c r="C11" s="135"/>
      <c r="D11" s="135"/>
      <c r="E11" s="135"/>
      <c r="F11" s="182"/>
      <c r="G11" s="182"/>
      <c r="H11" s="135"/>
      <c r="I11" s="135"/>
      <c r="J11" s="135"/>
      <c r="K11" s="135"/>
      <c r="L11" s="135"/>
      <c r="M11" s="135"/>
      <c r="N11" s="135"/>
      <c r="O11" s="135"/>
      <c r="P11" s="135"/>
      <c r="Q11" s="135"/>
      <c r="R11" s="135"/>
      <c r="S11" s="135"/>
    </row>
    <row r="12" customFormat="false" ht="15" hidden="false" customHeight="true" outlineLevel="0" collapsed="false">
      <c r="A12" s="135"/>
      <c r="B12" s="135"/>
      <c r="C12" s="135"/>
      <c r="D12" s="135"/>
      <c r="E12" s="135"/>
      <c r="F12" s="182"/>
      <c r="G12" s="182"/>
      <c r="H12" s="135"/>
      <c r="I12" s="135"/>
      <c r="J12" s="135"/>
      <c r="K12" s="135"/>
      <c r="L12" s="135"/>
      <c r="M12" s="135"/>
      <c r="N12" s="135"/>
      <c r="O12" s="135"/>
      <c r="P12" s="135"/>
      <c r="Q12" s="135"/>
      <c r="R12" s="135"/>
      <c r="S12" s="135"/>
    </row>
    <row r="13" customFormat="false" ht="15" hidden="false" customHeight="true" outlineLevel="0" collapsed="false">
      <c r="A13" s="135"/>
      <c r="B13" s="135"/>
      <c r="C13" s="135"/>
      <c r="D13" s="135"/>
      <c r="E13" s="135"/>
      <c r="F13" s="182"/>
      <c r="G13" s="182"/>
      <c r="H13" s="135"/>
      <c r="I13" s="135"/>
      <c r="J13" s="135"/>
      <c r="K13" s="135"/>
      <c r="L13" s="135"/>
      <c r="M13" s="135"/>
      <c r="N13" s="135"/>
      <c r="O13" s="135"/>
      <c r="P13" s="135"/>
      <c r="Q13" s="135"/>
      <c r="R13" s="135"/>
      <c r="S13" s="135"/>
    </row>
    <row r="14" customFormat="false" ht="15" hidden="false" customHeight="true" outlineLevel="0" collapsed="false">
      <c r="A14" s="135"/>
      <c r="B14" s="135"/>
      <c r="C14" s="135"/>
      <c r="D14" s="135"/>
      <c r="E14" s="135"/>
      <c r="F14" s="182"/>
      <c r="G14" s="182"/>
      <c r="H14" s="135"/>
      <c r="I14" s="135"/>
      <c r="J14" s="135"/>
      <c r="K14" s="135"/>
      <c r="L14" s="135"/>
      <c r="M14" s="135"/>
      <c r="N14" s="135"/>
      <c r="O14" s="135"/>
      <c r="P14" s="135"/>
      <c r="Q14" s="135"/>
      <c r="R14" s="135"/>
      <c r="S14" s="135"/>
    </row>
    <row r="15" customFormat="false" ht="15" hidden="false" customHeight="true" outlineLevel="0" collapsed="false">
      <c r="A15" s="135"/>
      <c r="B15" s="135"/>
      <c r="C15" s="135"/>
      <c r="D15" s="135"/>
      <c r="E15" s="135"/>
      <c r="F15" s="182"/>
      <c r="G15" s="182"/>
      <c r="H15" s="135"/>
      <c r="I15" s="135"/>
      <c r="J15" s="135"/>
      <c r="K15" s="135"/>
      <c r="L15" s="135"/>
      <c r="M15" s="135"/>
      <c r="N15" s="135"/>
      <c r="O15" s="135"/>
      <c r="P15" s="135"/>
      <c r="Q15" s="135"/>
      <c r="R15" s="135"/>
      <c r="S15" s="135"/>
    </row>
    <row r="16" customFormat="false" ht="15" hidden="false" customHeight="true" outlineLevel="0" collapsed="false">
      <c r="A16" s="135"/>
      <c r="B16" s="135"/>
      <c r="C16" s="135"/>
      <c r="D16" s="135"/>
      <c r="E16" s="135"/>
      <c r="F16" s="182"/>
      <c r="G16" s="182"/>
      <c r="H16" s="135"/>
      <c r="I16" s="135"/>
      <c r="J16" s="135"/>
      <c r="K16" s="135"/>
      <c r="L16" s="135"/>
      <c r="M16" s="135"/>
      <c r="N16" s="135"/>
      <c r="O16" s="135"/>
      <c r="P16" s="135"/>
      <c r="Q16" s="135"/>
      <c r="R16" s="135"/>
      <c r="S16" s="135"/>
    </row>
    <row r="17" customFormat="false" ht="15" hidden="false" customHeight="true" outlineLevel="0" collapsed="false">
      <c r="A17" s="135"/>
      <c r="B17" s="135"/>
      <c r="C17" s="135"/>
      <c r="D17" s="135"/>
      <c r="E17" s="135"/>
      <c r="F17" s="182"/>
      <c r="G17" s="182"/>
      <c r="H17" s="135"/>
      <c r="I17" s="135"/>
      <c r="J17" s="135"/>
      <c r="K17" s="135"/>
      <c r="L17" s="135"/>
      <c r="M17" s="135"/>
      <c r="N17" s="135"/>
      <c r="O17" s="135"/>
      <c r="P17" s="135"/>
      <c r="Q17" s="135"/>
      <c r="R17" s="135"/>
      <c r="S17" s="135"/>
    </row>
    <row r="18" customFormat="false" ht="15" hidden="false" customHeight="true" outlineLevel="0" collapsed="false">
      <c r="A18" s="135"/>
      <c r="B18" s="135"/>
      <c r="C18" s="135"/>
      <c r="D18" s="135"/>
      <c r="E18" s="135"/>
      <c r="F18" s="182"/>
      <c r="G18" s="182"/>
      <c r="H18" s="135"/>
      <c r="I18" s="135"/>
      <c r="J18" s="135"/>
      <c r="K18" s="135"/>
      <c r="L18" s="135"/>
      <c r="M18" s="135"/>
      <c r="N18" s="135"/>
      <c r="O18" s="135"/>
      <c r="P18" s="135"/>
      <c r="Q18" s="135"/>
      <c r="R18" s="135"/>
      <c r="S18" s="135"/>
    </row>
    <row r="19" customFormat="false" ht="15" hidden="false" customHeight="true" outlineLevel="0" collapsed="false">
      <c r="A19" s="135"/>
      <c r="B19" s="135"/>
      <c r="C19" s="135"/>
      <c r="D19" s="135"/>
      <c r="E19" s="135"/>
      <c r="F19" s="182"/>
      <c r="G19" s="182"/>
      <c r="H19" s="135"/>
      <c r="I19" s="135"/>
      <c r="J19" s="135"/>
      <c r="K19" s="135"/>
      <c r="L19" s="135"/>
      <c r="M19" s="135"/>
      <c r="N19" s="135"/>
      <c r="O19" s="135"/>
      <c r="P19" s="135"/>
      <c r="Q19" s="135"/>
      <c r="R19" s="135"/>
      <c r="S19" s="135"/>
    </row>
    <row r="20" customFormat="false" ht="15" hidden="false" customHeight="true" outlineLevel="0" collapsed="false">
      <c r="A20" s="135"/>
      <c r="B20" s="135"/>
      <c r="C20" s="135"/>
      <c r="D20" s="135"/>
      <c r="E20" s="135"/>
      <c r="F20" s="182"/>
      <c r="G20" s="182"/>
      <c r="H20" s="135"/>
      <c r="I20" s="135"/>
      <c r="J20" s="135"/>
      <c r="K20" s="135"/>
      <c r="L20" s="135"/>
      <c r="M20" s="135"/>
      <c r="N20" s="135"/>
      <c r="O20" s="135"/>
      <c r="P20" s="135"/>
      <c r="Q20" s="135"/>
      <c r="R20" s="135"/>
      <c r="S20" s="135"/>
    </row>
    <row r="21" customFormat="false" ht="15.75" hidden="false" customHeight="true" outlineLevel="0" collapsed="false">
      <c r="A21" s="135"/>
      <c r="B21" s="135"/>
      <c r="C21" s="135"/>
      <c r="D21" s="135"/>
      <c r="E21" s="135"/>
      <c r="F21" s="182"/>
      <c r="G21" s="182"/>
      <c r="H21" s="135"/>
      <c r="I21" s="135"/>
      <c r="J21" s="135"/>
      <c r="K21" s="135"/>
      <c r="L21" s="135"/>
      <c r="M21" s="135"/>
      <c r="N21" s="135"/>
      <c r="O21" s="135"/>
      <c r="P21" s="135"/>
      <c r="Q21" s="135"/>
      <c r="R21" s="135"/>
      <c r="S21" s="135"/>
    </row>
    <row r="22" customFormat="false" ht="15.75" hidden="false" customHeight="true" outlineLevel="0" collapsed="false">
      <c r="A22" s="135"/>
      <c r="B22" s="135"/>
      <c r="C22" s="135"/>
      <c r="D22" s="135"/>
      <c r="E22" s="135"/>
      <c r="F22" s="182"/>
      <c r="G22" s="182"/>
      <c r="H22" s="135"/>
      <c r="I22" s="135"/>
      <c r="J22" s="135"/>
      <c r="K22" s="135"/>
      <c r="L22" s="135"/>
      <c r="M22" s="135"/>
      <c r="N22" s="135"/>
      <c r="O22" s="135"/>
      <c r="P22" s="135"/>
      <c r="Q22" s="135"/>
      <c r="R22" s="135"/>
      <c r="S22" s="135"/>
    </row>
    <row r="23" customFormat="false" ht="15.75" hidden="false" customHeight="true" outlineLevel="0" collapsed="false">
      <c r="A23" s="135"/>
      <c r="B23" s="135"/>
      <c r="C23" s="135"/>
      <c r="D23" s="135"/>
      <c r="E23" s="135"/>
      <c r="F23" s="182"/>
      <c r="G23" s="182"/>
      <c r="H23" s="135"/>
      <c r="I23" s="135"/>
      <c r="J23" s="135"/>
      <c r="K23" s="135"/>
      <c r="L23" s="135"/>
      <c r="M23" s="135"/>
      <c r="N23" s="135"/>
      <c r="O23" s="135"/>
      <c r="P23" s="135"/>
      <c r="Q23" s="135"/>
      <c r="R23" s="135"/>
      <c r="S23" s="135"/>
    </row>
    <row r="24" customFormat="false" ht="15.75" hidden="false" customHeight="true" outlineLevel="0" collapsed="false">
      <c r="A24" s="135"/>
      <c r="B24" s="135"/>
      <c r="C24" s="135"/>
      <c r="D24" s="135"/>
      <c r="E24" s="135"/>
      <c r="F24" s="182"/>
      <c r="G24" s="182"/>
      <c r="H24" s="135"/>
      <c r="I24" s="135"/>
      <c r="J24" s="135"/>
      <c r="K24" s="135"/>
      <c r="L24" s="135"/>
      <c r="M24" s="135"/>
      <c r="N24" s="135"/>
      <c r="O24" s="135"/>
      <c r="P24" s="135"/>
      <c r="Q24" s="135"/>
      <c r="R24" s="135"/>
      <c r="S24" s="135"/>
    </row>
    <row r="25" customFormat="false" ht="15.75" hidden="false" customHeight="true" outlineLevel="0" collapsed="false">
      <c r="A25" s="135"/>
      <c r="B25" s="135"/>
      <c r="C25" s="135"/>
      <c r="D25" s="135"/>
      <c r="E25" s="135"/>
      <c r="F25" s="182"/>
      <c r="G25" s="182"/>
      <c r="H25" s="135"/>
      <c r="I25" s="135"/>
      <c r="J25" s="135"/>
      <c r="K25" s="135"/>
      <c r="L25" s="135"/>
      <c r="M25" s="135"/>
      <c r="N25" s="135"/>
      <c r="O25" s="135"/>
      <c r="P25" s="135"/>
      <c r="Q25" s="135"/>
      <c r="R25" s="135"/>
      <c r="S25" s="135"/>
    </row>
    <row r="26" customFormat="false" ht="15.75" hidden="false" customHeight="true" outlineLevel="0" collapsed="false">
      <c r="A26" s="135"/>
      <c r="B26" s="135"/>
      <c r="C26" s="135"/>
      <c r="D26" s="135"/>
      <c r="E26" s="135"/>
      <c r="F26" s="182"/>
      <c r="G26" s="182"/>
      <c r="H26" s="135"/>
      <c r="I26" s="135"/>
      <c r="J26" s="135"/>
      <c r="K26" s="135"/>
      <c r="L26" s="135"/>
      <c r="M26" s="135"/>
      <c r="N26" s="135"/>
      <c r="O26" s="135"/>
      <c r="P26" s="135"/>
      <c r="Q26" s="135"/>
      <c r="R26" s="135"/>
      <c r="S26" s="135"/>
    </row>
    <row r="27" customFormat="false" ht="15.75" hidden="false" customHeight="true" outlineLevel="0" collapsed="false">
      <c r="A27" s="135"/>
      <c r="B27" s="135"/>
      <c r="C27" s="135"/>
      <c r="D27" s="135"/>
      <c r="E27" s="135"/>
      <c r="F27" s="182"/>
      <c r="G27" s="182"/>
      <c r="H27" s="135"/>
      <c r="I27" s="135"/>
      <c r="J27" s="135"/>
      <c r="K27" s="135"/>
      <c r="L27" s="135"/>
      <c r="M27" s="135"/>
      <c r="N27" s="135"/>
      <c r="O27" s="135"/>
      <c r="P27" s="135"/>
      <c r="Q27" s="135"/>
      <c r="R27" s="135"/>
      <c r="S27" s="135"/>
    </row>
    <row r="28" customFormat="false" ht="15.75" hidden="false" customHeight="true" outlineLevel="0" collapsed="false">
      <c r="A28" s="135"/>
      <c r="B28" s="135"/>
      <c r="C28" s="135"/>
      <c r="D28" s="135"/>
      <c r="E28" s="135"/>
      <c r="F28" s="182"/>
      <c r="G28" s="182"/>
      <c r="H28" s="135"/>
      <c r="I28" s="135"/>
      <c r="J28" s="135"/>
      <c r="K28" s="135"/>
      <c r="L28" s="135"/>
      <c r="M28" s="135"/>
      <c r="N28" s="135"/>
      <c r="O28" s="135"/>
      <c r="P28" s="135"/>
      <c r="Q28" s="135"/>
      <c r="R28" s="135"/>
      <c r="S28" s="135"/>
    </row>
    <row r="29" customFormat="false" ht="15.75" hidden="false" customHeight="true" outlineLevel="0" collapsed="false">
      <c r="A29" s="135"/>
      <c r="B29" s="135"/>
      <c r="C29" s="135"/>
      <c r="D29" s="135"/>
      <c r="E29" s="135"/>
      <c r="F29" s="182"/>
      <c r="G29" s="182"/>
      <c r="H29" s="135"/>
      <c r="I29" s="135"/>
      <c r="J29" s="135"/>
      <c r="K29" s="135"/>
      <c r="L29" s="135"/>
      <c r="M29" s="135"/>
      <c r="N29" s="135"/>
      <c r="O29" s="135"/>
      <c r="P29" s="135"/>
      <c r="Q29" s="135"/>
      <c r="R29" s="135"/>
      <c r="S29" s="135"/>
    </row>
    <row r="30" customFormat="false" ht="15.75" hidden="false" customHeight="true" outlineLevel="0" collapsed="false">
      <c r="A30" s="135"/>
      <c r="B30" s="135"/>
      <c r="C30" s="135"/>
      <c r="D30" s="135"/>
      <c r="E30" s="135"/>
      <c r="F30" s="182"/>
      <c r="G30" s="182"/>
      <c r="H30" s="135"/>
      <c r="I30" s="135"/>
      <c r="J30" s="135"/>
      <c r="K30" s="135"/>
      <c r="L30" s="135"/>
      <c r="M30" s="135"/>
      <c r="N30" s="135"/>
      <c r="O30" s="135"/>
      <c r="P30" s="135"/>
      <c r="Q30" s="135"/>
      <c r="R30" s="135"/>
      <c r="S30" s="135"/>
    </row>
    <row r="31" customFormat="false" ht="15.75" hidden="false" customHeight="true" outlineLevel="0" collapsed="false">
      <c r="A31" s="135"/>
      <c r="B31" s="135"/>
      <c r="C31" s="135"/>
      <c r="D31" s="135"/>
      <c r="E31" s="135"/>
      <c r="F31" s="182"/>
      <c r="G31" s="182"/>
      <c r="H31" s="135"/>
      <c r="I31" s="135"/>
      <c r="J31" s="135"/>
      <c r="K31" s="135"/>
      <c r="L31" s="135"/>
      <c r="M31" s="135"/>
      <c r="N31" s="135"/>
      <c r="O31" s="135"/>
      <c r="P31" s="135"/>
      <c r="Q31" s="135"/>
      <c r="R31" s="135"/>
      <c r="S31" s="135"/>
    </row>
    <row r="32" customFormat="false" ht="15.75" hidden="false" customHeight="true" outlineLevel="0" collapsed="false">
      <c r="A32" s="135"/>
      <c r="B32" s="135"/>
      <c r="C32" s="135"/>
      <c r="D32" s="135"/>
      <c r="E32" s="135"/>
      <c r="F32" s="182"/>
      <c r="G32" s="182"/>
      <c r="H32" s="135"/>
      <c r="I32" s="135"/>
      <c r="J32" s="135"/>
      <c r="K32" s="135"/>
      <c r="L32" s="135"/>
      <c r="M32" s="135"/>
      <c r="N32" s="135"/>
      <c r="O32" s="135"/>
      <c r="P32" s="135"/>
      <c r="Q32" s="135"/>
      <c r="R32" s="135"/>
      <c r="S32" s="135"/>
    </row>
    <row r="33" customFormat="false" ht="15.75" hidden="false" customHeight="true" outlineLevel="0" collapsed="false">
      <c r="A33" s="135"/>
      <c r="B33" s="135"/>
      <c r="C33" s="135"/>
      <c r="D33" s="135"/>
      <c r="E33" s="135"/>
      <c r="F33" s="182"/>
      <c r="G33" s="182"/>
      <c r="H33" s="135"/>
      <c r="I33" s="135"/>
      <c r="J33" s="135"/>
      <c r="K33" s="135"/>
      <c r="L33" s="135"/>
      <c r="M33" s="135"/>
      <c r="N33" s="135"/>
      <c r="O33" s="135"/>
      <c r="P33" s="135"/>
      <c r="Q33" s="135"/>
      <c r="R33" s="135"/>
      <c r="S33" s="135"/>
    </row>
    <row r="34" customFormat="false" ht="15.75" hidden="false" customHeight="true" outlineLevel="0" collapsed="false">
      <c r="A34" s="135"/>
      <c r="B34" s="135"/>
      <c r="C34" s="135"/>
      <c r="D34" s="135"/>
      <c r="E34" s="135"/>
      <c r="F34" s="182"/>
      <c r="G34" s="182"/>
      <c r="H34" s="135"/>
      <c r="I34" s="135"/>
      <c r="J34" s="135"/>
      <c r="K34" s="135"/>
      <c r="L34" s="135"/>
      <c r="M34" s="135"/>
      <c r="N34" s="135"/>
      <c r="O34" s="135"/>
      <c r="P34" s="135"/>
      <c r="Q34" s="135"/>
      <c r="R34" s="135"/>
      <c r="S34" s="135"/>
    </row>
    <row r="35" customFormat="false" ht="15.75" hidden="false" customHeight="true" outlineLevel="0" collapsed="false">
      <c r="A35" s="135"/>
      <c r="B35" s="135"/>
      <c r="C35" s="135"/>
      <c r="D35" s="135"/>
      <c r="E35" s="135"/>
      <c r="F35" s="182"/>
      <c r="G35" s="182"/>
      <c r="H35" s="135"/>
      <c r="I35" s="135"/>
      <c r="J35" s="135"/>
      <c r="K35" s="135"/>
      <c r="L35" s="135"/>
      <c r="M35" s="135"/>
      <c r="N35" s="135"/>
      <c r="O35" s="135"/>
      <c r="P35" s="135"/>
      <c r="Q35" s="135"/>
      <c r="R35" s="135"/>
      <c r="S35" s="135"/>
    </row>
    <row r="36" customFormat="false" ht="15.75" hidden="false" customHeight="true" outlineLevel="0" collapsed="false">
      <c r="A36" s="135"/>
      <c r="B36" s="135"/>
      <c r="C36" s="135"/>
      <c r="D36" s="135"/>
      <c r="E36" s="135"/>
      <c r="F36" s="182"/>
      <c r="G36" s="182"/>
      <c r="H36" s="135"/>
      <c r="I36" s="135"/>
      <c r="J36" s="135"/>
      <c r="K36" s="135"/>
      <c r="L36" s="135"/>
      <c r="M36" s="135"/>
      <c r="N36" s="135"/>
      <c r="O36" s="135"/>
      <c r="P36" s="135"/>
      <c r="Q36" s="135"/>
      <c r="R36" s="135"/>
      <c r="S36" s="135"/>
    </row>
    <row r="37" customFormat="false" ht="15.75" hidden="false" customHeight="true" outlineLevel="0" collapsed="false">
      <c r="A37" s="135"/>
      <c r="B37" s="135"/>
      <c r="C37" s="135"/>
      <c r="D37" s="135"/>
      <c r="E37" s="135"/>
      <c r="F37" s="182"/>
      <c r="G37" s="182"/>
      <c r="H37" s="135"/>
      <c r="I37" s="135"/>
      <c r="J37" s="135"/>
      <c r="K37" s="135"/>
      <c r="L37" s="135"/>
      <c r="M37" s="135"/>
      <c r="N37" s="135"/>
      <c r="O37" s="135"/>
      <c r="P37" s="135"/>
      <c r="Q37" s="135"/>
      <c r="R37" s="135"/>
      <c r="S37" s="135"/>
    </row>
    <row r="38" customFormat="false" ht="15.75" hidden="false" customHeight="true" outlineLevel="0" collapsed="false">
      <c r="A38" s="135"/>
      <c r="B38" s="135"/>
      <c r="C38" s="135"/>
      <c r="D38" s="135"/>
      <c r="E38" s="135"/>
      <c r="F38" s="182"/>
      <c r="G38" s="182"/>
      <c r="H38" s="135"/>
      <c r="I38" s="135"/>
      <c r="J38" s="135"/>
      <c r="K38" s="135"/>
      <c r="L38" s="135"/>
      <c r="M38" s="135"/>
      <c r="N38" s="135"/>
      <c r="O38" s="135"/>
      <c r="P38" s="135"/>
      <c r="Q38" s="135"/>
      <c r="R38" s="135"/>
      <c r="S38" s="135"/>
    </row>
    <row r="39" customFormat="false" ht="15.75" hidden="false" customHeight="true" outlineLevel="0" collapsed="false">
      <c r="A39" s="135"/>
      <c r="B39" s="135"/>
      <c r="C39" s="135"/>
      <c r="D39" s="135"/>
      <c r="E39" s="135"/>
      <c r="F39" s="182"/>
      <c r="G39" s="182"/>
      <c r="H39" s="135"/>
      <c r="I39" s="135"/>
      <c r="J39" s="135"/>
      <c r="K39" s="135"/>
      <c r="L39" s="135"/>
      <c r="M39" s="135"/>
      <c r="N39" s="135"/>
      <c r="O39" s="135"/>
      <c r="P39" s="135"/>
      <c r="Q39" s="135"/>
      <c r="R39" s="135"/>
      <c r="S39" s="135"/>
    </row>
    <row r="40" customFormat="false" ht="15.75" hidden="false" customHeight="true" outlineLevel="0" collapsed="false">
      <c r="A40" s="135"/>
      <c r="B40" s="135"/>
      <c r="C40" s="135"/>
      <c r="D40" s="135"/>
      <c r="E40" s="135"/>
      <c r="F40" s="182"/>
      <c r="G40" s="182"/>
      <c r="H40" s="135"/>
      <c r="I40" s="135"/>
      <c r="J40" s="135"/>
      <c r="K40" s="135"/>
      <c r="L40" s="135"/>
      <c r="M40" s="135"/>
      <c r="N40" s="135"/>
      <c r="O40" s="135"/>
      <c r="P40" s="135"/>
      <c r="Q40" s="135"/>
      <c r="R40" s="135"/>
      <c r="S40" s="135"/>
    </row>
    <row r="41" customFormat="false" ht="15.75" hidden="false" customHeight="true" outlineLevel="0" collapsed="false">
      <c r="A41" s="135"/>
      <c r="B41" s="135"/>
      <c r="C41" s="135"/>
      <c r="D41" s="135"/>
      <c r="E41" s="135"/>
      <c r="F41" s="182"/>
      <c r="G41" s="182"/>
      <c r="H41" s="135"/>
      <c r="I41" s="135"/>
      <c r="J41" s="135"/>
      <c r="K41" s="135"/>
      <c r="L41" s="135"/>
      <c r="M41" s="135"/>
      <c r="N41" s="135"/>
      <c r="O41" s="135"/>
      <c r="P41" s="135"/>
      <c r="Q41" s="135"/>
      <c r="R41" s="135"/>
      <c r="S41" s="135"/>
    </row>
    <row r="42" customFormat="false" ht="15.75" hidden="false" customHeight="true" outlineLevel="0" collapsed="false">
      <c r="A42" s="135"/>
      <c r="B42" s="135"/>
      <c r="C42" s="135"/>
      <c r="D42" s="135"/>
      <c r="E42" s="135"/>
      <c r="F42" s="182"/>
      <c r="G42" s="182"/>
      <c r="H42" s="135"/>
      <c r="I42" s="135"/>
      <c r="J42" s="135"/>
      <c r="K42" s="135"/>
      <c r="L42" s="135"/>
      <c r="M42" s="135"/>
      <c r="N42" s="135"/>
      <c r="O42" s="135"/>
      <c r="P42" s="135"/>
      <c r="Q42" s="135"/>
      <c r="R42" s="135"/>
      <c r="S42" s="135"/>
    </row>
    <row r="43" customFormat="false" ht="15.75" hidden="false" customHeight="true" outlineLevel="0" collapsed="false">
      <c r="A43" s="135"/>
      <c r="B43" s="135"/>
      <c r="C43" s="135"/>
      <c r="D43" s="135"/>
      <c r="E43" s="135"/>
      <c r="F43" s="182"/>
      <c r="G43" s="182"/>
      <c r="H43" s="135"/>
      <c r="I43" s="135"/>
      <c r="J43" s="135"/>
      <c r="K43" s="135"/>
      <c r="L43" s="135"/>
      <c r="M43" s="135"/>
      <c r="N43" s="135"/>
      <c r="O43" s="135"/>
      <c r="P43" s="135"/>
      <c r="Q43" s="135"/>
      <c r="R43" s="135"/>
      <c r="S43" s="135"/>
    </row>
    <row r="44" customFormat="false" ht="15.75" hidden="false" customHeight="true" outlineLevel="0" collapsed="false">
      <c r="A44" s="135"/>
      <c r="B44" s="135"/>
      <c r="C44" s="135"/>
      <c r="D44" s="135"/>
      <c r="E44" s="135"/>
      <c r="F44" s="182"/>
      <c r="G44" s="182"/>
      <c r="H44" s="135"/>
      <c r="I44" s="135"/>
      <c r="J44" s="135"/>
      <c r="K44" s="135"/>
      <c r="L44" s="135"/>
      <c r="M44" s="135"/>
      <c r="N44" s="135"/>
      <c r="O44" s="135"/>
      <c r="P44" s="135"/>
      <c r="Q44" s="135"/>
      <c r="R44" s="135"/>
      <c r="S44" s="135"/>
    </row>
    <row r="45" customFormat="false" ht="15.75" hidden="false" customHeight="true" outlineLevel="0" collapsed="false">
      <c r="A45" s="135"/>
      <c r="B45" s="135"/>
      <c r="C45" s="135"/>
      <c r="D45" s="135"/>
      <c r="E45" s="135"/>
      <c r="F45" s="182"/>
      <c r="G45" s="182"/>
      <c r="H45" s="135"/>
      <c r="I45" s="135"/>
      <c r="J45" s="135"/>
      <c r="K45" s="135"/>
      <c r="L45" s="135"/>
      <c r="M45" s="135"/>
      <c r="N45" s="135"/>
      <c r="O45" s="135"/>
      <c r="P45" s="135"/>
      <c r="Q45" s="135"/>
      <c r="R45" s="135"/>
      <c r="S45" s="135"/>
    </row>
    <row r="46" customFormat="false" ht="15.75" hidden="false" customHeight="true" outlineLevel="0" collapsed="false">
      <c r="A46" s="135"/>
      <c r="B46" s="135"/>
      <c r="C46" s="135"/>
      <c r="D46" s="135"/>
      <c r="E46" s="135"/>
      <c r="F46" s="182"/>
      <c r="G46" s="182"/>
      <c r="H46" s="135"/>
      <c r="I46" s="135"/>
      <c r="J46" s="135"/>
      <c r="K46" s="135"/>
      <c r="L46" s="135"/>
      <c r="M46" s="135"/>
      <c r="N46" s="135"/>
      <c r="O46" s="135"/>
      <c r="P46" s="135"/>
      <c r="Q46" s="135"/>
      <c r="R46" s="135"/>
      <c r="S46" s="135"/>
    </row>
    <row r="47" customFormat="false" ht="15.75" hidden="false" customHeight="true" outlineLevel="0" collapsed="false">
      <c r="A47" s="135"/>
      <c r="B47" s="135"/>
      <c r="C47" s="135"/>
      <c r="D47" s="135"/>
      <c r="E47" s="135"/>
      <c r="F47" s="182"/>
      <c r="G47" s="182"/>
      <c r="H47" s="135"/>
      <c r="I47" s="135"/>
      <c r="J47" s="135"/>
      <c r="K47" s="135"/>
      <c r="L47" s="135"/>
      <c r="M47" s="135"/>
      <c r="N47" s="135"/>
      <c r="O47" s="135"/>
      <c r="P47" s="135"/>
      <c r="Q47" s="135"/>
      <c r="R47" s="135"/>
      <c r="S47" s="135"/>
    </row>
    <row r="48" customFormat="false" ht="15.75" hidden="false" customHeight="true" outlineLevel="0" collapsed="false">
      <c r="A48" s="135"/>
      <c r="B48" s="135"/>
      <c r="C48" s="135"/>
      <c r="D48" s="135"/>
      <c r="E48" s="135"/>
      <c r="F48" s="182"/>
      <c r="G48" s="182"/>
      <c r="H48" s="135"/>
      <c r="I48" s="135"/>
      <c r="J48" s="135"/>
      <c r="K48" s="135"/>
      <c r="L48" s="135"/>
      <c r="M48" s="135"/>
      <c r="N48" s="135"/>
      <c r="O48" s="135"/>
      <c r="P48" s="135"/>
      <c r="Q48" s="135"/>
      <c r="R48" s="135"/>
      <c r="S48" s="135"/>
    </row>
    <row r="49" customFormat="false" ht="15.75" hidden="false" customHeight="true" outlineLevel="0" collapsed="false">
      <c r="A49" s="135"/>
      <c r="B49" s="135"/>
      <c r="C49" s="135"/>
      <c r="D49" s="135"/>
      <c r="E49" s="135"/>
      <c r="F49" s="182"/>
      <c r="G49" s="182"/>
      <c r="H49" s="135"/>
      <c r="I49" s="135"/>
      <c r="J49" s="135"/>
      <c r="K49" s="135"/>
      <c r="L49" s="135"/>
      <c r="M49" s="135"/>
      <c r="N49" s="135"/>
      <c r="O49" s="135"/>
      <c r="P49" s="135"/>
      <c r="Q49" s="135"/>
      <c r="R49" s="135"/>
      <c r="S49" s="135"/>
    </row>
    <row r="50" customFormat="false" ht="15.75" hidden="false" customHeight="true" outlineLevel="0" collapsed="false">
      <c r="A50" s="135"/>
      <c r="B50" s="135"/>
      <c r="C50" s="135"/>
      <c r="D50" s="135"/>
      <c r="E50" s="135"/>
      <c r="F50" s="182"/>
      <c r="G50" s="182"/>
      <c r="H50" s="135"/>
      <c r="I50" s="135"/>
      <c r="J50" s="135"/>
      <c r="K50" s="135"/>
      <c r="L50" s="135"/>
      <c r="M50" s="135"/>
      <c r="N50" s="135"/>
      <c r="O50" s="135"/>
      <c r="P50" s="135"/>
      <c r="Q50" s="135"/>
      <c r="R50" s="135"/>
      <c r="S50" s="135"/>
    </row>
    <row r="51" customFormat="false" ht="15.75" hidden="false" customHeight="true" outlineLevel="0" collapsed="false">
      <c r="A51" s="135"/>
      <c r="B51" s="135"/>
      <c r="C51" s="135"/>
      <c r="D51" s="135"/>
      <c r="E51" s="135"/>
      <c r="F51" s="182"/>
      <c r="G51" s="182"/>
      <c r="H51" s="135"/>
      <c r="I51" s="135"/>
      <c r="J51" s="135"/>
      <c r="K51" s="135"/>
      <c r="L51" s="135"/>
      <c r="M51" s="135"/>
      <c r="N51" s="135"/>
      <c r="O51" s="135"/>
      <c r="P51" s="135"/>
      <c r="Q51" s="135"/>
      <c r="R51" s="135"/>
      <c r="S51" s="135"/>
    </row>
    <row r="52" customFormat="false" ht="15.75" hidden="false" customHeight="true" outlineLevel="0" collapsed="false">
      <c r="A52" s="135"/>
      <c r="B52" s="135"/>
      <c r="C52" s="135"/>
      <c r="D52" s="135"/>
      <c r="E52" s="135"/>
      <c r="F52" s="182"/>
      <c r="G52" s="182"/>
      <c r="H52" s="135"/>
      <c r="I52" s="135"/>
      <c r="J52" s="135"/>
      <c r="K52" s="135"/>
      <c r="L52" s="135"/>
      <c r="M52" s="135"/>
      <c r="N52" s="135"/>
      <c r="O52" s="135"/>
      <c r="P52" s="135"/>
      <c r="Q52" s="135"/>
      <c r="R52" s="135"/>
      <c r="S52" s="135"/>
    </row>
    <row r="53" customFormat="false" ht="15.75" hidden="false" customHeight="true" outlineLevel="0" collapsed="false">
      <c r="A53" s="135"/>
      <c r="B53" s="135"/>
      <c r="C53" s="135"/>
      <c r="D53" s="135"/>
      <c r="E53" s="135"/>
      <c r="F53" s="182"/>
      <c r="G53" s="182"/>
      <c r="H53" s="135"/>
      <c r="I53" s="135"/>
      <c r="J53" s="135"/>
      <c r="K53" s="135"/>
      <c r="L53" s="135"/>
      <c r="M53" s="135"/>
      <c r="N53" s="135"/>
      <c r="O53" s="135"/>
      <c r="P53" s="135"/>
      <c r="Q53" s="135"/>
      <c r="R53" s="135"/>
      <c r="S53" s="135"/>
    </row>
    <row r="54" customFormat="false" ht="15.75" hidden="false" customHeight="true" outlineLevel="0" collapsed="false">
      <c r="A54" s="135"/>
      <c r="B54" s="135"/>
      <c r="C54" s="135"/>
      <c r="D54" s="135"/>
      <c r="E54" s="135"/>
      <c r="F54" s="182"/>
      <c r="G54" s="182"/>
      <c r="H54" s="135"/>
      <c r="I54" s="135"/>
      <c r="J54" s="135"/>
      <c r="K54" s="135"/>
      <c r="L54" s="135"/>
      <c r="M54" s="135"/>
      <c r="N54" s="135"/>
      <c r="O54" s="135"/>
      <c r="P54" s="135"/>
      <c r="Q54" s="135"/>
      <c r="R54" s="135"/>
      <c r="S54" s="135"/>
    </row>
    <row r="55" customFormat="false" ht="15.75" hidden="false" customHeight="true" outlineLevel="0" collapsed="false">
      <c r="A55" s="135"/>
      <c r="B55" s="135"/>
      <c r="C55" s="135"/>
      <c r="D55" s="135"/>
      <c r="E55" s="135"/>
      <c r="F55" s="182"/>
      <c r="G55" s="182"/>
      <c r="H55" s="135"/>
      <c r="I55" s="135"/>
      <c r="J55" s="135"/>
      <c r="K55" s="135"/>
      <c r="L55" s="135"/>
      <c r="M55" s="135"/>
      <c r="N55" s="135"/>
      <c r="O55" s="135"/>
      <c r="P55" s="135"/>
      <c r="Q55" s="135"/>
      <c r="R55" s="135"/>
      <c r="S55" s="135"/>
    </row>
    <row r="56" customFormat="false" ht="15.75" hidden="false" customHeight="true" outlineLevel="0" collapsed="false">
      <c r="A56" s="135"/>
      <c r="B56" s="135"/>
      <c r="C56" s="135"/>
      <c r="D56" s="135"/>
      <c r="E56" s="135"/>
      <c r="F56" s="182"/>
      <c r="G56" s="182"/>
      <c r="H56" s="135"/>
      <c r="I56" s="135"/>
      <c r="J56" s="135"/>
      <c r="K56" s="135"/>
      <c r="L56" s="135"/>
      <c r="M56" s="135"/>
      <c r="N56" s="135"/>
      <c r="O56" s="135"/>
      <c r="P56" s="135"/>
      <c r="Q56" s="135"/>
      <c r="R56" s="135"/>
      <c r="S56" s="135"/>
    </row>
    <row r="57" customFormat="false" ht="15.75" hidden="false" customHeight="true" outlineLevel="0" collapsed="false">
      <c r="A57" s="135"/>
      <c r="B57" s="135"/>
      <c r="C57" s="135"/>
      <c r="D57" s="135"/>
      <c r="E57" s="135"/>
      <c r="F57" s="182"/>
      <c r="G57" s="182"/>
      <c r="H57" s="135"/>
      <c r="I57" s="135"/>
      <c r="J57" s="135"/>
      <c r="K57" s="135"/>
      <c r="L57" s="135"/>
      <c r="M57" s="135"/>
      <c r="N57" s="135"/>
      <c r="O57" s="135"/>
      <c r="P57" s="135"/>
      <c r="Q57" s="135"/>
      <c r="R57" s="135"/>
      <c r="S57" s="135"/>
    </row>
    <row r="58" customFormat="false" ht="15.75" hidden="false" customHeight="true" outlineLevel="0" collapsed="false">
      <c r="A58" s="135"/>
      <c r="B58" s="135"/>
      <c r="C58" s="135"/>
      <c r="D58" s="135"/>
      <c r="E58" s="135"/>
      <c r="F58" s="182"/>
      <c r="G58" s="182"/>
      <c r="H58" s="135"/>
      <c r="I58" s="135"/>
      <c r="J58" s="135"/>
      <c r="K58" s="135"/>
      <c r="L58" s="135"/>
      <c r="M58" s="135"/>
      <c r="N58" s="135"/>
      <c r="O58" s="135"/>
      <c r="P58" s="135"/>
      <c r="Q58" s="135"/>
      <c r="R58" s="135"/>
      <c r="S58" s="135"/>
    </row>
    <row r="59" customFormat="false" ht="15.75" hidden="false" customHeight="true" outlineLevel="0" collapsed="false">
      <c r="A59" s="135"/>
      <c r="B59" s="135"/>
      <c r="C59" s="135"/>
      <c r="D59" s="135"/>
      <c r="E59" s="135"/>
      <c r="F59" s="182"/>
      <c r="G59" s="182"/>
      <c r="H59" s="135"/>
      <c r="I59" s="135"/>
      <c r="J59" s="135"/>
      <c r="K59" s="135"/>
      <c r="L59" s="135"/>
      <c r="M59" s="135"/>
      <c r="N59" s="135"/>
      <c r="O59" s="135"/>
      <c r="P59" s="135"/>
      <c r="Q59" s="135"/>
      <c r="R59" s="135"/>
      <c r="S59" s="135"/>
    </row>
    <row r="60" customFormat="false" ht="15.75" hidden="false" customHeight="true" outlineLevel="0" collapsed="false">
      <c r="A60" s="135"/>
      <c r="B60" s="135"/>
      <c r="C60" s="135"/>
      <c r="D60" s="135"/>
      <c r="E60" s="135"/>
      <c r="F60" s="182"/>
      <c r="G60" s="182"/>
      <c r="H60" s="135"/>
      <c r="I60" s="135"/>
      <c r="J60" s="135"/>
      <c r="K60" s="135"/>
      <c r="L60" s="135"/>
      <c r="M60" s="135"/>
      <c r="N60" s="135"/>
      <c r="O60" s="135"/>
      <c r="P60" s="135"/>
      <c r="Q60" s="135"/>
      <c r="R60" s="135"/>
      <c r="S60" s="135"/>
    </row>
    <row r="61" customFormat="false" ht="15.75" hidden="false" customHeight="true" outlineLevel="0" collapsed="false">
      <c r="A61" s="135"/>
      <c r="B61" s="135"/>
      <c r="C61" s="135"/>
      <c r="D61" s="135"/>
      <c r="E61" s="135"/>
      <c r="F61" s="182"/>
      <c r="G61" s="182"/>
      <c r="H61" s="135"/>
      <c r="I61" s="135"/>
      <c r="J61" s="135"/>
      <c r="K61" s="135"/>
      <c r="L61" s="135"/>
      <c r="M61" s="135"/>
      <c r="N61" s="135"/>
      <c r="O61" s="135"/>
      <c r="P61" s="135"/>
      <c r="Q61" s="135"/>
      <c r="R61" s="135"/>
      <c r="S61" s="135"/>
    </row>
    <row r="62" customFormat="false" ht="15.75" hidden="false" customHeight="true" outlineLevel="0" collapsed="false">
      <c r="A62" s="135"/>
      <c r="B62" s="135"/>
      <c r="C62" s="135"/>
      <c r="D62" s="135"/>
      <c r="E62" s="135"/>
      <c r="F62" s="182"/>
      <c r="G62" s="182"/>
      <c r="H62" s="135"/>
      <c r="I62" s="135"/>
      <c r="J62" s="135"/>
      <c r="K62" s="135"/>
      <c r="L62" s="135"/>
      <c r="M62" s="135"/>
      <c r="N62" s="135"/>
      <c r="O62" s="135"/>
      <c r="P62" s="135"/>
      <c r="Q62" s="135"/>
      <c r="R62" s="135"/>
      <c r="S62" s="135"/>
    </row>
    <row r="63" customFormat="false" ht="15.75" hidden="false" customHeight="true" outlineLevel="0" collapsed="false">
      <c r="A63" s="135"/>
      <c r="B63" s="135"/>
      <c r="C63" s="135"/>
      <c r="D63" s="135"/>
      <c r="E63" s="135"/>
      <c r="F63" s="182"/>
      <c r="G63" s="182"/>
      <c r="H63" s="135"/>
      <c r="I63" s="135"/>
      <c r="J63" s="135"/>
      <c r="K63" s="135"/>
      <c r="L63" s="135"/>
      <c r="M63" s="135"/>
      <c r="N63" s="135"/>
      <c r="O63" s="135"/>
      <c r="P63" s="135"/>
      <c r="Q63" s="135"/>
      <c r="R63" s="135"/>
      <c r="S63" s="135"/>
    </row>
    <row r="64" customFormat="false" ht="15.75" hidden="false" customHeight="true" outlineLevel="0" collapsed="false">
      <c r="A64" s="135"/>
      <c r="B64" s="135"/>
      <c r="C64" s="135"/>
      <c r="D64" s="135"/>
      <c r="E64" s="135"/>
      <c r="F64" s="182"/>
      <c r="G64" s="182"/>
      <c r="H64" s="135"/>
      <c r="I64" s="135"/>
      <c r="J64" s="135"/>
      <c r="K64" s="135"/>
      <c r="L64" s="135"/>
      <c r="M64" s="135"/>
      <c r="N64" s="135"/>
      <c r="O64" s="135"/>
      <c r="P64" s="135"/>
      <c r="Q64" s="135"/>
      <c r="R64" s="135"/>
      <c r="S64" s="135"/>
    </row>
    <row r="65" customFormat="false" ht="15.75" hidden="false" customHeight="true" outlineLevel="0" collapsed="false">
      <c r="A65" s="135"/>
      <c r="B65" s="135"/>
      <c r="C65" s="135"/>
      <c r="D65" s="135"/>
      <c r="E65" s="135"/>
      <c r="F65" s="182"/>
      <c r="G65" s="182"/>
      <c r="H65" s="135"/>
      <c r="I65" s="135"/>
      <c r="J65" s="135"/>
      <c r="K65" s="135"/>
      <c r="L65" s="135"/>
      <c r="M65" s="135"/>
      <c r="N65" s="135"/>
      <c r="O65" s="135"/>
      <c r="P65" s="135"/>
      <c r="Q65" s="135"/>
      <c r="R65" s="135"/>
      <c r="S65" s="135"/>
    </row>
    <row r="66" customFormat="false" ht="15.75" hidden="false" customHeight="true" outlineLevel="0" collapsed="false">
      <c r="A66" s="135"/>
      <c r="B66" s="135"/>
      <c r="C66" s="135"/>
      <c r="D66" s="135"/>
      <c r="E66" s="135"/>
      <c r="F66" s="182"/>
      <c r="G66" s="182"/>
      <c r="H66" s="135"/>
      <c r="I66" s="135"/>
      <c r="J66" s="135"/>
      <c r="K66" s="135"/>
      <c r="L66" s="135"/>
      <c r="M66" s="135"/>
      <c r="N66" s="135"/>
      <c r="O66" s="135"/>
      <c r="P66" s="135"/>
      <c r="Q66" s="135"/>
      <c r="R66" s="135"/>
      <c r="S66" s="135"/>
    </row>
    <row r="67" customFormat="false" ht="15.75" hidden="false" customHeight="true" outlineLevel="0" collapsed="false">
      <c r="A67" s="135"/>
      <c r="B67" s="135"/>
      <c r="C67" s="135"/>
      <c r="D67" s="135"/>
      <c r="E67" s="135"/>
      <c r="F67" s="182"/>
      <c r="G67" s="182"/>
      <c r="H67" s="135"/>
      <c r="I67" s="135"/>
      <c r="J67" s="135"/>
      <c r="K67" s="135"/>
      <c r="L67" s="135"/>
      <c r="M67" s="135"/>
      <c r="N67" s="135"/>
      <c r="O67" s="135"/>
      <c r="P67" s="135"/>
      <c r="Q67" s="135"/>
      <c r="R67" s="135"/>
      <c r="S67" s="135"/>
    </row>
    <row r="68" customFormat="false" ht="15.75" hidden="false" customHeight="true" outlineLevel="0" collapsed="false">
      <c r="A68" s="135"/>
      <c r="B68" s="135"/>
      <c r="C68" s="135"/>
      <c r="D68" s="135"/>
      <c r="E68" s="135"/>
      <c r="F68" s="182"/>
      <c r="G68" s="182"/>
      <c r="H68" s="135"/>
      <c r="I68" s="135"/>
      <c r="J68" s="135"/>
      <c r="K68" s="135"/>
      <c r="L68" s="135"/>
      <c r="M68" s="135"/>
      <c r="N68" s="135"/>
      <c r="O68" s="135"/>
      <c r="P68" s="135"/>
      <c r="Q68" s="135"/>
      <c r="R68" s="135"/>
      <c r="S68" s="135"/>
    </row>
    <row r="69" customFormat="false" ht="15.75" hidden="false" customHeight="true" outlineLevel="0" collapsed="false">
      <c r="A69" s="135"/>
      <c r="B69" s="135"/>
      <c r="C69" s="135"/>
      <c r="D69" s="135"/>
      <c r="E69" s="135"/>
      <c r="F69" s="182"/>
      <c r="G69" s="182"/>
      <c r="H69" s="135"/>
      <c r="I69" s="135"/>
      <c r="J69" s="135"/>
      <c r="K69" s="135"/>
      <c r="L69" s="135"/>
      <c r="M69" s="135"/>
      <c r="N69" s="135"/>
      <c r="O69" s="135"/>
      <c r="P69" s="135"/>
      <c r="Q69" s="135"/>
      <c r="R69" s="135"/>
      <c r="S69" s="135"/>
    </row>
    <row r="70" customFormat="false" ht="15.75" hidden="false" customHeight="true" outlineLevel="0" collapsed="false">
      <c r="A70" s="135"/>
      <c r="B70" s="135"/>
      <c r="C70" s="135"/>
      <c r="D70" s="135"/>
      <c r="E70" s="135"/>
      <c r="F70" s="182"/>
      <c r="G70" s="182"/>
      <c r="H70" s="135"/>
      <c r="I70" s="135"/>
      <c r="J70" s="135"/>
      <c r="K70" s="135"/>
      <c r="L70" s="135"/>
      <c r="M70" s="135"/>
      <c r="N70" s="135"/>
      <c r="O70" s="135"/>
      <c r="P70" s="135"/>
      <c r="Q70" s="135"/>
      <c r="R70" s="135"/>
      <c r="S70" s="135"/>
    </row>
    <row r="71" customFormat="false" ht="15.75" hidden="false" customHeight="true" outlineLevel="0" collapsed="false">
      <c r="A71" s="135"/>
      <c r="B71" s="135"/>
      <c r="C71" s="135"/>
      <c r="D71" s="135"/>
      <c r="E71" s="135"/>
      <c r="F71" s="182"/>
      <c r="G71" s="182"/>
      <c r="H71" s="135"/>
      <c r="I71" s="135"/>
      <c r="J71" s="135"/>
      <c r="K71" s="135"/>
      <c r="L71" s="135"/>
      <c r="M71" s="135"/>
      <c r="N71" s="135"/>
      <c r="O71" s="135"/>
      <c r="P71" s="135"/>
      <c r="Q71" s="135"/>
      <c r="R71" s="135"/>
      <c r="S71" s="135"/>
    </row>
    <row r="72" customFormat="false" ht="15.75" hidden="false" customHeight="true" outlineLevel="0" collapsed="false">
      <c r="A72" s="135"/>
      <c r="B72" s="135"/>
      <c r="C72" s="135"/>
      <c r="D72" s="135"/>
      <c r="E72" s="135"/>
      <c r="F72" s="182"/>
      <c r="G72" s="182"/>
      <c r="H72" s="135"/>
      <c r="I72" s="135"/>
      <c r="J72" s="135"/>
      <c r="K72" s="135"/>
      <c r="L72" s="135"/>
      <c r="M72" s="135"/>
      <c r="N72" s="135"/>
      <c r="O72" s="135"/>
      <c r="P72" s="135"/>
      <c r="Q72" s="135"/>
      <c r="R72" s="135"/>
      <c r="S72" s="135"/>
    </row>
    <row r="73" customFormat="false" ht="15.75" hidden="false" customHeight="true" outlineLevel="0" collapsed="false">
      <c r="A73" s="135"/>
      <c r="B73" s="135"/>
      <c r="C73" s="135"/>
      <c r="D73" s="135"/>
      <c r="E73" s="135"/>
      <c r="F73" s="182"/>
      <c r="G73" s="182"/>
      <c r="H73" s="135"/>
      <c r="I73" s="135"/>
      <c r="J73" s="135"/>
      <c r="K73" s="135"/>
      <c r="L73" s="135"/>
      <c r="M73" s="135"/>
      <c r="N73" s="135"/>
      <c r="O73" s="135"/>
      <c r="P73" s="135"/>
      <c r="Q73" s="135"/>
      <c r="R73" s="135"/>
      <c r="S73" s="135"/>
    </row>
    <row r="74" customFormat="false" ht="15.75" hidden="false" customHeight="true" outlineLevel="0" collapsed="false">
      <c r="A74" s="135"/>
      <c r="B74" s="135"/>
      <c r="C74" s="135"/>
      <c r="D74" s="135"/>
      <c r="E74" s="135"/>
      <c r="F74" s="182"/>
      <c r="G74" s="182"/>
      <c r="H74" s="135"/>
      <c r="I74" s="135"/>
      <c r="J74" s="135"/>
      <c r="K74" s="135"/>
      <c r="L74" s="135"/>
      <c r="M74" s="135"/>
      <c r="N74" s="135"/>
      <c r="O74" s="135"/>
      <c r="P74" s="135"/>
      <c r="Q74" s="135"/>
      <c r="R74" s="135"/>
      <c r="S74" s="135"/>
    </row>
    <row r="75" customFormat="false" ht="15.75" hidden="false" customHeight="true" outlineLevel="0" collapsed="false">
      <c r="A75" s="135"/>
      <c r="B75" s="135"/>
      <c r="C75" s="135"/>
      <c r="D75" s="135"/>
      <c r="E75" s="135"/>
      <c r="F75" s="182"/>
      <c r="G75" s="182"/>
      <c r="H75" s="135"/>
      <c r="I75" s="135"/>
      <c r="J75" s="135"/>
      <c r="K75" s="135"/>
      <c r="L75" s="135"/>
      <c r="M75" s="135"/>
      <c r="N75" s="135"/>
      <c r="O75" s="135"/>
      <c r="P75" s="135"/>
      <c r="Q75" s="135"/>
      <c r="R75" s="135"/>
      <c r="S75" s="135"/>
    </row>
    <row r="76" customFormat="false" ht="15.75" hidden="false" customHeight="true" outlineLevel="0" collapsed="false">
      <c r="A76" s="135"/>
      <c r="B76" s="135"/>
      <c r="C76" s="135"/>
      <c r="D76" s="135"/>
      <c r="E76" s="135"/>
      <c r="F76" s="182"/>
      <c r="G76" s="182"/>
      <c r="H76" s="135"/>
      <c r="I76" s="135"/>
      <c r="J76" s="135"/>
      <c r="K76" s="135"/>
      <c r="L76" s="135"/>
      <c r="M76" s="135"/>
      <c r="N76" s="135"/>
      <c r="O76" s="135"/>
      <c r="P76" s="135"/>
      <c r="Q76" s="135"/>
      <c r="R76" s="135"/>
      <c r="S76" s="135"/>
    </row>
    <row r="77" customFormat="false" ht="15.75" hidden="false" customHeight="true" outlineLevel="0" collapsed="false">
      <c r="A77" s="135"/>
      <c r="B77" s="135"/>
      <c r="C77" s="135"/>
      <c r="D77" s="135"/>
      <c r="E77" s="135"/>
      <c r="F77" s="182"/>
      <c r="G77" s="182"/>
      <c r="H77" s="135"/>
      <c r="I77" s="135"/>
      <c r="J77" s="135"/>
      <c r="K77" s="135"/>
      <c r="L77" s="135"/>
      <c r="M77" s="135"/>
      <c r="N77" s="135"/>
      <c r="O77" s="135"/>
      <c r="P77" s="135"/>
      <c r="Q77" s="135"/>
      <c r="R77" s="135"/>
      <c r="S77" s="135"/>
    </row>
    <row r="78" customFormat="false" ht="15.75" hidden="false" customHeight="true" outlineLevel="0" collapsed="false">
      <c r="A78" s="135"/>
      <c r="B78" s="135"/>
      <c r="C78" s="135"/>
      <c r="D78" s="135"/>
      <c r="E78" s="135"/>
      <c r="F78" s="182"/>
      <c r="G78" s="182"/>
      <c r="H78" s="135"/>
      <c r="I78" s="135"/>
      <c r="J78" s="135"/>
      <c r="K78" s="135"/>
      <c r="L78" s="135"/>
      <c r="M78" s="135"/>
      <c r="N78" s="135"/>
      <c r="O78" s="135"/>
      <c r="P78" s="135"/>
      <c r="Q78" s="135"/>
      <c r="R78" s="135"/>
      <c r="S78" s="135"/>
    </row>
    <row r="79" customFormat="false" ht="15.75" hidden="false" customHeight="true" outlineLevel="0" collapsed="false">
      <c r="A79" s="135"/>
      <c r="B79" s="135"/>
      <c r="C79" s="135"/>
      <c r="D79" s="135"/>
      <c r="E79" s="135"/>
      <c r="F79" s="182"/>
      <c r="G79" s="182"/>
      <c r="H79" s="135"/>
      <c r="I79" s="135"/>
      <c r="J79" s="135"/>
      <c r="K79" s="135"/>
      <c r="L79" s="135"/>
      <c r="M79" s="135"/>
      <c r="N79" s="135"/>
      <c r="O79" s="135"/>
      <c r="P79" s="135"/>
      <c r="Q79" s="135"/>
      <c r="R79" s="135"/>
      <c r="S79" s="135"/>
    </row>
    <row r="80" customFormat="false" ht="15.75" hidden="false" customHeight="true" outlineLevel="0" collapsed="false">
      <c r="A80" s="135"/>
      <c r="B80" s="135"/>
      <c r="C80" s="135"/>
      <c r="D80" s="135"/>
      <c r="E80" s="135"/>
      <c r="F80" s="182"/>
      <c r="G80" s="182"/>
      <c r="H80" s="135"/>
      <c r="I80" s="135"/>
      <c r="J80" s="135"/>
      <c r="K80" s="135"/>
      <c r="L80" s="135"/>
      <c r="M80" s="135"/>
      <c r="N80" s="135"/>
      <c r="O80" s="135"/>
      <c r="P80" s="135"/>
      <c r="Q80" s="135"/>
      <c r="R80" s="135"/>
      <c r="S80" s="135"/>
    </row>
    <row r="81" customFormat="false" ht="15.75" hidden="false" customHeight="true" outlineLevel="0" collapsed="false">
      <c r="A81" s="135"/>
      <c r="B81" s="135"/>
      <c r="C81" s="135"/>
      <c r="D81" s="135"/>
      <c r="E81" s="135"/>
      <c r="F81" s="182"/>
      <c r="G81" s="182"/>
      <c r="H81" s="135"/>
      <c r="I81" s="135"/>
      <c r="J81" s="135"/>
      <c r="K81" s="135"/>
      <c r="L81" s="135"/>
      <c r="M81" s="135"/>
      <c r="N81" s="135"/>
      <c r="O81" s="135"/>
      <c r="P81" s="135"/>
      <c r="Q81" s="135"/>
      <c r="R81" s="135"/>
      <c r="S81" s="135"/>
    </row>
    <row r="82" customFormat="false" ht="15.75" hidden="false" customHeight="true" outlineLevel="0" collapsed="false">
      <c r="A82" s="135"/>
      <c r="B82" s="135"/>
      <c r="C82" s="135"/>
      <c r="D82" s="135"/>
      <c r="E82" s="135"/>
      <c r="F82" s="182"/>
      <c r="G82" s="182"/>
      <c r="H82" s="135"/>
      <c r="I82" s="135"/>
      <c r="J82" s="135"/>
      <c r="K82" s="135"/>
      <c r="L82" s="135"/>
      <c r="M82" s="135"/>
      <c r="N82" s="135"/>
      <c r="O82" s="135"/>
      <c r="P82" s="135"/>
      <c r="Q82" s="135"/>
      <c r="R82" s="135"/>
      <c r="S82" s="135"/>
    </row>
    <row r="83" customFormat="false" ht="15.75" hidden="false" customHeight="true" outlineLevel="0" collapsed="false">
      <c r="A83" s="135"/>
      <c r="B83" s="135"/>
      <c r="C83" s="135"/>
      <c r="D83" s="135"/>
      <c r="E83" s="135"/>
      <c r="F83" s="182"/>
      <c r="G83" s="182"/>
      <c r="H83" s="135"/>
      <c r="I83" s="135"/>
      <c r="J83" s="135"/>
      <c r="K83" s="135"/>
      <c r="L83" s="135"/>
      <c r="M83" s="135"/>
      <c r="N83" s="135"/>
      <c r="O83" s="135"/>
      <c r="P83" s="135"/>
      <c r="Q83" s="135"/>
      <c r="R83" s="135"/>
      <c r="S83" s="135"/>
    </row>
    <row r="84" customFormat="false" ht="15.75" hidden="false" customHeight="true" outlineLevel="0" collapsed="false">
      <c r="A84" s="135"/>
      <c r="B84" s="135"/>
      <c r="C84" s="135"/>
      <c r="D84" s="135"/>
      <c r="E84" s="135"/>
      <c r="F84" s="182"/>
      <c r="G84" s="182"/>
      <c r="H84" s="135"/>
      <c r="I84" s="135"/>
      <c r="J84" s="135"/>
      <c r="K84" s="135"/>
      <c r="L84" s="135"/>
      <c r="M84" s="135"/>
      <c r="N84" s="135"/>
      <c r="O84" s="135"/>
      <c r="P84" s="135"/>
      <c r="Q84" s="135"/>
      <c r="R84" s="135"/>
      <c r="S84" s="135"/>
    </row>
    <row r="85" customFormat="false" ht="15.75" hidden="false" customHeight="true" outlineLevel="0" collapsed="false">
      <c r="A85" s="135"/>
      <c r="B85" s="135"/>
      <c r="C85" s="135"/>
      <c r="D85" s="135"/>
      <c r="E85" s="135"/>
      <c r="F85" s="182"/>
      <c r="G85" s="182"/>
      <c r="H85" s="135"/>
      <c r="I85" s="135"/>
      <c r="J85" s="135"/>
      <c r="K85" s="135"/>
      <c r="L85" s="135"/>
      <c r="M85" s="135"/>
      <c r="N85" s="135"/>
      <c r="O85" s="135"/>
      <c r="P85" s="135"/>
      <c r="Q85" s="135"/>
      <c r="R85" s="135"/>
      <c r="S85" s="135"/>
    </row>
    <row r="86" customFormat="false" ht="15.75" hidden="false" customHeight="true" outlineLevel="0" collapsed="false">
      <c r="A86" s="135"/>
      <c r="B86" s="135"/>
      <c r="C86" s="135"/>
      <c r="D86" s="135"/>
      <c r="E86" s="135"/>
      <c r="F86" s="182"/>
      <c r="G86" s="182"/>
      <c r="H86" s="135"/>
      <c r="I86" s="135"/>
      <c r="J86" s="135"/>
      <c r="K86" s="135"/>
      <c r="L86" s="135"/>
      <c r="M86" s="135"/>
      <c r="N86" s="135"/>
      <c r="O86" s="135"/>
      <c r="P86" s="135"/>
      <c r="Q86" s="135"/>
      <c r="R86" s="135"/>
      <c r="S86" s="135"/>
    </row>
    <row r="87" customFormat="false" ht="15.75" hidden="false" customHeight="true" outlineLevel="0" collapsed="false">
      <c r="A87" s="135"/>
      <c r="B87" s="135"/>
      <c r="C87" s="135"/>
      <c r="D87" s="135"/>
      <c r="E87" s="135"/>
      <c r="F87" s="182"/>
      <c r="G87" s="182"/>
      <c r="H87" s="135"/>
      <c r="I87" s="135"/>
      <c r="J87" s="135"/>
      <c r="K87" s="135"/>
      <c r="L87" s="135"/>
      <c r="M87" s="135"/>
      <c r="N87" s="135"/>
      <c r="O87" s="135"/>
      <c r="P87" s="135"/>
      <c r="Q87" s="135"/>
      <c r="R87" s="135"/>
      <c r="S87" s="135"/>
    </row>
    <row r="88" customFormat="false" ht="15.75" hidden="false" customHeight="true" outlineLevel="0" collapsed="false">
      <c r="A88" s="135"/>
      <c r="B88" s="135"/>
      <c r="C88" s="135"/>
      <c r="D88" s="135"/>
      <c r="E88" s="135"/>
      <c r="F88" s="182"/>
      <c r="G88" s="182"/>
      <c r="H88" s="135"/>
      <c r="I88" s="135"/>
      <c r="J88" s="135"/>
      <c r="K88" s="135"/>
      <c r="L88" s="135"/>
      <c r="M88" s="135"/>
      <c r="N88" s="135"/>
      <c r="O88" s="135"/>
      <c r="P88" s="135"/>
      <c r="Q88" s="135"/>
      <c r="R88" s="135"/>
      <c r="S88" s="135"/>
    </row>
    <row r="89" customFormat="false" ht="15.75" hidden="false" customHeight="true" outlineLevel="0" collapsed="false">
      <c r="A89" s="135"/>
      <c r="B89" s="135"/>
      <c r="C89" s="135"/>
      <c r="D89" s="135"/>
      <c r="E89" s="135"/>
      <c r="F89" s="182"/>
      <c r="G89" s="182"/>
      <c r="H89" s="135"/>
      <c r="I89" s="135"/>
      <c r="J89" s="135"/>
      <c r="K89" s="135"/>
      <c r="L89" s="135"/>
      <c r="M89" s="135"/>
      <c r="N89" s="135"/>
      <c r="O89" s="135"/>
      <c r="P89" s="135"/>
      <c r="Q89" s="135"/>
      <c r="R89" s="135"/>
      <c r="S89" s="135"/>
    </row>
    <row r="90" customFormat="false" ht="15.75" hidden="false" customHeight="true" outlineLevel="0" collapsed="false">
      <c r="A90" s="135"/>
      <c r="B90" s="135"/>
      <c r="C90" s="135"/>
      <c r="D90" s="135"/>
      <c r="E90" s="135"/>
      <c r="F90" s="182"/>
      <c r="G90" s="182"/>
      <c r="H90" s="135"/>
      <c r="I90" s="135"/>
      <c r="J90" s="135"/>
      <c r="K90" s="135"/>
      <c r="L90" s="135"/>
      <c r="M90" s="135"/>
      <c r="N90" s="135"/>
      <c r="O90" s="135"/>
      <c r="P90" s="135"/>
      <c r="Q90" s="135"/>
      <c r="R90" s="135"/>
      <c r="S90" s="135"/>
    </row>
    <row r="91" customFormat="false" ht="15.75" hidden="false" customHeight="true" outlineLevel="0" collapsed="false">
      <c r="A91" s="135"/>
      <c r="B91" s="135"/>
      <c r="C91" s="135"/>
      <c r="D91" s="135"/>
      <c r="E91" s="135"/>
      <c r="F91" s="182"/>
      <c r="G91" s="182"/>
      <c r="H91" s="135"/>
      <c r="I91" s="135"/>
      <c r="J91" s="135"/>
      <c r="K91" s="135"/>
      <c r="L91" s="135"/>
      <c r="M91" s="135"/>
      <c r="N91" s="135"/>
      <c r="O91" s="135"/>
      <c r="P91" s="135"/>
      <c r="Q91" s="135"/>
      <c r="R91" s="135"/>
      <c r="S91" s="135"/>
    </row>
    <row r="92" customFormat="false" ht="15.75" hidden="false" customHeight="true" outlineLevel="0" collapsed="false">
      <c r="A92" s="135"/>
      <c r="B92" s="135"/>
      <c r="C92" s="135"/>
      <c r="D92" s="135"/>
      <c r="E92" s="135"/>
      <c r="F92" s="182"/>
      <c r="G92" s="182"/>
      <c r="H92" s="135"/>
      <c r="I92" s="135"/>
      <c r="J92" s="135"/>
      <c r="K92" s="135"/>
      <c r="L92" s="135"/>
      <c r="M92" s="135"/>
      <c r="N92" s="135"/>
      <c r="O92" s="135"/>
      <c r="P92" s="135"/>
      <c r="Q92" s="135"/>
      <c r="R92" s="135"/>
      <c r="S92" s="135"/>
    </row>
    <row r="93" customFormat="false" ht="15.75" hidden="false" customHeight="true" outlineLevel="0" collapsed="false">
      <c r="A93" s="135"/>
      <c r="B93" s="135"/>
      <c r="C93" s="135"/>
      <c r="D93" s="135"/>
      <c r="E93" s="135"/>
      <c r="F93" s="182"/>
      <c r="G93" s="182"/>
      <c r="H93" s="135"/>
      <c r="I93" s="135"/>
      <c r="J93" s="135"/>
      <c r="K93" s="135"/>
      <c r="L93" s="135"/>
      <c r="M93" s="135"/>
      <c r="N93" s="135"/>
      <c r="O93" s="135"/>
      <c r="P93" s="135"/>
      <c r="Q93" s="135"/>
      <c r="R93" s="135"/>
      <c r="S93" s="135"/>
    </row>
    <row r="94" customFormat="false" ht="15.75" hidden="false" customHeight="true" outlineLevel="0" collapsed="false">
      <c r="A94" s="135"/>
      <c r="B94" s="135"/>
      <c r="C94" s="135"/>
      <c r="D94" s="135"/>
      <c r="E94" s="135"/>
      <c r="F94" s="182"/>
      <c r="G94" s="182"/>
      <c r="H94" s="135"/>
      <c r="I94" s="135"/>
      <c r="J94" s="135"/>
      <c r="K94" s="135"/>
      <c r="L94" s="135"/>
      <c r="M94" s="135"/>
      <c r="N94" s="135"/>
      <c r="O94" s="135"/>
      <c r="P94" s="135"/>
      <c r="Q94" s="135"/>
      <c r="R94" s="135"/>
      <c r="S94" s="135"/>
    </row>
    <row r="95" customFormat="false" ht="15.75" hidden="false" customHeight="true" outlineLevel="0" collapsed="false">
      <c r="A95" s="135"/>
      <c r="B95" s="135"/>
      <c r="C95" s="135"/>
      <c r="D95" s="135"/>
      <c r="E95" s="135"/>
      <c r="F95" s="182"/>
      <c r="G95" s="182"/>
      <c r="H95" s="135"/>
      <c r="I95" s="135"/>
      <c r="J95" s="135"/>
      <c r="K95" s="135"/>
      <c r="L95" s="135"/>
      <c r="M95" s="135"/>
      <c r="N95" s="135"/>
      <c r="O95" s="135"/>
      <c r="P95" s="135"/>
      <c r="Q95" s="135"/>
      <c r="R95" s="135"/>
      <c r="S95" s="135"/>
    </row>
    <row r="96" customFormat="false" ht="15.75" hidden="false" customHeight="true" outlineLevel="0" collapsed="false">
      <c r="A96" s="135"/>
      <c r="B96" s="135"/>
      <c r="C96" s="135"/>
      <c r="D96" s="135"/>
      <c r="E96" s="135"/>
      <c r="F96" s="182"/>
      <c r="G96" s="182"/>
      <c r="H96" s="135"/>
      <c r="I96" s="135"/>
      <c r="J96" s="135"/>
      <c r="K96" s="135"/>
      <c r="L96" s="135"/>
      <c r="M96" s="135"/>
      <c r="N96" s="135"/>
      <c r="O96" s="135"/>
      <c r="P96" s="135"/>
      <c r="Q96" s="135"/>
      <c r="R96" s="135"/>
      <c r="S96" s="135"/>
    </row>
    <row r="97" customFormat="false" ht="15.75" hidden="false" customHeight="true" outlineLevel="0" collapsed="false">
      <c r="A97" s="135"/>
      <c r="B97" s="135"/>
      <c r="C97" s="135"/>
      <c r="D97" s="135"/>
      <c r="E97" s="135"/>
      <c r="F97" s="182"/>
      <c r="G97" s="182"/>
      <c r="H97" s="135"/>
      <c r="I97" s="135"/>
      <c r="J97" s="135"/>
      <c r="K97" s="135"/>
      <c r="L97" s="135"/>
      <c r="M97" s="135"/>
      <c r="N97" s="135"/>
      <c r="O97" s="135"/>
      <c r="P97" s="135"/>
      <c r="Q97" s="135"/>
      <c r="R97" s="135"/>
      <c r="S97" s="135"/>
    </row>
    <row r="98" customFormat="false" ht="15.75" hidden="false" customHeight="true" outlineLevel="0" collapsed="false">
      <c r="A98" s="135"/>
      <c r="B98" s="135"/>
      <c r="C98" s="135"/>
      <c r="D98" s="135"/>
      <c r="E98" s="135"/>
      <c r="F98" s="182"/>
      <c r="G98" s="182"/>
      <c r="H98" s="135"/>
      <c r="I98" s="135"/>
      <c r="J98" s="135"/>
      <c r="K98" s="135"/>
      <c r="L98" s="135"/>
      <c r="M98" s="135"/>
      <c r="N98" s="135"/>
      <c r="O98" s="135"/>
      <c r="P98" s="135"/>
      <c r="Q98" s="135"/>
      <c r="R98" s="135"/>
      <c r="S98" s="135"/>
    </row>
    <row r="99" customFormat="false" ht="15.75" hidden="false" customHeight="true" outlineLevel="0" collapsed="false">
      <c r="A99" s="135"/>
      <c r="B99" s="135"/>
      <c r="C99" s="135"/>
      <c r="D99" s="135"/>
      <c r="E99" s="135"/>
      <c r="F99" s="182"/>
      <c r="G99" s="182"/>
      <c r="H99" s="135"/>
      <c r="I99" s="135"/>
      <c r="J99" s="135"/>
      <c r="K99" s="135"/>
      <c r="L99" s="135"/>
      <c r="M99" s="135"/>
      <c r="N99" s="135"/>
      <c r="O99" s="135"/>
      <c r="P99" s="135"/>
      <c r="Q99" s="135"/>
      <c r="R99" s="135"/>
      <c r="S99" s="135"/>
    </row>
    <row r="100" customFormat="false" ht="15.75" hidden="false" customHeight="true" outlineLevel="0" collapsed="false">
      <c r="A100" s="135"/>
      <c r="B100" s="135"/>
      <c r="C100" s="135"/>
      <c r="D100" s="135"/>
      <c r="E100" s="135"/>
      <c r="F100" s="182"/>
      <c r="G100" s="182"/>
      <c r="H100" s="135"/>
      <c r="I100" s="135"/>
      <c r="J100" s="135"/>
      <c r="K100" s="135"/>
      <c r="L100" s="135"/>
      <c r="M100" s="135"/>
      <c r="N100" s="135"/>
      <c r="O100" s="135"/>
      <c r="P100" s="135"/>
      <c r="Q100" s="135"/>
      <c r="R100" s="135"/>
      <c r="S100" s="135"/>
    </row>
    <row r="101" customFormat="false" ht="15.75" hidden="false" customHeight="true" outlineLevel="0" collapsed="false">
      <c r="A101" s="135"/>
      <c r="B101" s="135"/>
      <c r="C101" s="135"/>
      <c r="D101" s="135"/>
      <c r="E101" s="135"/>
      <c r="F101" s="182"/>
      <c r="G101" s="182"/>
      <c r="H101" s="135"/>
      <c r="I101" s="135"/>
      <c r="J101" s="135"/>
      <c r="K101" s="135"/>
      <c r="L101" s="135"/>
      <c r="M101" s="135"/>
      <c r="N101" s="135"/>
      <c r="O101" s="135"/>
      <c r="P101" s="135"/>
      <c r="Q101" s="135"/>
      <c r="R101" s="135"/>
      <c r="S101" s="135"/>
    </row>
    <row r="102" customFormat="false" ht="15.75" hidden="false" customHeight="true" outlineLevel="0" collapsed="false">
      <c r="A102" s="135"/>
      <c r="B102" s="135"/>
      <c r="C102" s="135"/>
      <c r="D102" s="135"/>
      <c r="E102" s="135"/>
      <c r="F102" s="182"/>
      <c r="G102" s="182"/>
      <c r="H102" s="135"/>
      <c r="I102" s="135"/>
      <c r="J102" s="135"/>
      <c r="K102" s="135"/>
      <c r="L102" s="135"/>
      <c r="M102" s="135"/>
      <c r="N102" s="135"/>
      <c r="O102" s="135"/>
      <c r="P102" s="135"/>
      <c r="Q102" s="135"/>
      <c r="R102" s="135"/>
      <c r="S102" s="135"/>
    </row>
    <row r="103" customFormat="false" ht="15.75" hidden="false" customHeight="true" outlineLevel="0" collapsed="false">
      <c r="A103" s="135"/>
      <c r="B103" s="135"/>
      <c r="C103" s="135"/>
      <c r="D103" s="135"/>
      <c r="E103" s="135"/>
      <c r="F103" s="182"/>
      <c r="G103" s="182"/>
      <c r="H103" s="135"/>
      <c r="I103" s="135"/>
      <c r="J103" s="135"/>
      <c r="K103" s="135"/>
      <c r="L103" s="135"/>
      <c r="M103" s="135"/>
      <c r="N103" s="135"/>
      <c r="O103" s="135"/>
      <c r="P103" s="135"/>
      <c r="Q103" s="135"/>
      <c r="R103" s="135"/>
      <c r="S103" s="135"/>
    </row>
    <row r="104" customFormat="false" ht="15.75" hidden="false" customHeight="true" outlineLevel="0" collapsed="false">
      <c r="A104" s="135"/>
      <c r="B104" s="135"/>
      <c r="C104" s="135"/>
      <c r="D104" s="135"/>
      <c r="E104" s="135"/>
      <c r="F104" s="182"/>
      <c r="G104" s="182"/>
      <c r="H104" s="135"/>
      <c r="I104" s="135"/>
      <c r="J104" s="135"/>
      <c r="K104" s="135"/>
      <c r="L104" s="135"/>
      <c r="M104" s="135"/>
      <c r="N104" s="135"/>
      <c r="O104" s="135"/>
      <c r="P104" s="135"/>
      <c r="Q104" s="135"/>
      <c r="R104" s="135"/>
      <c r="S104" s="135"/>
    </row>
    <row r="105" customFormat="false" ht="15.75" hidden="false" customHeight="true" outlineLevel="0" collapsed="false">
      <c r="A105" s="135"/>
      <c r="B105" s="135"/>
      <c r="C105" s="135"/>
      <c r="D105" s="135"/>
      <c r="E105" s="135"/>
      <c r="F105" s="182"/>
      <c r="G105" s="182"/>
      <c r="H105" s="135"/>
      <c r="I105" s="135"/>
      <c r="J105" s="135"/>
      <c r="K105" s="135"/>
      <c r="L105" s="135"/>
      <c r="M105" s="135"/>
      <c r="N105" s="135"/>
      <c r="O105" s="135"/>
      <c r="P105" s="135"/>
      <c r="Q105" s="135"/>
      <c r="R105" s="135"/>
      <c r="S105" s="135"/>
    </row>
    <row r="106" customFormat="false" ht="15.75" hidden="false" customHeight="true" outlineLevel="0" collapsed="false">
      <c r="A106" s="135"/>
      <c r="B106" s="135"/>
      <c r="C106" s="135"/>
      <c r="D106" s="135"/>
      <c r="E106" s="135"/>
      <c r="F106" s="182"/>
      <c r="G106" s="182"/>
      <c r="H106" s="135"/>
      <c r="I106" s="135"/>
      <c r="J106" s="135"/>
      <c r="K106" s="135"/>
      <c r="L106" s="135"/>
      <c r="M106" s="135"/>
      <c r="N106" s="135"/>
      <c r="O106" s="135"/>
      <c r="P106" s="135"/>
      <c r="Q106" s="135"/>
      <c r="R106" s="135"/>
      <c r="S106" s="135"/>
    </row>
    <row r="107" customFormat="false" ht="15.75" hidden="false" customHeight="true" outlineLevel="0" collapsed="false">
      <c r="A107" s="135"/>
      <c r="B107" s="135"/>
      <c r="C107" s="135"/>
      <c r="D107" s="135"/>
      <c r="E107" s="135"/>
      <c r="F107" s="182"/>
      <c r="G107" s="182"/>
      <c r="H107" s="135"/>
      <c r="I107" s="135"/>
      <c r="J107" s="135"/>
      <c r="K107" s="135"/>
      <c r="L107" s="135"/>
      <c r="M107" s="135"/>
      <c r="N107" s="135"/>
      <c r="O107" s="135"/>
      <c r="P107" s="135"/>
      <c r="Q107" s="135"/>
      <c r="R107" s="135"/>
      <c r="S107" s="135"/>
    </row>
    <row r="108" customFormat="false" ht="15.75" hidden="false" customHeight="true" outlineLevel="0" collapsed="false">
      <c r="A108" s="135"/>
      <c r="B108" s="135"/>
      <c r="C108" s="135"/>
      <c r="D108" s="135"/>
      <c r="E108" s="135"/>
      <c r="F108" s="182"/>
      <c r="G108" s="182"/>
      <c r="H108" s="135"/>
      <c r="I108" s="135"/>
      <c r="J108" s="135"/>
      <c r="K108" s="135"/>
      <c r="L108" s="135"/>
      <c r="M108" s="135"/>
      <c r="N108" s="135"/>
      <c r="O108" s="135"/>
      <c r="P108" s="135"/>
      <c r="Q108" s="135"/>
      <c r="R108" s="135"/>
      <c r="S108" s="135"/>
    </row>
    <row r="109" customFormat="false" ht="15.75" hidden="false" customHeight="true" outlineLevel="0" collapsed="false">
      <c r="A109" s="135"/>
      <c r="B109" s="135"/>
      <c r="C109" s="135"/>
      <c r="D109" s="135"/>
      <c r="E109" s="135"/>
      <c r="F109" s="182"/>
      <c r="G109" s="182"/>
      <c r="H109" s="135"/>
      <c r="I109" s="135"/>
      <c r="J109" s="135"/>
      <c r="K109" s="135"/>
      <c r="L109" s="135"/>
      <c r="M109" s="135"/>
      <c r="N109" s="135"/>
      <c r="O109" s="135"/>
      <c r="P109" s="135"/>
      <c r="Q109" s="135"/>
      <c r="R109" s="135"/>
      <c r="S109" s="135"/>
    </row>
    <row r="110" customFormat="false" ht="15.75" hidden="false" customHeight="true" outlineLevel="0" collapsed="false">
      <c r="A110" s="135"/>
      <c r="B110" s="135"/>
      <c r="C110" s="135"/>
      <c r="D110" s="135"/>
      <c r="E110" s="135"/>
      <c r="F110" s="182"/>
      <c r="G110" s="182"/>
      <c r="H110" s="135"/>
      <c r="I110" s="135"/>
      <c r="J110" s="135"/>
      <c r="K110" s="135"/>
      <c r="L110" s="135"/>
      <c r="M110" s="135"/>
      <c r="N110" s="135"/>
      <c r="O110" s="135"/>
      <c r="P110" s="135"/>
      <c r="Q110" s="135"/>
      <c r="R110" s="135"/>
      <c r="S110" s="135"/>
    </row>
    <row r="111" customFormat="false" ht="15.75" hidden="false" customHeight="true" outlineLevel="0" collapsed="false">
      <c r="A111" s="135"/>
      <c r="B111" s="135"/>
      <c r="C111" s="135"/>
      <c r="D111" s="135"/>
      <c r="E111" s="135"/>
      <c r="F111" s="182"/>
      <c r="G111" s="182"/>
      <c r="H111" s="135"/>
      <c r="I111" s="135"/>
      <c r="J111" s="135"/>
      <c r="K111" s="135"/>
      <c r="L111" s="135"/>
      <c r="M111" s="135"/>
      <c r="N111" s="135"/>
      <c r="O111" s="135"/>
      <c r="P111" s="135"/>
      <c r="Q111" s="135"/>
      <c r="R111" s="135"/>
      <c r="S111" s="135"/>
    </row>
    <row r="112" customFormat="false" ht="15.75" hidden="false" customHeight="true" outlineLevel="0" collapsed="false">
      <c r="A112" s="135"/>
      <c r="B112" s="135"/>
      <c r="C112" s="135"/>
      <c r="D112" s="135"/>
      <c r="E112" s="135"/>
      <c r="F112" s="182"/>
      <c r="G112" s="182"/>
      <c r="H112" s="135"/>
      <c r="I112" s="135"/>
      <c r="J112" s="135"/>
      <c r="K112" s="135"/>
      <c r="L112" s="135"/>
      <c r="M112" s="135"/>
      <c r="N112" s="135"/>
      <c r="O112" s="135"/>
      <c r="P112" s="135"/>
      <c r="Q112" s="135"/>
      <c r="R112" s="135"/>
      <c r="S112" s="135"/>
    </row>
    <row r="113" customFormat="false" ht="15.75" hidden="false" customHeight="true" outlineLevel="0" collapsed="false">
      <c r="A113" s="135"/>
      <c r="B113" s="135"/>
      <c r="C113" s="135"/>
      <c r="D113" s="135"/>
      <c r="E113" s="135"/>
      <c r="F113" s="182"/>
      <c r="G113" s="182"/>
      <c r="H113" s="135"/>
      <c r="I113" s="135"/>
      <c r="J113" s="135"/>
      <c r="K113" s="135"/>
      <c r="L113" s="135"/>
      <c r="M113" s="135"/>
      <c r="N113" s="135"/>
      <c r="O113" s="135"/>
      <c r="P113" s="135"/>
      <c r="Q113" s="135"/>
      <c r="R113" s="135"/>
      <c r="S113" s="135"/>
    </row>
    <row r="114" customFormat="false" ht="15.75" hidden="false" customHeight="true" outlineLevel="0" collapsed="false">
      <c r="A114" s="135"/>
      <c r="B114" s="135"/>
      <c r="C114" s="135"/>
      <c r="D114" s="135"/>
      <c r="E114" s="135"/>
      <c r="F114" s="182"/>
      <c r="G114" s="182"/>
      <c r="H114" s="135"/>
      <c r="I114" s="135"/>
      <c r="J114" s="135"/>
      <c r="K114" s="135"/>
      <c r="L114" s="135"/>
      <c r="M114" s="135"/>
      <c r="N114" s="135"/>
      <c r="O114" s="135"/>
      <c r="P114" s="135"/>
      <c r="Q114" s="135"/>
      <c r="R114" s="135"/>
      <c r="S114" s="135"/>
    </row>
    <row r="115" customFormat="false" ht="15.75" hidden="false" customHeight="true" outlineLevel="0" collapsed="false">
      <c r="A115" s="135"/>
      <c r="B115" s="135"/>
      <c r="C115" s="135"/>
      <c r="D115" s="135"/>
      <c r="E115" s="135"/>
      <c r="F115" s="182"/>
      <c r="G115" s="182"/>
      <c r="H115" s="135"/>
      <c r="I115" s="135"/>
      <c r="J115" s="135"/>
      <c r="K115" s="135"/>
      <c r="L115" s="135"/>
      <c r="M115" s="135"/>
      <c r="N115" s="135"/>
      <c r="O115" s="135"/>
      <c r="P115" s="135"/>
      <c r="Q115" s="135"/>
      <c r="R115" s="135"/>
      <c r="S115" s="135"/>
    </row>
    <row r="116" customFormat="false" ht="15.75" hidden="false" customHeight="true" outlineLevel="0" collapsed="false">
      <c r="A116" s="135"/>
      <c r="B116" s="135"/>
      <c r="C116" s="135"/>
      <c r="D116" s="135"/>
      <c r="E116" s="135"/>
      <c r="F116" s="182"/>
      <c r="G116" s="182"/>
      <c r="H116" s="135"/>
      <c r="I116" s="135"/>
      <c r="J116" s="135"/>
      <c r="K116" s="135"/>
      <c r="L116" s="135"/>
      <c r="M116" s="135"/>
      <c r="N116" s="135"/>
      <c r="O116" s="135"/>
      <c r="P116" s="135"/>
      <c r="Q116" s="135"/>
      <c r="R116" s="135"/>
      <c r="S116" s="135"/>
    </row>
    <row r="117" customFormat="false" ht="15.75" hidden="false" customHeight="true" outlineLevel="0" collapsed="false">
      <c r="A117" s="135"/>
      <c r="B117" s="135"/>
      <c r="C117" s="135"/>
      <c r="D117" s="135"/>
      <c r="E117" s="135"/>
      <c r="F117" s="182"/>
      <c r="G117" s="182"/>
      <c r="H117" s="135"/>
      <c r="I117" s="135"/>
      <c r="J117" s="135"/>
      <c r="K117" s="135"/>
      <c r="L117" s="135"/>
      <c r="M117" s="135"/>
      <c r="N117" s="135"/>
      <c r="O117" s="135"/>
      <c r="P117" s="135"/>
      <c r="Q117" s="135"/>
      <c r="R117" s="135"/>
      <c r="S117" s="135"/>
    </row>
    <row r="118" customFormat="false" ht="15.75" hidden="false" customHeight="true" outlineLevel="0" collapsed="false">
      <c r="A118" s="135"/>
      <c r="B118" s="135"/>
      <c r="C118" s="135"/>
      <c r="D118" s="135"/>
      <c r="E118" s="135"/>
      <c r="F118" s="182"/>
      <c r="G118" s="182"/>
      <c r="H118" s="135"/>
      <c r="I118" s="135"/>
      <c r="J118" s="135"/>
      <c r="K118" s="135"/>
      <c r="L118" s="135"/>
      <c r="M118" s="135"/>
      <c r="N118" s="135"/>
      <c r="O118" s="135"/>
      <c r="P118" s="135"/>
      <c r="Q118" s="135"/>
      <c r="R118" s="135"/>
      <c r="S118" s="135"/>
    </row>
    <row r="119" customFormat="false" ht="15.75" hidden="false" customHeight="true" outlineLevel="0" collapsed="false">
      <c r="A119" s="135"/>
      <c r="B119" s="135"/>
      <c r="C119" s="135"/>
      <c r="D119" s="135"/>
      <c r="E119" s="135"/>
      <c r="F119" s="182"/>
      <c r="G119" s="182"/>
      <c r="H119" s="135"/>
      <c r="I119" s="135"/>
      <c r="J119" s="135"/>
      <c r="K119" s="135"/>
      <c r="L119" s="135"/>
      <c r="M119" s="135"/>
      <c r="N119" s="135"/>
      <c r="O119" s="135"/>
      <c r="P119" s="135"/>
      <c r="Q119" s="135"/>
      <c r="R119" s="135"/>
      <c r="S119" s="135"/>
    </row>
    <row r="120" customFormat="false" ht="15.75" hidden="false" customHeight="true" outlineLevel="0" collapsed="false">
      <c r="A120" s="135"/>
      <c r="B120" s="135"/>
      <c r="C120" s="135"/>
      <c r="D120" s="135"/>
      <c r="E120" s="135"/>
      <c r="F120" s="182"/>
      <c r="G120" s="182"/>
      <c r="H120" s="135"/>
      <c r="I120" s="135"/>
      <c r="J120" s="135"/>
      <c r="K120" s="135"/>
      <c r="L120" s="135"/>
      <c r="M120" s="135"/>
      <c r="N120" s="135"/>
      <c r="O120" s="135"/>
      <c r="P120" s="135"/>
      <c r="Q120" s="135"/>
      <c r="R120" s="135"/>
      <c r="S120" s="135"/>
    </row>
    <row r="121" customFormat="false" ht="15.75" hidden="false" customHeight="true" outlineLevel="0" collapsed="false">
      <c r="A121" s="135"/>
      <c r="B121" s="135"/>
      <c r="C121" s="135"/>
      <c r="D121" s="135"/>
      <c r="E121" s="135"/>
      <c r="F121" s="182"/>
      <c r="G121" s="182"/>
      <c r="H121" s="135"/>
      <c r="I121" s="135"/>
      <c r="J121" s="135"/>
      <c r="K121" s="135"/>
      <c r="L121" s="135"/>
      <c r="M121" s="135"/>
      <c r="N121" s="135"/>
      <c r="O121" s="135"/>
      <c r="P121" s="135"/>
      <c r="Q121" s="135"/>
      <c r="R121" s="135"/>
      <c r="S121" s="135"/>
    </row>
    <row r="122" customFormat="false" ht="15.75" hidden="false" customHeight="true" outlineLevel="0" collapsed="false">
      <c r="A122" s="135"/>
      <c r="B122" s="135"/>
      <c r="C122" s="135"/>
      <c r="D122" s="135"/>
      <c r="E122" s="135"/>
      <c r="F122" s="182"/>
      <c r="G122" s="182"/>
      <c r="H122" s="135"/>
      <c r="I122" s="135"/>
      <c r="J122" s="135"/>
      <c r="K122" s="135"/>
      <c r="L122" s="135"/>
      <c r="M122" s="135"/>
      <c r="N122" s="135"/>
      <c r="O122" s="135"/>
      <c r="P122" s="135"/>
      <c r="Q122" s="135"/>
      <c r="R122" s="135"/>
      <c r="S122" s="135"/>
    </row>
    <row r="123" customFormat="false" ht="15.75" hidden="false" customHeight="true" outlineLevel="0" collapsed="false">
      <c r="A123" s="135"/>
      <c r="B123" s="135"/>
      <c r="C123" s="135"/>
      <c r="D123" s="135"/>
      <c r="E123" s="135"/>
      <c r="F123" s="182"/>
      <c r="G123" s="182"/>
      <c r="H123" s="135"/>
      <c r="I123" s="135"/>
      <c r="J123" s="135"/>
      <c r="K123" s="135"/>
      <c r="L123" s="135"/>
      <c r="M123" s="135"/>
      <c r="N123" s="135"/>
      <c r="O123" s="135"/>
      <c r="P123" s="135"/>
      <c r="Q123" s="135"/>
      <c r="R123" s="135"/>
      <c r="S123" s="135"/>
    </row>
    <row r="124" customFormat="false" ht="15.75" hidden="false" customHeight="true" outlineLevel="0" collapsed="false">
      <c r="A124" s="135"/>
      <c r="B124" s="135"/>
      <c r="C124" s="135"/>
      <c r="D124" s="135"/>
      <c r="E124" s="135"/>
      <c r="F124" s="182"/>
      <c r="G124" s="182"/>
      <c r="H124" s="135"/>
      <c r="I124" s="135"/>
      <c r="J124" s="135"/>
      <c r="K124" s="135"/>
      <c r="L124" s="135"/>
      <c r="M124" s="135"/>
      <c r="N124" s="135"/>
      <c r="O124" s="135"/>
      <c r="P124" s="135"/>
      <c r="Q124" s="135"/>
      <c r="R124" s="135"/>
      <c r="S124" s="135"/>
    </row>
    <row r="125" customFormat="false" ht="15.75" hidden="false" customHeight="true" outlineLevel="0" collapsed="false">
      <c r="A125" s="135"/>
      <c r="B125" s="135"/>
      <c r="C125" s="135"/>
      <c r="D125" s="135"/>
      <c r="E125" s="135"/>
      <c r="F125" s="182"/>
      <c r="G125" s="182"/>
      <c r="H125" s="135"/>
      <c r="I125" s="135"/>
      <c r="J125" s="135"/>
      <c r="K125" s="135"/>
      <c r="L125" s="135"/>
      <c r="M125" s="135"/>
      <c r="N125" s="135"/>
      <c r="O125" s="135"/>
      <c r="P125" s="135"/>
      <c r="Q125" s="135"/>
      <c r="R125" s="135"/>
      <c r="S125" s="135"/>
    </row>
    <row r="126" customFormat="false" ht="15.75" hidden="false" customHeight="true" outlineLevel="0" collapsed="false">
      <c r="A126" s="135"/>
      <c r="B126" s="135"/>
      <c r="C126" s="135"/>
      <c r="D126" s="135"/>
      <c r="E126" s="135"/>
      <c r="F126" s="182"/>
      <c r="G126" s="182"/>
      <c r="H126" s="135"/>
      <c r="I126" s="135"/>
      <c r="J126" s="135"/>
      <c r="K126" s="135"/>
      <c r="L126" s="135"/>
      <c r="M126" s="135"/>
      <c r="N126" s="135"/>
      <c r="O126" s="135"/>
      <c r="P126" s="135"/>
      <c r="Q126" s="135"/>
      <c r="R126" s="135"/>
      <c r="S126" s="135"/>
    </row>
    <row r="127" customFormat="false" ht="15.75" hidden="false" customHeight="true" outlineLevel="0" collapsed="false">
      <c r="A127" s="135"/>
      <c r="B127" s="135"/>
      <c r="C127" s="135"/>
      <c r="D127" s="135"/>
      <c r="E127" s="135"/>
      <c r="F127" s="182"/>
      <c r="G127" s="182"/>
      <c r="H127" s="135"/>
      <c r="I127" s="135"/>
      <c r="J127" s="135"/>
      <c r="K127" s="135"/>
      <c r="L127" s="135"/>
      <c r="M127" s="135"/>
      <c r="N127" s="135"/>
      <c r="O127" s="135"/>
      <c r="P127" s="135"/>
      <c r="Q127" s="135"/>
      <c r="R127" s="135"/>
      <c r="S127" s="135"/>
    </row>
    <row r="128" customFormat="false" ht="15.75" hidden="false" customHeight="true" outlineLevel="0" collapsed="false">
      <c r="A128" s="135"/>
      <c r="B128" s="135"/>
      <c r="C128" s="135"/>
      <c r="D128" s="135"/>
      <c r="E128" s="135"/>
      <c r="F128" s="182"/>
      <c r="G128" s="182"/>
      <c r="H128" s="135"/>
      <c r="I128" s="135"/>
      <c r="J128" s="135"/>
      <c r="K128" s="135"/>
      <c r="L128" s="135"/>
      <c r="M128" s="135"/>
      <c r="N128" s="135"/>
      <c r="O128" s="135"/>
      <c r="P128" s="135"/>
      <c r="Q128" s="135"/>
      <c r="R128" s="135"/>
      <c r="S128" s="135"/>
    </row>
    <row r="129" customFormat="false" ht="15.75" hidden="false" customHeight="true" outlineLevel="0" collapsed="false">
      <c r="A129" s="135"/>
      <c r="B129" s="135"/>
      <c r="C129" s="135"/>
      <c r="D129" s="135"/>
      <c r="E129" s="135"/>
      <c r="F129" s="182"/>
      <c r="G129" s="182"/>
      <c r="H129" s="135"/>
      <c r="I129" s="135"/>
      <c r="J129" s="135"/>
      <c r="K129" s="135"/>
      <c r="L129" s="135"/>
      <c r="M129" s="135"/>
      <c r="N129" s="135"/>
      <c r="O129" s="135"/>
      <c r="P129" s="135"/>
      <c r="Q129" s="135"/>
      <c r="R129" s="135"/>
      <c r="S129" s="135"/>
    </row>
    <row r="130" customFormat="false" ht="15.75" hidden="false" customHeight="true" outlineLevel="0" collapsed="false">
      <c r="A130" s="135"/>
      <c r="B130" s="135"/>
      <c r="C130" s="135"/>
      <c r="D130" s="135"/>
      <c r="E130" s="135"/>
      <c r="F130" s="182"/>
      <c r="G130" s="182"/>
      <c r="H130" s="135"/>
      <c r="I130" s="135"/>
      <c r="J130" s="135"/>
      <c r="K130" s="135"/>
      <c r="L130" s="135"/>
      <c r="M130" s="135"/>
      <c r="N130" s="135"/>
      <c r="O130" s="135"/>
      <c r="P130" s="135"/>
      <c r="Q130" s="135"/>
      <c r="R130" s="135"/>
      <c r="S130" s="135"/>
    </row>
    <row r="131" customFormat="false" ht="15.75" hidden="false" customHeight="true" outlineLevel="0" collapsed="false">
      <c r="A131" s="135"/>
      <c r="B131" s="135"/>
      <c r="C131" s="135"/>
      <c r="D131" s="135"/>
      <c r="E131" s="135"/>
      <c r="F131" s="182"/>
      <c r="G131" s="182"/>
      <c r="H131" s="135"/>
      <c r="I131" s="135"/>
      <c r="J131" s="135"/>
      <c r="K131" s="135"/>
      <c r="L131" s="135"/>
      <c r="M131" s="135"/>
      <c r="N131" s="135"/>
      <c r="O131" s="135"/>
      <c r="P131" s="135"/>
      <c r="Q131" s="135"/>
      <c r="R131" s="135"/>
      <c r="S131" s="135"/>
    </row>
    <row r="132" customFormat="false" ht="15.75" hidden="false" customHeight="true" outlineLevel="0" collapsed="false">
      <c r="A132" s="135"/>
      <c r="B132" s="135"/>
      <c r="C132" s="135"/>
      <c r="D132" s="135"/>
      <c r="E132" s="135"/>
      <c r="F132" s="182"/>
      <c r="G132" s="182"/>
      <c r="H132" s="135"/>
      <c r="I132" s="135"/>
      <c r="J132" s="135"/>
      <c r="K132" s="135"/>
      <c r="L132" s="135"/>
      <c r="M132" s="135"/>
      <c r="N132" s="135"/>
      <c r="O132" s="135"/>
      <c r="P132" s="135"/>
      <c r="Q132" s="135"/>
      <c r="R132" s="135"/>
      <c r="S132" s="135"/>
    </row>
    <row r="133" customFormat="false" ht="15.75" hidden="false" customHeight="true" outlineLevel="0" collapsed="false">
      <c r="A133" s="135"/>
      <c r="B133" s="135"/>
      <c r="C133" s="135"/>
      <c r="D133" s="135"/>
      <c r="E133" s="135"/>
      <c r="F133" s="182"/>
      <c r="G133" s="182"/>
      <c r="H133" s="135"/>
      <c r="I133" s="135"/>
      <c r="J133" s="135"/>
      <c r="K133" s="135"/>
      <c r="L133" s="135"/>
      <c r="M133" s="135"/>
      <c r="N133" s="135"/>
      <c r="O133" s="135"/>
      <c r="P133" s="135"/>
      <c r="Q133" s="135"/>
      <c r="R133" s="135"/>
      <c r="S133" s="135"/>
    </row>
    <row r="134" customFormat="false" ht="15.75" hidden="false" customHeight="true" outlineLevel="0" collapsed="false">
      <c r="A134" s="135"/>
      <c r="B134" s="135"/>
      <c r="C134" s="135"/>
      <c r="D134" s="135"/>
      <c r="E134" s="135"/>
      <c r="F134" s="182"/>
      <c r="G134" s="182"/>
      <c r="H134" s="135"/>
      <c r="I134" s="135"/>
      <c r="J134" s="135"/>
      <c r="K134" s="135"/>
      <c r="L134" s="135"/>
      <c r="M134" s="135"/>
      <c r="N134" s="135"/>
      <c r="O134" s="135"/>
      <c r="P134" s="135"/>
      <c r="Q134" s="135"/>
      <c r="R134" s="135"/>
      <c r="S134" s="135"/>
    </row>
    <row r="135" customFormat="false" ht="15.75" hidden="false" customHeight="true" outlineLevel="0" collapsed="false">
      <c r="A135" s="135"/>
      <c r="B135" s="135"/>
      <c r="C135" s="135"/>
      <c r="D135" s="135"/>
      <c r="E135" s="135"/>
      <c r="F135" s="182"/>
      <c r="G135" s="182"/>
      <c r="H135" s="135"/>
      <c r="I135" s="135"/>
      <c r="J135" s="135"/>
      <c r="K135" s="135"/>
      <c r="L135" s="135"/>
      <c r="M135" s="135"/>
      <c r="N135" s="135"/>
      <c r="O135" s="135"/>
      <c r="P135" s="135"/>
      <c r="Q135" s="135"/>
      <c r="R135" s="135"/>
      <c r="S135" s="135"/>
    </row>
    <row r="136" customFormat="false" ht="15.75" hidden="false" customHeight="true" outlineLevel="0" collapsed="false">
      <c r="A136" s="135"/>
      <c r="B136" s="135"/>
      <c r="C136" s="135"/>
      <c r="D136" s="135"/>
      <c r="E136" s="135"/>
      <c r="F136" s="182"/>
      <c r="G136" s="182"/>
      <c r="H136" s="135"/>
      <c r="I136" s="135"/>
      <c r="J136" s="135"/>
      <c r="K136" s="135"/>
      <c r="L136" s="135"/>
      <c r="M136" s="135"/>
      <c r="N136" s="135"/>
      <c r="O136" s="135"/>
      <c r="P136" s="135"/>
      <c r="Q136" s="135"/>
      <c r="R136" s="135"/>
      <c r="S136" s="135"/>
    </row>
    <row r="137" customFormat="false" ht="15.75" hidden="false" customHeight="true" outlineLevel="0" collapsed="false">
      <c r="A137" s="135"/>
      <c r="B137" s="135"/>
      <c r="C137" s="135"/>
      <c r="D137" s="135"/>
      <c r="E137" s="135"/>
      <c r="F137" s="182"/>
      <c r="G137" s="182"/>
      <c r="H137" s="135"/>
      <c r="I137" s="135"/>
      <c r="J137" s="135"/>
      <c r="K137" s="135"/>
      <c r="L137" s="135"/>
      <c r="M137" s="135"/>
      <c r="N137" s="135"/>
      <c r="O137" s="135"/>
      <c r="P137" s="135"/>
      <c r="Q137" s="135"/>
      <c r="R137" s="135"/>
      <c r="S137" s="135"/>
    </row>
    <row r="138" customFormat="false" ht="15.75" hidden="false" customHeight="true" outlineLevel="0" collapsed="false">
      <c r="A138" s="135"/>
      <c r="B138" s="135"/>
      <c r="C138" s="135"/>
      <c r="D138" s="135"/>
      <c r="E138" s="135"/>
      <c r="F138" s="182"/>
      <c r="G138" s="182"/>
      <c r="H138" s="135"/>
      <c r="I138" s="135"/>
      <c r="J138" s="135"/>
      <c r="K138" s="135"/>
      <c r="L138" s="135"/>
      <c r="M138" s="135"/>
      <c r="N138" s="135"/>
      <c r="O138" s="135"/>
      <c r="P138" s="135"/>
      <c r="Q138" s="135"/>
      <c r="R138" s="135"/>
      <c r="S138" s="135"/>
    </row>
    <row r="139" customFormat="false" ht="15.75" hidden="false" customHeight="true" outlineLevel="0" collapsed="false">
      <c r="A139" s="135"/>
      <c r="B139" s="135"/>
      <c r="C139" s="135"/>
      <c r="D139" s="135"/>
      <c r="E139" s="135"/>
      <c r="F139" s="182"/>
      <c r="G139" s="182"/>
      <c r="H139" s="135"/>
      <c r="I139" s="135"/>
      <c r="J139" s="135"/>
      <c r="K139" s="135"/>
      <c r="L139" s="135"/>
      <c r="M139" s="135"/>
      <c r="N139" s="135"/>
      <c r="O139" s="135"/>
      <c r="P139" s="135"/>
      <c r="Q139" s="135"/>
      <c r="R139" s="135"/>
      <c r="S139" s="135"/>
    </row>
    <row r="140" customFormat="false" ht="15.75" hidden="false" customHeight="true" outlineLevel="0" collapsed="false">
      <c r="A140" s="135"/>
      <c r="B140" s="135"/>
      <c r="C140" s="135"/>
      <c r="D140" s="135"/>
      <c r="E140" s="135"/>
      <c r="F140" s="182"/>
      <c r="G140" s="182"/>
      <c r="H140" s="135"/>
      <c r="I140" s="135"/>
      <c r="J140" s="135"/>
      <c r="K140" s="135"/>
      <c r="L140" s="135"/>
      <c r="M140" s="135"/>
      <c r="N140" s="135"/>
      <c r="O140" s="135"/>
      <c r="P140" s="135"/>
      <c r="Q140" s="135"/>
      <c r="R140" s="135"/>
      <c r="S140" s="135"/>
    </row>
    <row r="141" customFormat="false" ht="15.75" hidden="false" customHeight="true" outlineLevel="0" collapsed="false">
      <c r="A141" s="135"/>
      <c r="B141" s="135"/>
      <c r="C141" s="135"/>
      <c r="D141" s="135"/>
      <c r="E141" s="135"/>
      <c r="F141" s="182"/>
      <c r="G141" s="182"/>
      <c r="H141" s="135"/>
      <c r="I141" s="135"/>
      <c r="J141" s="135"/>
      <c r="K141" s="135"/>
      <c r="L141" s="135"/>
      <c r="M141" s="135"/>
      <c r="N141" s="135"/>
      <c r="O141" s="135"/>
      <c r="P141" s="135"/>
      <c r="Q141" s="135"/>
      <c r="R141" s="135"/>
      <c r="S141" s="135"/>
    </row>
    <row r="142" customFormat="false" ht="15.75" hidden="false" customHeight="true" outlineLevel="0" collapsed="false">
      <c r="A142" s="135"/>
      <c r="B142" s="135"/>
      <c r="C142" s="135"/>
      <c r="D142" s="135"/>
      <c r="E142" s="135"/>
      <c r="F142" s="182"/>
      <c r="G142" s="182"/>
      <c r="H142" s="135"/>
      <c r="I142" s="135"/>
      <c r="J142" s="135"/>
      <c r="K142" s="135"/>
      <c r="L142" s="135"/>
      <c r="M142" s="135"/>
      <c r="N142" s="135"/>
      <c r="O142" s="135"/>
      <c r="P142" s="135"/>
      <c r="Q142" s="135"/>
      <c r="R142" s="135"/>
      <c r="S142" s="135"/>
    </row>
    <row r="143" customFormat="false" ht="15.75" hidden="false" customHeight="true" outlineLevel="0" collapsed="false">
      <c r="A143" s="135"/>
      <c r="B143" s="135"/>
      <c r="C143" s="135"/>
      <c r="D143" s="135"/>
      <c r="E143" s="135"/>
      <c r="F143" s="182"/>
      <c r="G143" s="182"/>
      <c r="H143" s="135"/>
      <c r="I143" s="135"/>
      <c r="J143" s="135"/>
      <c r="K143" s="135"/>
      <c r="L143" s="135"/>
      <c r="M143" s="135"/>
      <c r="N143" s="135"/>
      <c r="O143" s="135"/>
      <c r="P143" s="135"/>
      <c r="Q143" s="135"/>
      <c r="R143" s="135"/>
      <c r="S143" s="135"/>
    </row>
    <row r="144" customFormat="false" ht="15.75" hidden="false" customHeight="true" outlineLevel="0" collapsed="false">
      <c r="A144" s="135"/>
      <c r="B144" s="135"/>
      <c r="C144" s="135"/>
      <c r="D144" s="135"/>
      <c r="E144" s="135"/>
      <c r="F144" s="182"/>
      <c r="G144" s="182"/>
      <c r="H144" s="135"/>
      <c r="I144" s="135"/>
      <c r="J144" s="135"/>
      <c r="K144" s="135"/>
      <c r="L144" s="135"/>
      <c r="M144" s="135"/>
      <c r="N144" s="135"/>
      <c r="O144" s="135"/>
      <c r="P144" s="135"/>
      <c r="Q144" s="135"/>
      <c r="R144" s="135"/>
      <c r="S144" s="135"/>
    </row>
    <row r="145" customFormat="false" ht="15.75" hidden="false" customHeight="true" outlineLevel="0" collapsed="false">
      <c r="A145" s="135"/>
      <c r="B145" s="135"/>
      <c r="C145" s="135"/>
      <c r="D145" s="135"/>
      <c r="E145" s="135"/>
      <c r="F145" s="182"/>
      <c r="G145" s="182"/>
      <c r="H145" s="135"/>
      <c r="I145" s="135"/>
      <c r="J145" s="135"/>
      <c r="K145" s="135"/>
      <c r="L145" s="135"/>
      <c r="M145" s="135"/>
      <c r="N145" s="135"/>
      <c r="O145" s="135"/>
      <c r="P145" s="135"/>
      <c r="Q145" s="135"/>
      <c r="R145" s="135"/>
      <c r="S145" s="135"/>
    </row>
    <row r="146" customFormat="false" ht="15.75" hidden="false" customHeight="true" outlineLevel="0" collapsed="false">
      <c r="A146" s="135"/>
      <c r="B146" s="135"/>
      <c r="C146" s="135"/>
      <c r="D146" s="135"/>
      <c r="E146" s="135"/>
      <c r="F146" s="182"/>
      <c r="G146" s="182"/>
      <c r="H146" s="135"/>
      <c r="I146" s="135"/>
      <c r="J146" s="135"/>
      <c r="K146" s="135"/>
      <c r="L146" s="135"/>
      <c r="M146" s="135"/>
      <c r="N146" s="135"/>
      <c r="O146" s="135"/>
      <c r="P146" s="135"/>
      <c r="Q146" s="135"/>
      <c r="R146" s="135"/>
      <c r="S146" s="135"/>
    </row>
    <row r="147" customFormat="false" ht="15.75" hidden="false" customHeight="true" outlineLevel="0" collapsed="false">
      <c r="A147" s="135"/>
      <c r="B147" s="135"/>
      <c r="C147" s="135"/>
      <c r="D147" s="135"/>
      <c r="E147" s="135"/>
      <c r="F147" s="182"/>
      <c r="G147" s="182"/>
      <c r="H147" s="135"/>
      <c r="I147" s="135"/>
      <c r="J147" s="135"/>
      <c r="K147" s="135"/>
      <c r="L147" s="135"/>
      <c r="M147" s="135"/>
      <c r="N147" s="135"/>
      <c r="O147" s="135"/>
      <c r="P147" s="135"/>
      <c r="Q147" s="135"/>
      <c r="R147" s="135"/>
      <c r="S147" s="135"/>
    </row>
    <row r="148" customFormat="false" ht="15.75" hidden="false" customHeight="true" outlineLevel="0" collapsed="false">
      <c r="A148" s="135"/>
      <c r="B148" s="135"/>
      <c r="C148" s="135"/>
      <c r="D148" s="135"/>
      <c r="E148" s="135"/>
      <c r="F148" s="182"/>
      <c r="G148" s="182"/>
      <c r="H148" s="135"/>
      <c r="I148" s="135"/>
      <c r="J148" s="135"/>
      <c r="K148" s="135"/>
      <c r="L148" s="135"/>
      <c r="M148" s="135"/>
      <c r="N148" s="135"/>
      <c r="O148" s="135"/>
      <c r="P148" s="135"/>
      <c r="Q148" s="135"/>
      <c r="R148" s="135"/>
      <c r="S148" s="135"/>
    </row>
    <row r="149" customFormat="false" ht="15.75" hidden="false" customHeight="true" outlineLevel="0" collapsed="false">
      <c r="A149" s="135"/>
      <c r="B149" s="135"/>
      <c r="C149" s="135"/>
      <c r="D149" s="135"/>
      <c r="E149" s="135"/>
      <c r="F149" s="182"/>
      <c r="G149" s="182"/>
      <c r="H149" s="135"/>
      <c r="I149" s="135"/>
      <c r="J149" s="135"/>
      <c r="K149" s="135"/>
      <c r="L149" s="135"/>
      <c r="M149" s="135"/>
      <c r="N149" s="135"/>
      <c r="O149" s="135"/>
      <c r="P149" s="135"/>
      <c r="Q149" s="135"/>
      <c r="R149" s="135"/>
      <c r="S149" s="135"/>
    </row>
    <row r="150" customFormat="false" ht="15.75" hidden="false" customHeight="true" outlineLevel="0" collapsed="false">
      <c r="A150" s="135"/>
      <c r="B150" s="135"/>
      <c r="C150" s="135"/>
      <c r="D150" s="135"/>
      <c r="E150" s="135"/>
      <c r="F150" s="182"/>
      <c r="G150" s="182"/>
      <c r="H150" s="135"/>
      <c r="I150" s="135"/>
      <c r="J150" s="135"/>
      <c r="K150" s="135"/>
      <c r="L150" s="135"/>
      <c r="M150" s="135"/>
      <c r="N150" s="135"/>
      <c r="O150" s="135"/>
      <c r="P150" s="135"/>
      <c r="Q150" s="135"/>
      <c r="R150" s="135"/>
      <c r="S150" s="135"/>
    </row>
    <row r="151" customFormat="false" ht="15.75" hidden="false" customHeight="true" outlineLevel="0" collapsed="false">
      <c r="A151" s="135"/>
      <c r="B151" s="135"/>
      <c r="C151" s="135"/>
      <c r="D151" s="135"/>
      <c r="E151" s="135"/>
      <c r="F151" s="182"/>
      <c r="G151" s="182"/>
      <c r="H151" s="135"/>
      <c r="I151" s="135"/>
      <c r="J151" s="135"/>
      <c r="K151" s="135"/>
      <c r="L151" s="135"/>
      <c r="M151" s="135"/>
      <c r="N151" s="135"/>
      <c r="O151" s="135"/>
      <c r="P151" s="135"/>
      <c r="Q151" s="135"/>
      <c r="R151" s="135"/>
      <c r="S151" s="135"/>
    </row>
    <row r="152" customFormat="false" ht="15.75" hidden="false" customHeight="true" outlineLevel="0" collapsed="false">
      <c r="A152" s="135"/>
      <c r="B152" s="135"/>
      <c r="C152" s="135"/>
      <c r="D152" s="135"/>
      <c r="E152" s="135"/>
      <c r="F152" s="182"/>
      <c r="G152" s="182"/>
      <c r="H152" s="135"/>
      <c r="I152" s="135"/>
      <c r="J152" s="135"/>
      <c r="K152" s="135"/>
      <c r="L152" s="135"/>
      <c r="M152" s="135"/>
      <c r="N152" s="135"/>
      <c r="O152" s="135"/>
      <c r="P152" s="135"/>
      <c r="Q152" s="135"/>
      <c r="R152" s="135"/>
      <c r="S152" s="135"/>
    </row>
    <row r="153" customFormat="false" ht="15.75" hidden="false" customHeight="true" outlineLevel="0" collapsed="false">
      <c r="A153" s="135"/>
      <c r="B153" s="135"/>
      <c r="C153" s="135"/>
      <c r="D153" s="135"/>
      <c r="E153" s="135"/>
      <c r="F153" s="182"/>
      <c r="G153" s="182"/>
      <c r="H153" s="135"/>
      <c r="I153" s="135"/>
      <c r="J153" s="135"/>
      <c r="K153" s="135"/>
      <c r="L153" s="135"/>
      <c r="M153" s="135"/>
      <c r="N153" s="135"/>
      <c r="O153" s="135"/>
      <c r="P153" s="135"/>
      <c r="Q153" s="135"/>
      <c r="R153" s="135"/>
      <c r="S153" s="135"/>
    </row>
    <row r="154" customFormat="false" ht="15.75" hidden="false" customHeight="true" outlineLevel="0" collapsed="false">
      <c r="A154" s="135"/>
      <c r="B154" s="135"/>
      <c r="C154" s="135"/>
      <c r="D154" s="135"/>
      <c r="E154" s="135"/>
      <c r="F154" s="182"/>
      <c r="G154" s="182"/>
      <c r="H154" s="135"/>
      <c r="I154" s="135"/>
      <c r="J154" s="135"/>
      <c r="K154" s="135"/>
      <c r="L154" s="135"/>
      <c r="M154" s="135"/>
      <c r="N154" s="135"/>
      <c r="O154" s="135"/>
      <c r="P154" s="135"/>
      <c r="Q154" s="135"/>
      <c r="R154" s="135"/>
      <c r="S154" s="135"/>
    </row>
    <row r="155" customFormat="false" ht="15.75" hidden="false" customHeight="true" outlineLevel="0" collapsed="false">
      <c r="A155" s="135"/>
      <c r="B155" s="135"/>
      <c r="C155" s="135"/>
      <c r="D155" s="135"/>
      <c r="E155" s="135"/>
      <c r="F155" s="182"/>
      <c r="G155" s="182"/>
      <c r="H155" s="135"/>
      <c r="I155" s="135"/>
      <c r="J155" s="135"/>
      <c r="K155" s="135"/>
      <c r="L155" s="135"/>
      <c r="M155" s="135"/>
      <c r="N155" s="135"/>
      <c r="O155" s="135"/>
      <c r="P155" s="135"/>
      <c r="Q155" s="135"/>
      <c r="R155" s="135"/>
      <c r="S155" s="135"/>
    </row>
    <row r="156" customFormat="false" ht="15.75" hidden="false" customHeight="true" outlineLevel="0" collapsed="false">
      <c r="A156" s="135"/>
      <c r="B156" s="135"/>
      <c r="C156" s="135"/>
      <c r="D156" s="135"/>
      <c r="E156" s="135"/>
      <c r="F156" s="182"/>
      <c r="G156" s="182"/>
      <c r="H156" s="135"/>
      <c r="I156" s="135"/>
      <c r="J156" s="135"/>
      <c r="K156" s="135"/>
      <c r="L156" s="135"/>
      <c r="M156" s="135"/>
      <c r="N156" s="135"/>
      <c r="O156" s="135"/>
      <c r="P156" s="135"/>
      <c r="Q156" s="135"/>
      <c r="R156" s="135"/>
      <c r="S156" s="135"/>
    </row>
    <row r="157" customFormat="false" ht="15.75" hidden="false" customHeight="true" outlineLevel="0" collapsed="false">
      <c r="A157" s="135"/>
      <c r="B157" s="135"/>
      <c r="C157" s="135"/>
      <c r="D157" s="135"/>
      <c r="E157" s="135"/>
      <c r="F157" s="182"/>
      <c r="G157" s="182"/>
      <c r="H157" s="135"/>
      <c r="I157" s="135"/>
      <c r="J157" s="135"/>
      <c r="K157" s="135"/>
      <c r="L157" s="135"/>
      <c r="M157" s="135"/>
      <c r="N157" s="135"/>
      <c r="O157" s="135"/>
      <c r="P157" s="135"/>
      <c r="Q157" s="135"/>
      <c r="R157" s="135"/>
      <c r="S157" s="135"/>
    </row>
    <row r="158" customFormat="false" ht="15.75" hidden="false" customHeight="true" outlineLevel="0" collapsed="false">
      <c r="A158" s="135"/>
      <c r="B158" s="135"/>
      <c r="C158" s="135"/>
      <c r="D158" s="135"/>
      <c r="E158" s="135"/>
      <c r="F158" s="182"/>
      <c r="G158" s="182"/>
      <c r="H158" s="135"/>
      <c r="I158" s="135"/>
      <c r="J158" s="135"/>
      <c r="K158" s="135"/>
      <c r="L158" s="135"/>
      <c r="M158" s="135"/>
      <c r="N158" s="135"/>
      <c r="O158" s="135"/>
      <c r="P158" s="135"/>
      <c r="Q158" s="135"/>
      <c r="R158" s="135"/>
      <c r="S158" s="135"/>
    </row>
    <row r="159" customFormat="false" ht="15.75" hidden="false" customHeight="true" outlineLevel="0" collapsed="false">
      <c r="A159" s="135"/>
      <c r="B159" s="135"/>
      <c r="C159" s="135"/>
      <c r="D159" s="135"/>
      <c r="E159" s="135"/>
      <c r="F159" s="182"/>
      <c r="G159" s="182"/>
      <c r="H159" s="135"/>
      <c r="I159" s="135"/>
      <c r="J159" s="135"/>
      <c r="K159" s="135"/>
      <c r="L159" s="135"/>
      <c r="M159" s="135"/>
      <c r="N159" s="135"/>
      <c r="O159" s="135"/>
      <c r="P159" s="135"/>
      <c r="Q159" s="135"/>
      <c r="R159" s="135"/>
      <c r="S159" s="135"/>
    </row>
    <row r="160" customFormat="false" ht="15.75" hidden="false" customHeight="true" outlineLevel="0" collapsed="false">
      <c r="A160" s="135"/>
      <c r="B160" s="135"/>
      <c r="C160" s="135"/>
      <c r="D160" s="135"/>
      <c r="E160" s="135"/>
      <c r="F160" s="182"/>
      <c r="G160" s="182"/>
      <c r="H160" s="135"/>
      <c r="I160" s="135"/>
      <c r="J160" s="135"/>
      <c r="K160" s="135"/>
      <c r="L160" s="135"/>
      <c r="M160" s="135"/>
      <c r="N160" s="135"/>
      <c r="O160" s="135"/>
      <c r="P160" s="135"/>
      <c r="Q160" s="135"/>
      <c r="R160" s="135"/>
      <c r="S160" s="135"/>
    </row>
    <row r="161" customFormat="false" ht="15.75" hidden="false" customHeight="true" outlineLevel="0" collapsed="false">
      <c r="A161" s="135"/>
      <c r="B161" s="135"/>
      <c r="C161" s="135"/>
      <c r="D161" s="135"/>
      <c r="E161" s="135"/>
      <c r="F161" s="182"/>
      <c r="G161" s="182"/>
      <c r="H161" s="135"/>
      <c r="I161" s="135"/>
      <c r="J161" s="135"/>
      <c r="K161" s="135"/>
      <c r="L161" s="135"/>
      <c r="M161" s="135"/>
      <c r="N161" s="135"/>
      <c r="O161" s="135"/>
      <c r="P161" s="135"/>
      <c r="Q161" s="135"/>
      <c r="R161" s="135"/>
      <c r="S161" s="135"/>
    </row>
    <row r="162" customFormat="false" ht="15.75" hidden="false" customHeight="true" outlineLevel="0" collapsed="false">
      <c r="A162" s="135"/>
      <c r="B162" s="135"/>
      <c r="C162" s="135"/>
      <c r="D162" s="135"/>
      <c r="E162" s="135"/>
      <c r="F162" s="182"/>
      <c r="G162" s="182"/>
      <c r="H162" s="135"/>
      <c r="I162" s="135"/>
      <c r="J162" s="135"/>
      <c r="K162" s="135"/>
      <c r="L162" s="135"/>
      <c r="M162" s="135"/>
      <c r="N162" s="135"/>
      <c r="O162" s="135"/>
      <c r="P162" s="135"/>
      <c r="Q162" s="135"/>
      <c r="R162" s="135"/>
      <c r="S162" s="135"/>
    </row>
    <row r="163" customFormat="false" ht="15.75" hidden="false" customHeight="true" outlineLevel="0" collapsed="false">
      <c r="A163" s="135"/>
      <c r="B163" s="135"/>
      <c r="C163" s="135"/>
      <c r="D163" s="135"/>
      <c r="E163" s="135"/>
      <c r="F163" s="182"/>
      <c r="G163" s="182"/>
      <c r="H163" s="135"/>
      <c r="I163" s="135"/>
      <c r="J163" s="135"/>
      <c r="K163" s="135"/>
      <c r="L163" s="135"/>
      <c r="M163" s="135"/>
      <c r="N163" s="135"/>
      <c r="O163" s="135"/>
      <c r="P163" s="135"/>
      <c r="Q163" s="135"/>
      <c r="R163" s="135"/>
      <c r="S163" s="135"/>
    </row>
    <row r="164" customFormat="false" ht="15.75" hidden="false" customHeight="true" outlineLevel="0" collapsed="false">
      <c r="A164" s="135"/>
      <c r="B164" s="135"/>
      <c r="C164" s="135"/>
      <c r="D164" s="135"/>
      <c r="E164" s="135"/>
      <c r="F164" s="182"/>
      <c r="G164" s="182"/>
      <c r="H164" s="135"/>
      <c r="I164" s="135"/>
      <c r="J164" s="135"/>
      <c r="K164" s="135"/>
      <c r="L164" s="135"/>
      <c r="M164" s="135"/>
      <c r="N164" s="135"/>
      <c r="O164" s="135"/>
      <c r="P164" s="135"/>
      <c r="Q164" s="135"/>
      <c r="R164" s="135"/>
      <c r="S164" s="135"/>
    </row>
    <row r="165" customFormat="false" ht="15.75" hidden="false" customHeight="true" outlineLevel="0" collapsed="false">
      <c r="A165" s="135"/>
      <c r="B165" s="135"/>
      <c r="C165" s="135"/>
      <c r="D165" s="135"/>
      <c r="E165" s="135"/>
      <c r="F165" s="182"/>
      <c r="G165" s="182"/>
      <c r="H165" s="135"/>
      <c r="I165" s="135"/>
      <c r="J165" s="135"/>
      <c r="K165" s="135"/>
      <c r="L165" s="135"/>
      <c r="M165" s="135"/>
      <c r="N165" s="135"/>
      <c r="O165" s="135"/>
      <c r="P165" s="135"/>
      <c r="Q165" s="135"/>
      <c r="R165" s="135"/>
      <c r="S165" s="135"/>
    </row>
    <row r="166" customFormat="false" ht="15.75" hidden="false" customHeight="true" outlineLevel="0" collapsed="false">
      <c r="A166" s="135"/>
      <c r="B166" s="135"/>
      <c r="C166" s="135"/>
      <c r="D166" s="135"/>
      <c r="E166" s="135"/>
      <c r="F166" s="182"/>
      <c r="G166" s="182"/>
      <c r="H166" s="135"/>
      <c r="I166" s="135"/>
      <c r="J166" s="135"/>
      <c r="K166" s="135"/>
      <c r="L166" s="135"/>
      <c r="M166" s="135"/>
      <c r="N166" s="135"/>
      <c r="O166" s="135"/>
      <c r="P166" s="135"/>
      <c r="Q166" s="135"/>
      <c r="R166" s="135"/>
      <c r="S166" s="135"/>
    </row>
    <row r="167" customFormat="false" ht="15.75" hidden="false" customHeight="true" outlineLevel="0" collapsed="false">
      <c r="A167" s="135"/>
      <c r="B167" s="135"/>
      <c r="C167" s="135"/>
      <c r="D167" s="135"/>
      <c r="E167" s="135"/>
      <c r="F167" s="182"/>
      <c r="G167" s="182"/>
      <c r="H167" s="135"/>
      <c r="I167" s="135"/>
      <c r="J167" s="135"/>
      <c r="K167" s="135"/>
      <c r="L167" s="135"/>
      <c r="M167" s="135"/>
      <c r="N167" s="135"/>
      <c r="O167" s="135"/>
      <c r="P167" s="135"/>
      <c r="Q167" s="135"/>
      <c r="R167" s="135"/>
      <c r="S167" s="135"/>
    </row>
    <row r="168" customFormat="false" ht="15.75" hidden="false" customHeight="true" outlineLevel="0" collapsed="false">
      <c r="A168" s="135"/>
      <c r="B168" s="135"/>
      <c r="C168" s="135"/>
      <c r="D168" s="135"/>
      <c r="E168" s="135"/>
      <c r="F168" s="182"/>
      <c r="G168" s="182"/>
      <c r="H168" s="135"/>
      <c r="I168" s="135"/>
      <c r="J168" s="135"/>
      <c r="K168" s="135"/>
      <c r="L168" s="135"/>
      <c r="M168" s="135"/>
      <c r="N168" s="135"/>
      <c r="O168" s="135"/>
      <c r="P168" s="135"/>
      <c r="Q168" s="135"/>
      <c r="R168" s="135"/>
      <c r="S168" s="135"/>
    </row>
    <row r="169" customFormat="false" ht="15.75" hidden="false" customHeight="true" outlineLevel="0" collapsed="false">
      <c r="A169" s="135"/>
      <c r="B169" s="135"/>
      <c r="C169" s="135"/>
      <c r="D169" s="135"/>
      <c r="E169" s="135"/>
      <c r="F169" s="182"/>
      <c r="G169" s="182"/>
      <c r="H169" s="135"/>
      <c r="I169" s="135"/>
      <c r="J169" s="135"/>
      <c r="K169" s="135"/>
      <c r="L169" s="135"/>
      <c r="M169" s="135"/>
      <c r="N169" s="135"/>
      <c r="O169" s="135"/>
      <c r="P169" s="135"/>
      <c r="Q169" s="135"/>
      <c r="R169" s="135"/>
      <c r="S169" s="135"/>
    </row>
    <row r="170" customFormat="false" ht="15.75" hidden="false" customHeight="true" outlineLevel="0" collapsed="false">
      <c r="A170" s="135"/>
      <c r="B170" s="135"/>
      <c r="C170" s="135"/>
      <c r="D170" s="135"/>
      <c r="E170" s="135"/>
      <c r="F170" s="182"/>
      <c r="G170" s="182"/>
      <c r="H170" s="135"/>
      <c r="I170" s="135"/>
      <c r="J170" s="135"/>
      <c r="K170" s="135"/>
      <c r="L170" s="135"/>
      <c r="M170" s="135"/>
      <c r="N170" s="135"/>
      <c r="O170" s="135"/>
      <c r="P170" s="135"/>
      <c r="Q170" s="135"/>
      <c r="R170" s="135"/>
      <c r="S170" s="135"/>
    </row>
    <row r="171" customFormat="false" ht="15.75" hidden="false" customHeight="true" outlineLevel="0" collapsed="false">
      <c r="A171" s="135"/>
      <c r="B171" s="135"/>
      <c r="C171" s="135"/>
      <c r="D171" s="135"/>
      <c r="E171" s="135"/>
      <c r="F171" s="182"/>
      <c r="G171" s="182"/>
      <c r="H171" s="135"/>
      <c r="I171" s="135"/>
      <c r="J171" s="135"/>
      <c r="K171" s="135"/>
      <c r="L171" s="135"/>
      <c r="M171" s="135"/>
      <c r="N171" s="135"/>
      <c r="O171" s="135"/>
      <c r="P171" s="135"/>
      <c r="Q171" s="135"/>
      <c r="R171" s="135"/>
      <c r="S171" s="135"/>
    </row>
    <row r="172" customFormat="false" ht="15.75" hidden="false" customHeight="true" outlineLevel="0" collapsed="false">
      <c r="A172" s="135"/>
      <c r="B172" s="135"/>
      <c r="C172" s="135"/>
      <c r="D172" s="135"/>
      <c r="E172" s="135"/>
      <c r="F172" s="182"/>
      <c r="G172" s="182"/>
      <c r="H172" s="135"/>
      <c r="I172" s="135"/>
      <c r="J172" s="135"/>
      <c r="K172" s="135"/>
      <c r="L172" s="135"/>
      <c r="M172" s="135"/>
      <c r="N172" s="135"/>
      <c r="O172" s="135"/>
      <c r="P172" s="135"/>
      <c r="Q172" s="135"/>
      <c r="R172" s="135"/>
      <c r="S172" s="135"/>
    </row>
    <row r="173" customFormat="false" ht="15.75" hidden="false" customHeight="true" outlineLevel="0" collapsed="false">
      <c r="A173" s="135"/>
      <c r="B173" s="135"/>
      <c r="C173" s="135"/>
      <c r="D173" s="135"/>
      <c r="E173" s="135"/>
      <c r="F173" s="182"/>
      <c r="G173" s="182"/>
      <c r="H173" s="135"/>
      <c r="I173" s="135"/>
      <c r="J173" s="135"/>
      <c r="K173" s="135"/>
      <c r="L173" s="135"/>
      <c r="M173" s="135"/>
      <c r="N173" s="135"/>
      <c r="O173" s="135"/>
      <c r="P173" s="135"/>
      <c r="Q173" s="135"/>
      <c r="R173" s="135"/>
      <c r="S173" s="135"/>
    </row>
    <row r="174" customFormat="false" ht="15.75" hidden="false" customHeight="true" outlineLevel="0" collapsed="false">
      <c r="A174" s="135"/>
      <c r="B174" s="135"/>
      <c r="C174" s="135"/>
      <c r="D174" s="135"/>
      <c r="E174" s="135"/>
      <c r="F174" s="182"/>
      <c r="G174" s="182"/>
      <c r="H174" s="135"/>
      <c r="I174" s="135"/>
      <c r="J174" s="135"/>
      <c r="K174" s="135"/>
      <c r="L174" s="135"/>
      <c r="M174" s="135"/>
      <c r="N174" s="135"/>
      <c r="O174" s="135"/>
      <c r="P174" s="135"/>
      <c r="Q174" s="135"/>
      <c r="R174" s="135"/>
      <c r="S174" s="135"/>
    </row>
    <row r="175" customFormat="false" ht="15.75" hidden="false" customHeight="true" outlineLevel="0" collapsed="false">
      <c r="A175" s="135"/>
      <c r="B175" s="135"/>
      <c r="C175" s="135"/>
      <c r="D175" s="135"/>
      <c r="E175" s="135"/>
      <c r="F175" s="182"/>
      <c r="G175" s="182"/>
      <c r="H175" s="135"/>
      <c r="I175" s="135"/>
      <c r="J175" s="135"/>
      <c r="K175" s="135"/>
      <c r="L175" s="135"/>
      <c r="M175" s="135"/>
      <c r="N175" s="135"/>
      <c r="O175" s="135"/>
      <c r="P175" s="135"/>
      <c r="Q175" s="135"/>
      <c r="R175" s="135"/>
      <c r="S175" s="135"/>
    </row>
    <row r="176" customFormat="false" ht="15.75" hidden="false" customHeight="true" outlineLevel="0" collapsed="false">
      <c r="A176" s="135"/>
      <c r="B176" s="135"/>
      <c r="C176" s="135"/>
      <c r="D176" s="135"/>
      <c r="E176" s="135"/>
      <c r="F176" s="182"/>
      <c r="G176" s="182"/>
      <c r="H176" s="135"/>
      <c r="I176" s="135"/>
      <c r="J176" s="135"/>
      <c r="K176" s="135"/>
      <c r="L176" s="135"/>
      <c r="M176" s="135"/>
      <c r="N176" s="135"/>
      <c r="O176" s="135"/>
      <c r="P176" s="135"/>
      <c r="Q176" s="135"/>
      <c r="R176" s="135"/>
      <c r="S176" s="135"/>
    </row>
    <row r="177" customFormat="false" ht="15.75" hidden="false" customHeight="true" outlineLevel="0" collapsed="false">
      <c r="A177" s="135"/>
      <c r="B177" s="135"/>
      <c r="C177" s="135"/>
      <c r="D177" s="135"/>
      <c r="E177" s="135"/>
      <c r="F177" s="182"/>
      <c r="G177" s="182"/>
      <c r="H177" s="135"/>
      <c r="I177" s="135"/>
      <c r="J177" s="135"/>
      <c r="K177" s="135"/>
      <c r="L177" s="135"/>
      <c r="M177" s="135"/>
      <c r="N177" s="135"/>
      <c r="O177" s="135"/>
      <c r="P177" s="135"/>
      <c r="Q177" s="135"/>
      <c r="R177" s="135"/>
      <c r="S177" s="135"/>
    </row>
    <row r="178" customFormat="false" ht="15.75" hidden="false" customHeight="true" outlineLevel="0" collapsed="false">
      <c r="A178" s="135"/>
      <c r="B178" s="135"/>
      <c r="C178" s="135"/>
      <c r="D178" s="135"/>
      <c r="E178" s="135"/>
      <c r="F178" s="182"/>
      <c r="G178" s="182"/>
      <c r="H178" s="135"/>
      <c r="I178" s="135"/>
      <c r="J178" s="135"/>
      <c r="K178" s="135"/>
      <c r="L178" s="135"/>
      <c r="M178" s="135"/>
      <c r="N178" s="135"/>
      <c r="O178" s="135"/>
      <c r="P178" s="135"/>
      <c r="Q178" s="135"/>
      <c r="R178" s="135"/>
      <c r="S178" s="135"/>
    </row>
    <row r="179" customFormat="false" ht="15.75" hidden="false" customHeight="true" outlineLevel="0" collapsed="false">
      <c r="A179" s="135"/>
      <c r="B179" s="135"/>
      <c r="C179" s="135"/>
      <c r="D179" s="135"/>
      <c r="E179" s="135"/>
      <c r="F179" s="182"/>
      <c r="G179" s="182"/>
      <c r="H179" s="135"/>
      <c r="I179" s="135"/>
      <c r="J179" s="135"/>
      <c r="K179" s="135"/>
      <c r="L179" s="135"/>
      <c r="M179" s="135"/>
      <c r="N179" s="135"/>
      <c r="O179" s="135"/>
      <c r="P179" s="135"/>
      <c r="Q179" s="135"/>
      <c r="R179" s="135"/>
      <c r="S179" s="135"/>
    </row>
    <row r="180" customFormat="false" ht="15.75" hidden="false" customHeight="true" outlineLevel="0" collapsed="false">
      <c r="A180" s="135"/>
      <c r="B180" s="135"/>
      <c r="C180" s="135"/>
      <c r="D180" s="135"/>
      <c r="E180" s="135"/>
      <c r="F180" s="182"/>
      <c r="G180" s="182"/>
      <c r="H180" s="135"/>
      <c r="I180" s="135"/>
      <c r="J180" s="135"/>
      <c r="K180" s="135"/>
      <c r="L180" s="135"/>
      <c r="M180" s="135"/>
      <c r="N180" s="135"/>
      <c r="O180" s="135"/>
      <c r="P180" s="135"/>
      <c r="Q180" s="135"/>
      <c r="R180" s="135"/>
      <c r="S180" s="135"/>
    </row>
    <row r="181" customFormat="false" ht="15.75" hidden="false" customHeight="true" outlineLevel="0" collapsed="false">
      <c r="A181" s="135"/>
      <c r="B181" s="135"/>
      <c r="C181" s="135"/>
      <c r="D181" s="135"/>
      <c r="E181" s="135"/>
      <c r="F181" s="182"/>
      <c r="G181" s="182"/>
      <c r="H181" s="135"/>
      <c r="I181" s="135"/>
      <c r="J181" s="135"/>
      <c r="K181" s="135"/>
      <c r="L181" s="135"/>
      <c r="M181" s="135"/>
      <c r="N181" s="135"/>
      <c r="O181" s="135"/>
      <c r="P181" s="135"/>
      <c r="Q181" s="135"/>
      <c r="R181" s="135"/>
      <c r="S181" s="135"/>
    </row>
    <row r="182" customFormat="false" ht="15.75" hidden="false" customHeight="true" outlineLevel="0" collapsed="false">
      <c r="A182" s="135"/>
      <c r="B182" s="135"/>
      <c r="C182" s="135"/>
      <c r="D182" s="135"/>
      <c r="E182" s="135"/>
      <c r="F182" s="182"/>
      <c r="G182" s="182"/>
      <c r="H182" s="135"/>
      <c r="I182" s="135"/>
      <c r="J182" s="135"/>
      <c r="K182" s="135"/>
      <c r="L182" s="135"/>
      <c r="M182" s="135"/>
      <c r="N182" s="135"/>
      <c r="O182" s="135"/>
      <c r="P182" s="135"/>
      <c r="Q182" s="135"/>
      <c r="R182" s="135"/>
      <c r="S182" s="135"/>
    </row>
    <row r="183" customFormat="false" ht="15.75" hidden="false" customHeight="true" outlineLevel="0" collapsed="false">
      <c r="A183" s="135"/>
      <c r="B183" s="135"/>
      <c r="C183" s="135"/>
      <c r="D183" s="135"/>
      <c r="E183" s="135"/>
      <c r="F183" s="182"/>
      <c r="G183" s="182"/>
      <c r="H183" s="135"/>
      <c r="I183" s="135"/>
      <c r="J183" s="135"/>
      <c r="K183" s="135"/>
      <c r="L183" s="135"/>
      <c r="M183" s="135"/>
      <c r="N183" s="135"/>
      <c r="O183" s="135"/>
      <c r="P183" s="135"/>
      <c r="Q183" s="135"/>
      <c r="R183" s="135"/>
      <c r="S183" s="135"/>
    </row>
    <row r="184" customFormat="false" ht="15.75" hidden="false" customHeight="true" outlineLevel="0" collapsed="false">
      <c r="A184" s="135"/>
      <c r="B184" s="135"/>
      <c r="C184" s="135"/>
      <c r="D184" s="135"/>
      <c r="E184" s="135"/>
      <c r="F184" s="182"/>
      <c r="G184" s="182"/>
      <c r="H184" s="135"/>
      <c r="I184" s="135"/>
      <c r="J184" s="135"/>
      <c r="K184" s="135"/>
      <c r="L184" s="135"/>
      <c r="M184" s="135"/>
      <c r="N184" s="135"/>
      <c r="O184" s="135"/>
      <c r="P184" s="135"/>
      <c r="Q184" s="135"/>
      <c r="R184" s="135"/>
      <c r="S184" s="135"/>
    </row>
    <row r="185" customFormat="false" ht="15.75" hidden="false" customHeight="true" outlineLevel="0" collapsed="false">
      <c r="A185" s="135"/>
      <c r="B185" s="135"/>
      <c r="C185" s="135"/>
      <c r="D185" s="135"/>
      <c r="E185" s="135"/>
      <c r="F185" s="182"/>
      <c r="G185" s="182"/>
      <c r="H185" s="135"/>
      <c r="I185" s="135"/>
      <c r="J185" s="135"/>
      <c r="K185" s="135"/>
      <c r="L185" s="135"/>
      <c r="M185" s="135"/>
      <c r="N185" s="135"/>
      <c r="O185" s="135"/>
      <c r="P185" s="135"/>
      <c r="Q185" s="135"/>
      <c r="R185" s="135"/>
      <c r="S185" s="135"/>
    </row>
    <row r="186" customFormat="false" ht="15.75" hidden="false" customHeight="true" outlineLevel="0" collapsed="false">
      <c r="A186" s="135"/>
      <c r="B186" s="135"/>
      <c r="C186" s="135"/>
      <c r="D186" s="135"/>
      <c r="E186" s="135"/>
      <c r="F186" s="182"/>
      <c r="G186" s="182"/>
      <c r="H186" s="135"/>
      <c r="I186" s="135"/>
      <c r="J186" s="135"/>
      <c r="K186" s="135"/>
      <c r="L186" s="135"/>
      <c r="M186" s="135"/>
      <c r="N186" s="135"/>
      <c r="O186" s="135"/>
      <c r="P186" s="135"/>
      <c r="Q186" s="135"/>
      <c r="R186" s="135"/>
      <c r="S186" s="135"/>
    </row>
    <row r="187" customFormat="false" ht="15.75" hidden="false" customHeight="true" outlineLevel="0" collapsed="false">
      <c r="A187" s="135"/>
      <c r="B187" s="135"/>
      <c r="C187" s="135"/>
      <c r="D187" s="135"/>
      <c r="E187" s="135"/>
      <c r="F187" s="182"/>
      <c r="G187" s="182"/>
      <c r="H187" s="135"/>
      <c r="I187" s="135"/>
      <c r="J187" s="135"/>
      <c r="K187" s="135"/>
      <c r="L187" s="135"/>
      <c r="M187" s="135"/>
      <c r="N187" s="135"/>
      <c r="O187" s="135"/>
      <c r="P187" s="135"/>
      <c r="Q187" s="135"/>
      <c r="R187" s="135"/>
      <c r="S187" s="135"/>
    </row>
    <row r="188" customFormat="false" ht="15.75" hidden="false" customHeight="true" outlineLevel="0" collapsed="false">
      <c r="A188" s="135"/>
      <c r="B188" s="135"/>
      <c r="C188" s="135"/>
      <c r="D188" s="135"/>
      <c r="E188" s="135"/>
      <c r="F188" s="182"/>
      <c r="G188" s="182"/>
      <c r="H188" s="135"/>
      <c r="I188" s="135"/>
      <c r="J188" s="135"/>
      <c r="K188" s="135"/>
      <c r="L188" s="135"/>
      <c r="M188" s="135"/>
      <c r="N188" s="135"/>
      <c r="O188" s="135"/>
      <c r="P188" s="135"/>
      <c r="Q188" s="135"/>
      <c r="R188" s="135"/>
      <c r="S188" s="135"/>
    </row>
    <row r="189" customFormat="false" ht="15.75" hidden="false" customHeight="true" outlineLevel="0" collapsed="false">
      <c r="A189" s="135"/>
      <c r="B189" s="135"/>
      <c r="C189" s="135"/>
      <c r="D189" s="135"/>
      <c r="E189" s="135"/>
      <c r="F189" s="182"/>
      <c r="G189" s="182"/>
      <c r="H189" s="135"/>
      <c r="I189" s="135"/>
      <c r="J189" s="135"/>
      <c r="K189" s="135"/>
      <c r="L189" s="135"/>
      <c r="M189" s="135"/>
      <c r="N189" s="135"/>
      <c r="O189" s="135"/>
      <c r="P189" s="135"/>
      <c r="Q189" s="135"/>
      <c r="R189" s="135"/>
      <c r="S189" s="135"/>
    </row>
    <row r="190" customFormat="false" ht="15.75" hidden="false" customHeight="true" outlineLevel="0" collapsed="false">
      <c r="A190" s="135"/>
      <c r="B190" s="135"/>
      <c r="C190" s="135"/>
      <c r="D190" s="135"/>
      <c r="E190" s="135"/>
      <c r="F190" s="182"/>
      <c r="G190" s="182"/>
      <c r="H190" s="135"/>
      <c r="I190" s="135"/>
      <c r="J190" s="135"/>
      <c r="K190" s="135"/>
      <c r="L190" s="135"/>
      <c r="M190" s="135"/>
      <c r="N190" s="135"/>
      <c r="O190" s="135"/>
      <c r="P190" s="135"/>
      <c r="Q190" s="135"/>
      <c r="R190" s="135"/>
      <c r="S190" s="135"/>
    </row>
    <row r="191" customFormat="false" ht="15.75" hidden="false" customHeight="true" outlineLevel="0" collapsed="false">
      <c r="A191" s="135"/>
      <c r="B191" s="135"/>
      <c r="C191" s="135"/>
      <c r="D191" s="135"/>
      <c r="E191" s="135"/>
      <c r="F191" s="182"/>
      <c r="G191" s="182"/>
      <c r="H191" s="135"/>
      <c r="I191" s="135"/>
      <c r="J191" s="135"/>
      <c r="K191" s="135"/>
      <c r="L191" s="135"/>
      <c r="M191" s="135"/>
      <c r="N191" s="135"/>
      <c r="O191" s="135"/>
      <c r="P191" s="135"/>
      <c r="Q191" s="135"/>
      <c r="R191" s="135"/>
      <c r="S191" s="135"/>
    </row>
    <row r="192" customFormat="false" ht="15.75" hidden="false" customHeight="true" outlineLevel="0" collapsed="false">
      <c r="A192" s="135"/>
      <c r="B192" s="135"/>
      <c r="C192" s="135"/>
      <c r="D192" s="135"/>
      <c r="E192" s="135"/>
      <c r="F192" s="182"/>
      <c r="G192" s="182"/>
      <c r="H192" s="135"/>
      <c r="I192" s="135"/>
      <c r="J192" s="135"/>
      <c r="K192" s="135"/>
      <c r="L192" s="135"/>
      <c r="M192" s="135"/>
      <c r="N192" s="135"/>
      <c r="O192" s="135"/>
      <c r="P192" s="135"/>
      <c r="Q192" s="135"/>
      <c r="R192" s="135"/>
      <c r="S192" s="135"/>
    </row>
    <row r="193" customFormat="false" ht="15.75" hidden="false" customHeight="true" outlineLevel="0" collapsed="false">
      <c r="A193" s="135"/>
      <c r="B193" s="135"/>
      <c r="C193" s="135"/>
      <c r="D193" s="135"/>
      <c r="E193" s="135"/>
      <c r="F193" s="182"/>
      <c r="G193" s="182"/>
      <c r="H193" s="135"/>
      <c r="I193" s="135"/>
      <c r="J193" s="135"/>
      <c r="K193" s="135"/>
      <c r="L193" s="135"/>
      <c r="M193" s="135"/>
      <c r="N193" s="135"/>
      <c r="O193" s="135"/>
      <c r="P193" s="135"/>
      <c r="Q193" s="135"/>
      <c r="R193" s="135"/>
      <c r="S193" s="135"/>
    </row>
    <row r="194" customFormat="false" ht="15.75" hidden="false" customHeight="true" outlineLevel="0" collapsed="false">
      <c r="A194" s="135"/>
      <c r="B194" s="135"/>
      <c r="C194" s="135"/>
      <c r="D194" s="135"/>
      <c r="E194" s="135"/>
      <c r="F194" s="182"/>
      <c r="G194" s="182"/>
      <c r="H194" s="135"/>
      <c r="I194" s="135"/>
      <c r="J194" s="135"/>
      <c r="K194" s="135"/>
      <c r="L194" s="135"/>
      <c r="M194" s="135"/>
      <c r="N194" s="135"/>
      <c r="O194" s="135"/>
      <c r="P194" s="135"/>
      <c r="Q194" s="135"/>
      <c r="R194" s="135"/>
      <c r="S194" s="135"/>
    </row>
    <row r="195" customFormat="false" ht="15.75" hidden="false" customHeight="true" outlineLevel="0" collapsed="false">
      <c r="A195" s="135"/>
      <c r="B195" s="135"/>
      <c r="C195" s="135"/>
      <c r="D195" s="135"/>
      <c r="E195" s="135"/>
      <c r="F195" s="182"/>
      <c r="G195" s="182"/>
      <c r="H195" s="135"/>
      <c r="I195" s="135"/>
      <c r="J195" s="135"/>
      <c r="K195" s="135"/>
      <c r="L195" s="135"/>
      <c r="M195" s="135"/>
      <c r="N195" s="135"/>
      <c r="O195" s="135"/>
      <c r="P195" s="135"/>
      <c r="Q195" s="135"/>
      <c r="R195" s="135"/>
      <c r="S195" s="135"/>
    </row>
    <row r="196" customFormat="false" ht="15.75" hidden="false" customHeight="true" outlineLevel="0" collapsed="false">
      <c r="A196" s="135"/>
      <c r="B196" s="135"/>
      <c r="C196" s="135"/>
      <c r="D196" s="135"/>
      <c r="E196" s="135"/>
      <c r="F196" s="182"/>
      <c r="G196" s="182"/>
      <c r="H196" s="135"/>
      <c r="I196" s="135"/>
      <c r="J196" s="135"/>
      <c r="K196" s="135"/>
      <c r="L196" s="135"/>
      <c r="M196" s="135"/>
      <c r="N196" s="135"/>
      <c r="O196" s="135"/>
      <c r="P196" s="135"/>
      <c r="Q196" s="135"/>
      <c r="R196" s="135"/>
      <c r="S196" s="135"/>
    </row>
    <row r="197" customFormat="false" ht="15.75" hidden="false" customHeight="true" outlineLevel="0" collapsed="false">
      <c r="A197" s="135"/>
      <c r="B197" s="135"/>
      <c r="C197" s="135"/>
      <c r="D197" s="135"/>
      <c r="E197" s="135"/>
      <c r="F197" s="182"/>
      <c r="G197" s="182"/>
      <c r="H197" s="135"/>
      <c r="I197" s="135"/>
      <c r="J197" s="135"/>
      <c r="K197" s="135"/>
      <c r="L197" s="135"/>
      <c r="M197" s="135"/>
      <c r="N197" s="135"/>
      <c r="O197" s="135"/>
      <c r="P197" s="135"/>
      <c r="Q197" s="135"/>
      <c r="R197" s="135"/>
      <c r="S197" s="135"/>
    </row>
    <row r="198" customFormat="false" ht="15.75" hidden="false" customHeight="true" outlineLevel="0" collapsed="false">
      <c r="A198" s="135"/>
      <c r="B198" s="135"/>
      <c r="C198" s="135"/>
      <c r="D198" s="135"/>
      <c r="E198" s="135"/>
      <c r="F198" s="182"/>
      <c r="G198" s="182"/>
      <c r="H198" s="135"/>
      <c r="I198" s="135"/>
      <c r="J198" s="135"/>
      <c r="K198" s="135"/>
      <c r="L198" s="135"/>
      <c r="M198" s="135"/>
      <c r="N198" s="135"/>
      <c r="O198" s="135"/>
      <c r="P198" s="135"/>
      <c r="Q198" s="135"/>
      <c r="R198" s="135"/>
      <c r="S198" s="135"/>
    </row>
    <row r="199" customFormat="false" ht="15.75" hidden="false" customHeight="true" outlineLevel="0" collapsed="false">
      <c r="A199" s="135"/>
      <c r="B199" s="135"/>
      <c r="C199" s="135"/>
      <c r="D199" s="135"/>
      <c r="E199" s="135"/>
      <c r="F199" s="182"/>
      <c r="G199" s="182"/>
      <c r="H199" s="135"/>
      <c r="I199" s="135"/>
      <c r="J199" s="135"/>
      <c r="K199" s="135"/>
      <c r="L199" s="135"/>
      <c r="M199" s="135"/>
      <c r="N199" s="135"/>
      <c r="O199" s="135"/>
      <c r="P199" s="135"/>
      <c r="Q199" s="135"/>
      <c r="R199" s="135"/>
      <c r="S199" s="135"/>
    </row>
    <row r="200" customFormat="false" ht="15.75" hidden="false" customHeight="true" outlineLevel="0" collapsed="false">
      <c r="A200" s="135"/>
      <c r="B200" s="135"/>
      <c r="C200" s="135"/>
      <c r="D200" s="135"/>
      <c r="E200" s="135"/>
      <c r="F200" s="182"/>
      <c r="G200" s="182"/>
      <c r="H200" s="135"/>
      <c r="I200" s="135"/>
      <c r="J200" s="135"/>
      <c r="K200" s="135"/>
      <c r="L200" s="135"/>
      <c r="M200" s="135"/>
      <c r="N200" s="135"/>
      <c r="O200" s="135"/>
      <c r="P200" s="135"/>
      <c r="Q200" s="135"/>
      <c r="R200" s="135"/>
      <c r="S200" s="135"/>
    </row>
    <row r="201" customFormat="false" ht="15.75" hidden="false" customHeight="true" outlineLevel="0" collapsed="false">
      <c r="A201" s="135"/>
      <c r="B201" s="135"/>
      <c r="C201" s="135"/>
      <c r="D201" s="135"/>
      <c r="E201" s="135"/>
      <c r="F201" s="182"/>
      <c r="G201" s="182"/>
      <c r="H201" s="135"/>
      <c r="I201" s="135"/>
      <c r="J201" s="135"/>
      <c r="K201" s="135"/>
      <c r="L201" s="135"/>
      <c r="M201" s="135"/>
      <c r="N201" s="135"/>
      <c r="O201" s="135"/>
      <c r="P201" s="135"/>
      <c r="Q201" s="135"/>
      <c r="R201" s="135"/>
      <c r="S201" s="135"/>
    </row>
    <row r="202" customFormat="false" ht="15.75" hidden="false" customHeight="true" outlineLevel="0" collapsed="false">
      <c r="A202" s="135"/>
      <c r="B202" s="135"/>
      <c r="C202" s="135"/>
      <c r="D202" s="135"/>
      <c r="E202" s="135"/>
      <c r="F202" s="182"/>
      <c r="G202" s="182"/>
      <c r="H202" s="135"/>
      <c r="I202" s="135"/>
      <c r="J202" s="135"/>
      <c r="K202" s="135"/>
      <c r="L202" s="135"/>
      <c r="M202" s="135"/>
      <c r="N202" s="135"/>
      <c r="O202" s="135"/>
      <c r="P202" s="135"/>
      <c r="Q202" s="135"/>
      <c r="R202" s="135"/>
      <c r="S202" s="135"/>
    </row>
    <row r="203" customFormat="false" ht="15.75" hidden="false" customHeight="true" outlineLevel="0" collapsed="false">
      <c r="A203" s="135"/>
      <c r="B203" s="135"/>
      <c r="C203" s="135"/>
      <c r="D203" s="135"/>
      <c r="E203" s="135"/>
      <c r="F203" s="182"/>
      <c r="G203" s="182"/>
      <c r="H203" s="135"/>
      <c r="I203" s="135"/>
      <c r="J203" s="135"/>
      <c r="K203" s="135"/>
      <c r="L203" s="135"/>
      <c r="M203" s="135"/>
      <c r="N203" s="135"/>
      <c r="O203" s="135"/>
      <c r="P203" s="135"/>
      <c r="Q203" s="135"/>
      <c r="R203" s="135"/>
      <c r="S203" s="135"/>
    </row>
    <row r="204" customFormat="false" ht="15.75" hidden="false" customHeight="true" outlineLevel="0" collapsed="false">
      <c r="A204" s="135"/>
      <c r="B204" s="135"/>
      <c r="C204" s="135"/>
      <c r="D204" s="135"/>
      <c r="E204" s="135"/>
      <c r="F204" s="182"/>
      <c r="G204" s="182"/>
      <c r="H204" s="135"/>
      <c r="I204" s="135"/>
      <c r="J204" s="135"/>
      <c r="K204" s="135"/>
      <c r="L204" s="135"/>
      <c r="M204" s="135"/>
      <c r="N204" s="135"/>
      <c r="O204" s="135"/>
      <c r="P204" s="135"/>
      <c r="Q204" s="135"/>
      <c r="R204" s="135"/>
      <c r="S204" s="135"/>
    </row>
    <row r="205" customFormat="false" ht="15.75" hidden="false" customHeight="true" outlineLevel="0" collapsed="false">
      <c r="A205" s="135"/>
      <c r="B205" s="135"/>
      <c r="C205" s="135"/>
      <c r="D205" s="135"/>
      <c r="E205" s="135"/>
      <c r="F205" s="182"/>
      <c r="G205" s="182"/>
      <c r="H205" s="135"/>
      <c r="I205" s="135"/>
      <c r="J205" s="135"/>
      <c r="K205" s="135"/>
      <c r="L205" s="135"/>
      <c r="M205" s="135"/>
      <c r="N205" s="135"/>
      <c r="O205" s="135"/>
      <c r="P205" s="135"/>
      <c r="Q205" s="135"/>
      <c r="R205" s="135"/>
      <c r="S205" s="135"/>
    </row>
    <row r="206" customFormat="false" ht="15.75" hidden="false" customHeight="true" outlineLevel="0" collapsed="false">
      <c r="A206" s="135"/>
      <c r="B206" s="135"/>
      <c r="C206" s="135"/>
      <c r="D206" s="135"/>
      <c r="E206" s="135"/>
      <c r="F206" s="182"/>
      <c r="G206" s="182"/>
      <c r="H206" s="135"/>
      <c r="I206" s="135"/>
      <c r="J206" s="135"/>
      <c r="K206" s="135"/>
      <c r="L206" s="135"/>
      <c r="M206" s="135"/>
      <c r="N206" s="135"/>
      <c r="O206" s="135"/>
      <c r="P206" s="135"/>
      <c r="Q206" s="135"/>
      <c r="R206" s="135"/>
      <c r="S206" s="135"/>
    </row>
    <row r="207" customFormat="false" ht="15.75" hidden="false" customHeight="true" outlineLevel="0" collapsed="false">
      <c r="A207" s="135"/>
      <c r="B207" s="135"/>
      <c r="C207" s="135"/>
      <c r="D207" s="135"/>
      <c r="E207" s="135"/>
      <c r="F207" s="182"/>
      <c r="G207" s="182"/>
      <c r="H207" s="135"/>
      <c r="I207" s="135"/>
      <c r="J207" s="135"/>
      <c r="K207" s="135"/>
      <c r="L207" s="135"/>
      <c r="M207" s="135"/>
      <c r="N207" s="135"/>
      <c r="O207" s="135"/>
      <c r="P207" s="135"/>
      <c r="Q207" s="135"/>
      <c r="R207" s="135"/>
      <c r="S207" s="135"/>
    </row>
    <row r="208" customFormat="false" ht="15.75" hidden="false" customHeight="true" outlineLevel="0" collapsed="false">
      <c r="A208" s="135"/>
      <c r="B208" s="135"/>
      <c r="C208" s="135"/>
      <c r="D208" s="135"/>
      <c r="E208" s="135"/>
      <c r="F208" s="182"/>
      <c r="G208" s="182"/>
      <c r="H208" s="135"/>
      <c r="I208" s="135"/>
      <c r="J208" s="135"/>
      <c r="K208" s="135"/>
      <c r="L208" s="135"/>
      <c r="M208" s="135"/>
      <c r="N208" s="135"/>
      <c r="O208" s="135"/>
      <c r="P208" s="135"/>
      <c r="Q208" s="135"/>
      <c r="R208" s="135"/>
      <c r="S208" s="135"/>
    </row>
    <row r="209" customFormat="false" ht="15.75" hidden="false" customHeight="true" outlineLevel="0" collapsed="false">
      <c r="A209" s="135"/>
      <c r="B209" s="135"/>
      <c r="C209" s="135"/>
      <c r="D209" s="135"/>
      <c r="E209" s="135"/>
      <c r="F209" s="182"/>
      <c r="G209" s="182"/>
      <c r="H209" s="135"/>
      <c r="I209" s="135"/>
      <c r="J209" s="135"/>
      <c r="K209" s="135"/>
      <c r="L209" s="135"/>
      <c r="M209" s="135"/>
      <c r="N209" s="135"/>
      <c r="O209" s="135"/>
      <c r="P209" s="135"/>
      <c r="Q209" s="135"/>
      <c r="R209" s="135"/>
      <c r="S209" s="135"/>
    </row>
    <row r="210" customFormat="false" ht="15.75" hidden="false" customHeight="true" outlineLevel="0" collapsed="false">
      <c r="A210" s="135"/>
      <c r="B210" s="135"/>
      <c r="C210" s="135"/>
      <c r="D210" s="135"/>
      <c r="E210" s="135"/>
      <c r="F210" s="182"/>
      <c r="G210" s="182"/>
      <c r="H210" s="135"/>
      <c r="I210" s="135"/>
      <c r="J210" s="135"/>
      <c r="K210" s="135"/>
      <c r="L210" s="135"/>
      <c r="M210" s="135"/>
      <c r="N210" s="135"/>
      <c r="O210" s="135"/>
      <c r="P210" s="135"/>
      <c r="Q210" s="135"/>
      <c r="R210" s="135"/>
      <c r="S210" s="135"/>
    </row>
    <row r="211" customFormat="false" ht="15.75" hidden="false" customHeight="true" outlineLevel="0" collapsed="false">
      <c r="A211" s="135"/>
      <c r="B211" s="135"/>
      <c r="C211" s="135"/>
      <c r="D211" s="135"/>
      <c r="E211" s="135"/>
      <c r="F211" s="182"/>
      <c r="G211" s="182"/>
      <c r="H211" s="135"/>
      <c r="I211" s="135"/>
      <c r="J211" s="135"/>
      <c r="K211" s="135"/>
      <c r="L211" s="135"/>
      <c r="M211" s="135"/>
      <c r="N211" s="135"/>
      <c r="O211" s="135"/>
      <c r="P211" s="135"/>
      <c r="Q211" s="135"/>
      <c r="R211" s="135"/>
      <c r="S211" s="135"/>
    </row>
    <row r="212" customFormat="false" ht="15.75" hidden="false" customHeight="true" outlineLevel="0" collapsed="false">
      <c r="A212" s="135"/>
      <c r="B212" s="135"/>
      <c r="C212" s="135"/>
      <c r="D212" s="135"/>
      <c r="E212" s="135"/>
      <c r="F212" s="182"/>
      <c r="G212" s="182"/>
      <c r="H212" s="135"/>
      <c r="I212" s="135"/>
      <c r="J212" s="135"/>
      <c r="K212" s="135"/>
      <c r="L212" s="135"/>
      <c r="M212" s="135"/>
      <c r="N212" s="135"/>
      <c r="O212" s="135"/>
      <c r="P212" s="135"/>
      <c r="Q212" s="135"/>
      <c r="R212" s="135"/>
      <c r="S212" s="135"/>
    </row>
    <row r="213" customFormat="false" ht="15.75" hidden="false" customHeight="true" outlineLevel="0" collapsed="false">
      <c r="A213" s="135"/>
      <c r="B213" s="135"/>
      <c r="C213" s="135"/>
      <c r="D213" s="135"/>
      <c r="E213" s="135"/>
      <c r="F213" s="182"/>
      <c r="G213" s="182"/>
      <c r="H213" s="135"/>
      <c r="I213" s="135"/>
      <c r="J213" s="135"/>
      <c r="K213" s="135"/>
      <c r="L213" s="135"/>
      <c r="M213" s="135"/>
      <c r="N213" s="135"/>
      <c r="O213" s="135"/>
      <c r="P213" s="135"/>
      <c r="Q213" s="135"/>
      <c r="R213" s="135"/>
      <c r="S213" s="135"/>
    </row>
    <row r="214" customFormat="false" ht="15.75" hidden="false" customHeight="true" outlineLevel="0" collapsed="false">
      <c r="A214" s="135"/>
      <c r="B214" s="135"/>
      <c r="C214" s="135"/>
      <c r="D214" s="135"/>
      <c r="E214" s="135"/>
      <c r="F214" s="182"/>
      <c r="G214" s="182"/>
      <c r="H214" s="135"/>
      <c r="I214" s="135"/>
      <c r="J214" s="135"/>
      <c r="K214" s="135"/>
      <c r="L214" s="135"/>
      <c r="M214" s="135"/>
      <c r="N214" s="135"/>
      <c r="O214" s="135"/>
      <c r="P214" s="135"/>
      <c r="Q214" s="135"/>
      <c r="R214" s="135"/>
      <c r="S214" s="135"/>
    </row>
    <row r="215" customFormat="false" ht="15.75" hidden="false" customHeight="true" outlineLevel="0" collapsed="false">
      <c r="A215" s="135"/>
      <c r="B215" s="135"/>
      <c r="C215" s="135"/>
      <c r="D215" s="135"/>
      <c r="E215" s="135"/>
      <c r="F215" s="182"/>
      <c r="G215" s="182"/>
      <c r="H215" s="135"/>
      <c r="I215" s="135"/>
      <c r="J215" s="135"/>
      <c r="K215" s="135"/>
      <c r="L215" s="135"/>
      <c r="M215" s="135"/>
      <c r="N215" s="135"/>
      <c r="O215" s="135"/>
      <c r="P215" s="135"/>
      <c r="Q215" s="135"/>
      <c r="R215" s="135"/>
      <c r="S215" s="135"/>
    </row>
    <row r="216" customFormat="false" ht="15.75" hidden="false" customHeight="true" outlineLevel="0" collapsed="false">
      <c r="A216" s="135"/>
      <c r="B216" s="135"/>
      <c r="C216" s="135"/>
      <c r="D216" s="135"/>
      <c r="E216" s="135"/>
      <c r="F216" s="182"/>
      <c r="G216" s="182"/>
      <c r="H216" s="135"/>
      <c r="I216" s="135"/>
      <c r="J216" s="135"/>
      <c r="K216" s="135"/>
      <c r="L216" s="135"/>
      <c r="M216" s="135"/>
      <c r="N216" s="135"/>
      <c r="O216" s="135"/>
      <c r="P216" s="135"/>
      <c r="Q216" s="135"/>
      <c r="R216" s="135"/>
      <c r="S216" s="135"/>
    </row>
    <row r="217" customFormat="false" ht="15.75" hidden="false" customHeight="true" outlineLevel="0" collapsed="false">
      <c r="A217" s="135"/>
      <c r="B217" s="135"/>
      <c r="C217" s="135"/>
      <c r="D217" s="135"/>
      <c r="E217" s="135"/>
      <c r="F217" s="182"/>
      <c r="G217" s="182"/>
      <c r="H217" s="135"/>
      <c r="I217" s="135"/>
      <c r="J217" s="135"/>
      <c r="K217" s="135"/>
      <c r="L217" s="135"/>
      <c r="M217" s="135"/>
      <c r="N217" s="135"/>
      <c r="O217" s="135"/>
      <c r="P217" s="135"/>
      <c r="Q217" s="135"/>
      <c r="R217" s="135"/>
      <c r="S217" s="135"/>
    </row>
    <row r="218" customFormat="false" ht="15.75" hidden="false" customHeight="true" outlineLevel="0" collapsed="false">
      <c r="A218" s="135"/>
      <c r="B218" s="135"/>
      <c r="C218" s="135"/>
      <c r="D218" s="135"/>
      <c r="E218" s="135"/>
      <c r="F218" s="182"/>
      <c r="G218" s="182"/>
      <c r="H218" s="135"/>
      <c r="I218" s="135"/>
      <c r="J218" s="135"/>
      <c r="K218" s="135"/>
      <c r="L218" s="135"/>
      <c r="M218" s="135"/>
      <c r="N218" s="135"/>
      <c r="O218" s="135"/>
      <c r="P218" s="135"/>
      <c r="Q218" s="135"/>
      <c r="R218" s="135"/>
      <c r="S218" s="135"/>
    </row>
    <row r="219" customFormat="false" ht="15.75" hidden="false" customHeight="true" outlineLevel="0" collapsed="false">
      <c r="A219" s="135"/>
      <c r="B219" s="135"/>
      <c r="C219" s="135"/>
      <c r="D219" s="135"/>
      <c r="E219" s="135"/>
      <c r="F219" s="182"/>
      <c r="G219" s="182"/>
      <c r="H219" s="135"/>
      <c r="I219" s="135"/>
      <c r="J219" s="135"/>
      <c r="K219" s="135"/>
      <c r="L219" s="135"/>
      <c r="M219" s="135"/>
      <c r="N219" s="135"/>
      <c r="O219" s="135"/>
      <c r="P219" s="135"/>
      <c r="Q219" s="135"/>
      <c r="R219" s="135"/>
      <c r="S219" s="135"/>
    </row>
    <row r="220" customFormat="false" ht="15.75" hidden="false" customHeight="true" outlineLevel="0" collapsed="false">
      <c r="A220" s="135"/>
      <c r="B220" s="135"/>
      <c r="C220" s="135"/>
      <c r="D220" s="135"/>
      <c r="E220" s="135"/>
      <c r="F220" s="182"/>
      <c r="G220" s="182"/>
      <c r="H220" s="135"/>
      <c r="I220" s="135"/>
      <c r="J220" s="135"/>
      <c r="K220" s="135"/>
      <c r="L220" s="135"/>
      <c r="M220" s="135"/>
      <c r="N220" s="135"/>
      <c r="O220" s="135"/>
      <c r="P220" s="135"/>
      <c r="Q220" s="135"/>
      <c r="R220" s="135"/>
      <c r="S220" s="135"/>
    </row>
    <row r="221" customFormat="false" ht="15.75" hidden="false" customHeight="true" outlineLevel="0" collapsed="false">
      <c r="A221" s="135"/>
      <c r="B221" s="135"/>
      <c r="C221" s="135"/>
      <c r="D221" s="135"/>
      <c r="E221" s="135"/>
      <c r="F221" s="182"/>
      <c r="G221" s="182"/>
      <c r="H221" s="135"/>
      <c r="I221" s="135"/>
      <c r="J221" s="135"/>
      <c r="K221" s="135"/>
      <c r="L221" s="135"/>
      <c r="M221" s="135"/>
      <c r="N221" s="135"/>
      <c r="O221" s="135"/>
      <c r="P221" s="135"/>
      <c r="Q221" s="135"/>
      <c r="R221" s="135"/>
      <c r="S221" s="135"/>
    </row>
    <row r="222" customFormat="false" ht="15.75" hidden="false" customHeight="true" outlineLevel="0" collapsed="false">
      <c r="A222" s="135"/>
      <c r="B222" s="135"/>
      <c r="C222" s="135"/>
      <c r="D222" s="135"/>
      <c r="E222" s="135"/>
      <c r="F222" s="182"/>
      <c r="G222" s="182"/>
      <c r="H222" s="135"/>
      <c r="I222" s="135"/>
      <c r="J222" s="135"/>
      <c r="K222" s="135"/>
      <c r="L222" s="135"/>
      <c r="M222" s="135"/>
      <c r="N222" s="135"/>
      <c r="O222" s="135"/>
      <c r="P222" s="135"/>
      <c r="Q222" s="135"/>
      <c r="R222" s="135"/>
      <c r="S222" s="135"/>
    </row>
    <row r="223" customFormat="false" ht="15.75" hidden="false" customHeight="true" outlineLevel="0" collapsed="false">
      <c r="A223" s="135"/>
      <c r="B223" s="135"/>
      <c r="C223" s="135"/>
      <c r="D223" s="135"/>
      <c r="E223" s="135"/>
      <c r="F223" s="182"/>
      <c r="G223" s="182"/>
      <c r="H223" s="135"/>
      <c r="I223" s="135"/>
      <c r="J223" s="135"/>
      <c r="K223" s="135"/>
      <c r="L223" s="135"/>
      <c r="M223" s="135"/>
      <c r="N223" s="135"/>
      <c r="O223" s="135"/>
      <c r="P223" s="135"/>
      <c r="Q223" s="135"/>
      <c r="R223" s="135"/>
      <c r="S223" s="135"/>
    </row>
    <row r="224" customFormat="false" ht="15.75" hidden="false" customHeight="true" outlineLevel="0" collapsed="false">
      <c r="A224" s="135"/>
      <c r="B224" s="135"/>
      <c r="C224" s="135"/>
      <c r="D224" s="135"/>
      <c r="E224" s="135"/>
      <c r="F224" s="182"/>
      <c r="G224" s="182"/>
      <c r="H224" s="135"/>
      <c r="I224" s="135"/>
      <c r="J224" s="135"/>
      <c r="K224" s="135"/>
      <c r="L224" s="135"/>
      <c r="M224" s="135"/>
      <c r="N224" s="135"/>
      <c r="O224" s="135"/>
      <c r="P224" s="135"/>
      <c r="Q224" s="135"/>
      <c r="R224" s="135"/>
      <c r="S224" s="135"/>
    </row>
    <row r="225" customFormat="false" ht="15.75" hidden="false" customHeight="true" outlineLevel="0" collapsed="false">
      <c r="A225" s="135"/>
      <c r="B225" s="135"/>
      <c r="C225" s="135"/>
      <c r="D225" s="135"/>
      <c r="E225" s="135"/>
      <c r="F225" s="182"/>
      <c r="G225" s="182"/>
      <c r="H225" s="135"/>
      <c r="I225" s="135"/>
      <c r="J225" s="135"/>
      <c r="K225" s="135"/>
      <c r="L225" s="135"/>
      <c r="M225" s="135"/>
      <c r="N225" s="135"/>
      <c r="O225" s="135"/>
      <c r="P225" s="135"/>
      <c r="Q225" s="135"/>
      <c r="R225" s="135"/>
      <c r="S225" s="135"/>
    </row>
    <row r="226" customFormat="false" ht="15.75" hidden="false" customHeight="true" outlineLevel="0" collapsed="false">
      <c r="A226" s="135"/>
      <c r="B226" s="135"/>
      <c r="C226" s="135"/>
      <c r="D226" s="135"/>
      <c r="E226" s="135"/>
      <c r="F226" s="182"/>
      <c r="G226" s="182"/>
      <c r="H226" s="135"/>
      <c r="I226" s="135"/>
      <c r="J226" s="135"/>
      <c r="K226" s="135"/>
      <c r="L226" s="135"/>
      <c r="M226" s="135"/>
      <c r="N226" s="135"/>
      <c r="O226" s="135"/>
      <c r="P226" s="135"/>
      <c r="Q226" s="135"/>
      <c r="R226" s="135"/>
      <c r="S226" s="135"/>
    </row>
    <row r="227" customFormat="false" ht="15.75" hidden="false" customHeight="true" outlineLevel="0" collapsed="false">
      <c r="A227" s="135"/>
      <c r="B227" s="135"/>
      <c r="C227" s="135"/>
      <c r="D227" s="135"/>
      <c r="E227" s="135"/>
      <c r="F227" s="182"/>
      <c r="G227" s="182"/>
      <c r="H227" s="135"/>
      <c r="I227" s="135"/>
      <c r="J227" s="135"/>
      <c r="K227" s="135"/>
      <c r="L227" s="135"/>
      <c r="M227" s="135"/>
      <c r="N227" s="135"/>
      <c r="O227" s="135"/>
      <c r="P227" s="135"/>
      <c r="Q227" s="135"/>
      <c r="R227" s="135"/>
      <c r="S227" s="135"/>
    </row>
    <row r="228" customFormat="false" ht="15.75" hidden="false" customHeight="true" outlineLevel="0" collapsed="false">
      <c r="A228" s="135"/>
      <c r="B228" s="135"/>
      <c r="C228" s="135"/>
      <c r="D228" s="135"/>
      <c r="E228" s="135"/>
      <c r="F228" s="182"/>
      <c r="G228" s="182"/>
      <c r="H228" s="135"/>
      <c r="I228" s="135"/>
      <c r="J228" s="135"/>
      <c r="K228" s="135"/>
      <c r="L228" s="135"/>
      <c r="M228" s="135"/>
      <c r="N228" s="135"/>
      <c r="O228" s="135"/>
      <c r="P228" s="135"/>
      <c r="Q228" s="135"/>
      <c r="R228" s="135"/>
      <c r="S228" s="135"/>
    </row>
    <row r="229" customFormat="false" ht="15.75" hidden="false" customHeight="true" outlineLevel="0" collapsed="false">
      <c r="A229" s="135"/>
      <c r="B229" s="135"/>
      <c r="C229" s="135"/>
      <c r="D229" s="135"/>
      <c r="E229" s="135"/>
      <c r="F229" s="182"/>
      <c r="G229" s="182"/>
      <c r="H229" s="135"/>
      <c r="I229" s="135"/>
      <c r="J229" s="135"/>
      <c r="K229" s="135"/>
      <c r="L229" s="135"/>
      <c r="M229" s="135"/>
      <c r="N229" s="135"/>
      <c r="O229" s="135"/>
      <c r="P229" s="135"/>
      <c r="Q229" s="135"/>
      <c r="R229" s="135"/>
      <c r="S229" s="135"/>
    </row>
    <row r="230" customFormat="false" ht="15.75" hidden="false" customHeight="true" outlineLevel="0" collapsed="false">
      <c r="A230" s="135"/>
      <c r="B230" s="135"/>
      <c r="C230" s="135"/>
      <c r="D230" s="135"/>
      <c r="E230" s="135"/>
      <c r="F230" s="182"/>
      <c r="G230" s="182"/>
      <c r="H230" s="135"/>
      <c r="I230" s="135"/>
      <c r="J230" s="135"/>
      <c r="K230" s="135"/>
      <c r="L230" s="135"/>
      <c r="M230" s="135"/>
      <c r="N230" s="135"/>
      <c r="O230" s="135"/>
      <c r="P230" s="135"/>
      <c r="Q230" s="135"/>
      <c r="R230" s="135"/>
      <c r="S230" s="135"/>
    </row>
    <row r="231" customFormat="false" ht="15.75" hidden="false" customHeight="true" outlineLevel="0" collapsed="false">
      <c r="A231" s="135"/>
      <c r="B231" s="135"/>
      <c r="C231" s="135"/>
      <c r="D231" s="135"/>
      <c r="E231" s="135"/>
      <c r="F231" s="182"/>
      <c r="G231" s="182"/>
      <c r="H231" s="135"/>
      <c r="I231" s="135"/>
      <c r="J231" s="135"/>
      <c r="K231" s="135"/>
      <c r="L231" s="135"/>
      <c r="M231" s="135"/>
      <c r="N231" s="135"/>
      <c r="O231" s="135"/>
      <c r="P231" s="135"/>
      <c r="Q231" s="135"/>
      <c r="R231" s="135"/>
      <c r="S231" s="135"/>
    </row>
    <row r="232" customFormat="false" ht="15.75" hidden="false" customHeight="true" outlineLevel="0" collapsed="false">
      <c r="A232" s="135"/>
      <c r="B232" s="135"/>
      <c r="C232" s="135"/>
      <c r="D232" s="135"/>
      <c r="E232" s="135"/>
      <c r="F232" s="182"/>
      <c r="G232" s="182"/>
      <c r="H232" s="135"/>
      <c r="I232" s="135"/>
      <c r="J232" s="135"/>
      <c r="K232" s="135"/>
      <c r="L232" s="135"/>
      <c r="M232" s="135"/>
      <c r="N232" s="135"/>
      <c r="O232" s="135"/>
      <c r="P232" s="135"/>
      <c r="Q232" s="135"/>
      <c r="R232" s="135"/>
      <c r="S232" s="135"/>
    </row>
    <row r="233" customFormat="false" ht="15.75" hidden="false" customHeight="true" outlineLevel="0" collapsed="false">
      <c r="A233" s="135"/>
      <c r="B233" s="135"/>
      <c r="C233" s="135"/>
      <c r="D233" s="135"/>
      <c r="E233" s="135"/>
      <c r="F233" s="182"/>
      <c r="G233" s="182"/>
      <c r="H233" s="135"/>
      <c r="I233" s="135"/>
      <c r="J233" s="135"/>
      <c r="K233" s="135"/>
      <c r="L233" s="135"/>
      <c r="M233" s="135"/>
      <c r="N233" s="135"/>
      <c r="O233" s="135"/>
      <c r="P233" s="135"/>
      <c r="Q233" s="135"/>
      <c r="R233" s="135"/>
      <c r="S233" s="135"/>
    </row>
    <row r="234" customFormat="false" ht="15.75" hidden="false" customHeight="true" outlineLevel="0" collapsed="false">
      <c r="A234" s="135"/>
      <c r="B234" s="135"/>
      <c r="C234" s="135"/>
      <c r="D234" s="135"/>
      <c r="E234" s="135"/>
      <c r="F234" s="182"/>
      <c r="G234" s="182"/>
      <c r="H234" s="135"/>
      <c r="I234" s="135"/>
      <c r="J234" s="135"/>
      <c r="K234" s="135"/>
      <c r="L234" s="135"/>
      <c r="M234" s="135"/>
      <c r="N234" s="135"/>
      <c r="O234" s="135"/>
      <c r="P234" s="135"/>
      <c r="Q234" s="135"/>
      <c r="R234" s="135"/>
      <c r="S234" s="135"/>
    </row>
    <row r="235" customFormat="false" ht="15.75" hidden="false" customHeight="true" outlineLevel="0" collapsed="false">
      <c r="A235" s="135"/>
      <c r="B235" s="135"/>
      <c r="C235" s="135"/>
      <c r="D235" s="135"/>
      <c r="E235" s="135"/>
      <c r="F235" s="182"/>
      <c r="G235" s="182"/>
      <c r="H235" s="135"/>
      <c r="I235" s="135"/>
      <c r="J235" s="135"/>
      <c r="K235" s="135"/>
      <c r="L235" s="135"/>
      <c r="M235" s="135"/>
      <c r="N235" s="135"/>
      <c r="O235" s="135"/>
      <c r="P235" s="135"/>
      <c r="Q235" s="135"/>
      <c r="R235" s="135"/>
      <c r="S235" s="135"/>
    </row>
    <row r="236" customFormat="false" ht="15.75" hidden="false" customHeight="true" outlineLevel="0" collapsed="false">
      <c r="A236" s="135"/>
      <c r="B236" s="135"/>
      <c r="C236" s="135"/>
      <c r="D236" s="135"/>
      <c r="E236" s="135"/>
      <c r="F236" s="182"/>
      <c r="G236" s="182"/>
      <c r="H236" s="135"/>
      <c r="I236" s="135"/>
      <c r="J236" s="135"/>
      <c r="K236" s="135"/>
      <c r="L236" s="135"/>
      <c r="M236" s="135"/>
      <c r="N236" s="135"/>
      <c r="O236" s="135"/>
      <c r="P236" s="135"/>
      <c r="Q236" s="135"/>
      <c r="R236" s="135"/>
      <c r="S236" s="135"/>
    </row>
    <row r="237" customFormat="false" ht="15.75" hidden="false" customHeight="true" outlineLevel="0" collapsed="false">
      <c r="A237" s="135"/>
      <c r="B237" s="135"/>
      <c r="C237" s="135"/>
      <c r="D237" s="135"/>
      <c r="E237" s="135"/>
      <c r="F237" s="182"/>
      <c r="G237" s="182"/>
      <c r="H237" s="135"/>
      <c r="I237" s="135"/>
      <c r="J237" s="135"/>
      <c r="K237" s="135"/>
      <c r="L237" s="135"/>
      <c r="M237" s="135"/>
      <c r="N237" s="135"/>
      <c r="O237" s="135"/>
      <c r="P237" s="135"/>
      <c r="Q237" s="135"/>
      <c r="R237" s="135"/>
      <c r="S237" s="135"/>
    </row>
    <row r="238" customFormat="false" ht="15.75" hidden="false" customHeight="true" outlineLevel="0" collapsed="false">
      <c r="A238" s="135"/>
      <c r="B238" s="135"/>
      <c r="C238" s="135"/>
      <c r="D238" s="135"/>
      <c r="E238" s="135"/>
      <c r="F238" s="182"/>
      <c r="G238" s="182"/>
      <c r="H238" s="135"/>
      <c r="I238" s="135"/>
      <c r="J238" s="135"/>
      <c r="K238" s="135"/>
      <c r="L238" s="135"/>
      <c r="M238" s="135"/>
      <c r="N238" s="135"/>
      <c r="O238" s="135"/>
      <c r="P238" s="135"/>
      <c r="Q238" s="135"/>
      <c r="R238" s="135"/>
      <c r="S238" s="135"/>
    </row>
    <row r="239" customFormat="false" ht="15.75" hidden="false" customHeight="true" outlineLevel="0" collapsed="false">
      <c r="A239" s="135"/>
      <c r="B239" s="135"/>
      <c r="C239" s="135"/>
      <c r="D239" s="135"/>
      <c r="E239" s="135"/>
      <c r="F239" s="182"/>
      <c r="G239" s="182"/>
      <c r="H239" s="135"/>
      <c r="I239" s="135"/>
      <c r="J239" s="135"/>
      <c r="K239" s="135"/>
      <c r="L239" s="135"/>
      <c r="M239" s="135"/>
      <c r="N239" s="135"/>
      <c r="O239" s="135"/>
      <c r="P239" s="135"/>
      <c r="Q239" s="135"/>
      <c r="R239" s="135"/>
      <c r="S239" s="135"/>
    </row>
    <row r="240" customFormat="false" ht="15.75" hidden="false" customHeight="true" outlineLevel="0" collapsed="false">
      <c r="A240" s="135"/>
      <c r="B240" s="135"/>
      <c r="C240" s="135"/>
      <c r="D240" s="135"/>
      <c r="E240" s="135"/>
      <c r="F240" s="182"/>
      <c r="G240" s="182"/>
      <c r="H240" s="135"/>
      <c r="I240" s="135"/>
      <c r="J240" s="135"/>
      <c r="K240" s="135"/>
      <c r="L240" s="135"/>
      <c r="M240" s="135"/>
      <c r="N240" s="135"/>
      <c r="O240" s="135"/>
      <c r="P240" s="135"/>
      <c r="Q240" s="135"/>
      <c r="R240" s="135"/>
      <c r="S240" s="135"/>
    </row>
    <row r="241" customFormat="false" ht="15.75" hidden="false" customHeight="true" outlineLevel="0" collapsed="false">
      <c r="A241" s="135"/>
      <c r="B241" s="135"/>
      <c r="C241" s="135"/>
      <c r="D241" s="135"/>
      <c r="E241" s="135"/>
      <c r="F241" s="182"/>
      <c r="G241" s="182"/>
      <c r="H241" s="135"/>
      <c r="I241" s="135"/>
      <c r="J241" s="135"/>
      <c r="K241" s="135"/>
      <c r="L241" s="135"/>
      <c r="M241" s="135"/>
      <c r="N241" s="135"/>
      <c r="O241" s="135"/>
      <c r="P241" s="135"/>
      <c r="Q241" s="135"/>
      <c r="R241" s="135"/>
      <c r="S241" s="135"/>
    </row>
    <row r="242" customFormat="false" ht="15.75" hidden="false" customHeight="true" outlineLevel="0" collapsed="false">
      <c r="A242" s="135"/>
      <c r="B242" s="135"/>
      <c r="C242" s="135"/>
      <c r="D242" s="135"/>
      <c r="E242" s="135"/>
      <c r="F242" s="182"/>
      <c r="G242" s="182"/>
      <c r="H242" s="135"/>
      <c r="I242" s="135"/>
      <c r="J242" s="135"/>
      <c r="K242" s="135"/>
      <c r="L242" s="135"/>
      <c r="M242" s="135"/>
      <c r="N242" s="135"/>
      <c r="O242" s="135"/>
      <c r="P242" s="135"/>
      <c r="Q242" s="135"/>
      <c r="R242" s="135"/>
      <c r="S242" s="135"/>
    </row>
    <row r="243" customFormat="false" ht="15.75" hidden="false" customHeight="true" outlineLevel="0" collapsed="false">
      <c r="A243" s="135"/>
      <c r="B243" s="135"/>
      <c r="C243" s="135"/>
      <c r="D243" s="135"/>
      <c r="E243" s="135"/>
      <c r="F243" s="182"/>
      <c r="G243" s="182"/>
      <c r="H243" s="135"/>
      <c r="I243" s="135"/>
      <c r="J243" s="135"/>
      <c r="K243" s="135"/>
      <c r="L243" s="135"/>
      <c r="M243" s="135"/>
      <c r="N243" s="135"/>
      <c r="O243" s="135"/>
      <c r="P243" s="135"/>
      <c r="Q243" s="135"/>
      <c r="R243" s="135"/>
      <c r="S243" s="135"/>
    </row>
    <row r="244" customFormat="false" ht="15.75" hidden="false" customHeight="true" outlineLevel="0" collapsed="false">
      <c r="A244" s="135"/>
      <c r="B244" s="135"/>
      <c r="C244" s="135"/>
      <c r="D244" s="135"/>
      <c r="E244" s="135"/>
      <c r="F244" s="182"/>
      <c r="G244" s="182"/>
      <c r="H244" s="135"/>
      <c r="I244" s="135"/>
      <c r="J244" s="135"/>
      <c r="K244" s="135"/>
      <c r="L244" s="135"/>
      <c r="M244" s="135"/>
      <c r="N244" s="135"/>
      <c r="O244" s="135"/>
      <c r="P244" s="135"/>
      <c r="Q244" s="135"/>
      <c r="R244" s="135"/>
      <c r="S244" s="135"/>
    </row>
    <row r="245" customFormat="false" ht="15.75" hidden="false" customHeight="true" outlineLevel="0" collapsed="false">
      <c r="A245" s="135"/>
      <c r="B245" s="135"/>
      <c r="C245" s="135"/>
      <c r="D245" s="135"/>
      <c r="E245" s="135"/>
      <c r="F245" s="182"/>
      <c r="G245" s="182"/>
      <c r="H245" s="135"/>
      <c r="I245" s="135"/>
      <c r="J245" s="135"/>
      <c r="K245" s="135"/>
      <c r="L245" s="135"/>
      <c r="M245" s="135"/>
      <c r="N245" s="135"/>
      <c r="O245" s="135"/>
      <c r="P245" s="135"/>
      <c r="Q245" s="135"/>
      <c r="R245" s="135"/>
      <c r="S245" s="135"/>
    </row>
    <row r="246" customFormat="false" ht="15.75" hidden="false" customHeight="true" outlineLevel="0" collapsed="false">
      <c r="A246" s="135"/>
      <c r="B246" s="135"/>
      <c r="C246" s="135"/>
      <c r="D246" s="135"/>
      <c r="E246" s="135"/>
      <c r="F246" s="182"/>
      <c r="G246" s="182"/>
      <c r="H246" s="135"/>
      <c r="I246" s="135"/>
      <c r="J246" s="135"/>
      <c r="K246" s="135"/>
      <c r="L246" s="135"/>
      <c r="M246" s="135"/>
      <c r="N246" s="135"/>
      <c r="O246" s="135"/>
      <c r="P246" s="135"/>
      <c r="Q246" s="135"/>
      <c r="R246" s="135"/>
      <c r="S246" s="135"/>
    </row>
    <row r="247" customFormat="false" ht="15.75" hidden="false" customHeight="true" outlineLevel="0" collapsed="false">
      <c r="A247" s="135"/>
      <c r="B247" s="135"/>
      <c r="C247" s="135"/>
      <c r="D247" s="135"/>
      <c r="E247" s="135"/>
      <c r="F247" s="182"/>
      <c r="G247" s="182"/>
      <c r="H247" s="135"/>
      <c r="I247" s="135"/>
      <c r="J247" s="135"/>
      <c r="K247" s="135"/>
      <c r="L247" s="135"/>
      <c r="M247" s="135"/>
      <c r="N247" s="135"/>
      <c r="O247" s="135"/>
      <c r="P247" s="135"/>
      <c r="Q247" s="135"/>
      <c r="R247" s="135"/>
      <c r="S247" s="135"/>
    </row>
    <row r="248" customFormat="false" ht="15.75" hidden="false" customHeight="true" outlineLevel="0" collapsed="false">
      <c r="A248" s="135"/>
      <c r="B248" s="135"/>
      <c r="C248" s="135"/>
      <c r="D248" s="135"/>
      <c r="E248" s="135"/>
      <c r="F248" s="182"/>
      <c r="G248" s="182"/>
      <c r="H248" s="135"/>
      <c r="I248" s="135"/>
      <c r="J248" s="135"/>
      <c r="K248" s="135"/>
      <c r="L248" s="135"/>
      <c r="M248" s="135"/>
      <c r="N248" s="135"/>
      <c r="O248" s="135"/>
      <c r="P248" s="135"/>
      <c r="Q248" s="135"/>
      <c r="R248" s="135"/>
      <c r="S248" s="135"/>
    </row>
    <row r="249" customFormat="false" ht="15.75" hidden="false" customHeight="true" outlineLevel="0" collapsed="false">
      <c r="A249" s="135"/>
      <c r="B249" s="135"/>
      <c r="C249" s="135"/>
      <c r="D249" s="135"/>
      <c r="E249" s="135"/>
      <c r="F249" s="182"/>
      <c r="G249" s="182"/>
      <c r="H249" s="135"/>
      <c r="I249" s="135"/>
      <c r="J249" s="135"/>
      <c r="K249" s="135"/>
      <c r="L249" s="135"/>
      <c r="M249" s="135"/>
      <c r="N249" s="135"/>
      <c r="O249" s="135"/>
      <c r="P249" s="135"/>
      <c r="Q249" s="135"/>
      <c r="R249" s="135"/>
      <c r="S249" s="135"/>
    </row>
    <row r="250" customFormat="false" ht="15.75" hidden="false" customHeight="true" outlineLevel="0" collapsed="false">
      <c r="A250" s="135"/>
      <c r="B250" s="135"/>
      <c r="C250" s="135"/>
      <c r="D250" s="135"/>
      <c r="E250" s="135"/>
      <c r="F250" s="182"/>
      <c r="G250" s="182"/>
      <c r="H250" s="135"/>
      <c r="I250" s="135"/>
      <c r="J250" s="135"/>
      <c r="K250" s="135"/>
      <c r="L250" s="135"/>
      <c r="M250" s="135"/>
      <c r="N250" s="135"/>
      <c r="O250" s="135"/>
      <c r="P250" s="135"/>
      <c r="Q250" s="135"/>
      <c r="R250" s="135"/>
      <c r="S250" s="135"/>
    </row>
    <row r="251" customFormat="false" ht="15.75" hidden="false" customHeight="true" outlineLevel="0" collapsed="false">
      <c r="A251" s="135"/>
      <c r="B251" s="135"/>
      <c r="C251" s="135"/>
      <c r="D251" s="135"/>
      <c r="E251" s="135"/>
      <c r="F251" s="182"/>
      <c r="G251" s="182"/>
      <c r="H251" s="135"/>
      <c r="I251" s="135"/>
      <c r="J251" s="135"/>
      <c r="K251" s="135"/>
      <c r="L251" s="135"/>
      <c r="M251" s="135"/>
      <c r="N251" s="135"/>
      <c r="O251" s="135"/>
      <c r="P251" s="135"/>
      <c r="Q251" s="135"/>
      <c r="R251" s="135"/>
      <c r="S251" s="135"/>
    </row>
    <row r="252" customFormat="false" ht="15.75" hidden="false" customHeight="true" outlineLevel="0" collapsed="false">
      <c r="A252" s="135"/>
      <c r="B252" s="135"/>
      <c r="C252" s="135"/>
      <c r="D252" s="135"/>
      <c r="E252" s="135"/>
      <c r="F252" s="182"/>
      <c r="G252" s="182"/>
      <c r="H252" s="135"/>
      <c r="I252" s="135"/>
      <c r="J252" s="135"/>
      <c r="K252" s="135"/>
      <c r="L252" s="135"/>
      <c r="M252" s="135"/>
      <c r="N252" s="135"/>
      <c r="O252" s="135"/>
      <c r="P252" s="135"/>
      <c r="Q252" s="135"/>
      <c r="R252" s="135"/>
      <c r="S252" s="135"/>
    </row>
    <row r="253" customFormat="false" ht="15.75" hidden="false" customHeight="true" outlineLevel="0" collapsed="false">
      <c r="A253" s="135"/>
      <c r="B253" s="135"/>
      <c r="C253" s="135"/>
      <c r="D253" s="135"/>
      <c r="E253" s="135"/>
      <c r="F253" s="182"/>
      <c r="G253" s="182"/>
      <c r="H253" s="135"/>
      <c r="I253" s="135"/>
      <c r="J253" s="135"/>
      <c r="K253" s="135"/>
      <c r="L253" s="135"/>
      <c r="M253" s="135"/>
      <c r="N253" s="135"/>
      <c r="O253" s="135"/>
      <c r="P253" s="135"/>
      <c r="Q253" s="135"/>
      <c r="R253" s="135"/>
      <c r="S253" s="135"/>
    </row>
    <row r="254" customFormat="false" ht="15.75" hidden="false" customHeight="true" outlineLevel="0" collapsed="false">
      <c r="A254" s="135"/>
      <c r="B254" s="135"/>
      <c r="C254" s="135"/>
      <c r="D254" s="135"/>
      <c r="E254" s="135"/>
      <c r="F254" s="182"/>
      <c r="G254" s="182"/>
      <c r="H254" s="135"/>
      <c r="I254" s="135"/>
      <c r="J254" s="135"/>
      <c r="K254" s="135"/>
      <c r="L254" s="135"/>
      <c r="M254" s="135"/>
      <c r="N254" s="135"/>
      <c r="O254" s="135"/>
      <c r="P254" s="135"/>
      <c r="Q254" s="135"/>
      <c r="R254" s="135"/>
      <c r="S254" s="135"/>
    </row>
    <row r="255" customFormat="false" ht="15.75" hidden="false" customHeight="true" outlineLevel="0" collapsed="false">
      <c r="A255" s="135"/>
      <c r="B255" s="135"/>
      <c r="C255" s="135"/>
      <c r="D255" s="135"/>
      <c r="E255" s="135"/>
      <c r="F255" s="182"/>
      <c r="G255" s="182"/>
      <c r="H255" s="135"/>
      <c r="I255" s="135"/>
      <c r="J255" s="135"/>
      <c r="K255" s="135"/>
      <c r="L255" s="135"/>
      <c r="M255" s="135"/>
      <c r="N255" s="135"/>
      <c r="O255" s="135"/>
      <c r="P255" s="135"/>
      <c r="Q255" s="135"/>
      <c r="R255" s="135"/>
      <c r="S255" s="135"/>
    </row>
    <row r="256" customFormat="false" ht="15.75" hidden="false" customHeight="true" outlineLevel="0" collapsed="false">
      <c r="A256" s="135"/>
      <c r="B256" s="135"/>
      <c r="C256" s="135"/>
      <c r="D256" s="135"/>
      <c r="E256" s="135"/>
      <c r="F256" s="182"/>
      <c r="G256" s="182"/>
      <c r="H256" s="135"/>
      <c r="I256" s="135"/>
      <c r="J256" s="135"/>
      <c r="K256" s="135"/>
      <c r="L256" s="135"/>
      <c r="M256" s="135"/>
      <c r="N256" s="135"/>
      <c r="O256" s="135"/>
      <c r="P256" s="135"/>
      <c r="Q256" s="135"/>
      <c r="R256" s="135"/>
      <c r="S256" s="135"/>
    </row>
    <row r="257" customFormat="false" ht="15.75" hidden="false" customHeight="true" outlineLevel="0" collapsed="false">
      <c r="A257" s="135"/>
      <c r="B257" s="135"/>
      <c r="C257" s="135"/>
      <c r="D257" s="135"/>
      <c r="E257" s="135"/>
      <c r="F257" s="182"/>
      <c r="G257" s="182"/>
      <c r="H257" s="135"/>
      <c r="I257" s="135"/>
      <c r="J257" s="135"/>
      <c r="K257" s="135"/>
      <c r="L257" s="135"/>
      <c r="M257" s="135"/>
      <c r="N257" s="135"/>
      <c r="O257" s="135"/>
      <c r="P257" s="135"/>
      <c r="Q257" s="135"/>
      <c r="R257" s="135"/>
      <c r="S257" s="135"/>
    </row>
    <row r="258" customFormat="false" ht="15.75" hidden="false" customHeight="true" outlineLevel="0" collapsed="false">
      <c r="A258" s="135"/>
      <c r="B258" s="135"/>
      <c r="C258" s="135"/>
      <c r="D258" s="135"/>
      <c r="E258" s="135"/>
      <c r="F258" s="182"/>
      <c r="G258" s="182"/>
      <c r="H258" s="135"/>
      <c r="I258" s="135"/>
      <c r="J258" s="135"/>
      <c r="K258" s="135"/>
      <c r="L258" s="135"/>
      <c r="M258" s="135"/>
      <c r="N258" s="135"/>
      <c r="O258" s="135"/>
      <c r="P258" s="135"/>
      <c r="Q258" s="135"/>
      <c r="R258" s="135"/>
      <c r="S258" s="135"/>
    </row>
    <row r="259" customFormat="false" ht="15.75" hidden="false" customHeight="true" outlineLevel="0" collapsed="false">
      <c r="A259" s="135"/>
      <c r="B259" s="135"/>
      <c r="C259" s="135"/>
      <c r="D259" s="135"/>
      <c r="E259" s="135"/>
      <c r="F259" s="182"/>
      <c r="G259" s="182"/>
      <c r="H259" s="135"/>
      <c r="I259" s="135"/>
      <c r="J259" s="135"/>
      <c r="K259" s="135"/>
      <c r="L259" s="135"/>
      <c r="M259" s="135"/>
      <c r="N259" s="135"/>
      <c r="O259" s="135"/>
      <c r="P259" s="135"/>
      <c r="Q259" s="135"/>
      <c r="R259" s="135"/>
      <c r="S259" s="135"/>
    </row>
    <row r="260" customFormat="false" ht="15.75" hidden="false" customHeight="true" outlineLevel="0" collapsed="false">
      <c r="A260" s="135"/>
      <c r="B260" s="135"/>
      <c r="C260" s="135"/>
      <c r="D260" s="135"/>
      <c r="E260" s="135"/>
      <c r="F260" s="182"/>
      <c r="G260" s="182"/>
      <c r="H260" s="135"/>
      <c r="I260" s="135"/>
      <c r="J260" s="135"/>
      <c r="K260" s="135"/>
      <c r="L260" s="135"/>
      <c r="M260" s="135"/>
      <c r="N260" s="135"/>
      <c r="O260" s="135"/>
      <c r="P260" s="135"/>
      <c r="Q260" s="135"/>
      <c r="R260" s="135"/>
      <c r="S260" s="135"/>
    </row>
    <row r="261" customFormat="false" ht="15.75" hidden="false" customHeight="true" outlineLevel="0" collapsed="false">
      <c r="A261" s="135"/>
      <c r="B261" s="135"/>
      <c r="C261" s="135"/>
      <c r="D261" s="135"/>
      <c r="E261" s="135"/>
      <c r="F261" s="182"/>
      <c r="G261" s="182"/>
      <c r="H261" s="135"/>
      <c r="I261" s="135"/>
      <c r="J261" s="135"/>
      <c r="K261" s="135"/>
      <c r="L261" s="135"/>
      <c r="M261" s="135"/>
      <c r="N261" s="135"/>
      <c r="O261" s="135"/>
      <c r="P261" s="135"/>
      <c r="Q261" s="135"/>
      <c r="R261" s="135"/>
      <c r="S261" s="135"/>
    </row>
    <row r="262" customFormat="false" ht="15.75" hidden="false" customHeight="true" outlineLevel="0" collapsed="false">
      <c r="A262" s="135"/>
      <c r="B262" s="135"/>
      <c r="C262" s="135"/>
      <c r="D262" s="135"/>
      <c r="E262" s="135"/>
      <c r="F262" s="182"/>
      <c r="G262" s="182"/>
      <c r="H262" s="135"/>
      <c r="I262" s="135"/>
      <c r="J262" s="135"/>
      <c r="K262" s="135"/>
      <c r="L262" s="135"/>
      <c r="M262" s="135"/>
      <c r="N262" s="135"/>
      <c r="O262" s="135"/>
      <c r="P262" s="135"/>
      <c r="Q262" s="135"/>
      <c r="R262" s="135"/>
      <c r="S262" s="135"/>
    </row>
    <row r="263" customFormat="false" ht="15.75" hidden="false" customHeight="true" outlineLevel="0" collapsed="false">
      <c r="A263" s="135"/>
      <c r="B263" s="135"/>
      <c r="C263" s="135"/>
      <c r="D263" s="135"/>
      <c r="E263" s="135"/>
      <c r="F263" s="182"/>
      <c r="G263" s="182"/>
      <c r="H263" s="135"/>
      <c r="I263" s="135"/>
      <c r="J263" s="135"/>
      <c r="K263" s="135"/>
      <c r="L263" s="135"/>
      <c r="M263" s="135"/>
      <c r="N263" s="135"/>
      <c r="O263" s="135"/>
      <c r="P263" s="135"/>
      <c r="Q263" s="135"/>
      <c r="R263" s="135"/>
      <c r="S263" s="135"/>
    </row>
    <row r="264" customFormat="false" ht="15.75" hidden="false" customHeight="true" outlineLevel="0" collapsed="false">
      <c r="A264" s="135"/>
      <c r="B264" s="135"/>
      <c r="C264" s="135"/>
      <c r="D264" s="135"/>
      <c r="E264" s="135"/>
      <c r="F264" s="182"/>
      <c r="G264" s="182"/>
      <c r="H264" s="135"/>
      <c r="I264" s="135"/>
      <c r="J264" s="135"/>
      <c r="K264" s="135"/>
      <c r="L264" s="135"/>
      <c r="M264" s="135"/>
      <c r="N264" s="135"/>
      <c r="O264" s="135"/>
      <c r="P264" s="135"/>
      <c r="Q264" s="135"/>
      <c r="R264" s="135"/>
      <c r="S264" s="135"/>
    </row>
    <row r="265" customFormat="false" ht="15.75" hidden="false" customHeight="true" outlineLevel="0" collapsed="false">
      <c r="A265" s="135"/>
      <c r="B265" s="135"/>
      <c r="C265" s="135"/>
      <c r="D265" s="135"/>
      <c r="E265" s="135"/>
      <c r="F265" s="182"/>
      <c r="G265" s="182"/>
      <c r="H265" s="135"/>
      <c r="I265" s="135"/>
      <c r="J265" s="135"/>
      <c r="K265" s="135"/>
      <c r="L265" s="135"/>
      <c r="M265" s="135"/>
      <c r="N265" s="135"/>
      <c r="O265" s="135"/>
      <c r="P265" s="135"/>
      <c r="Q265" s="135"/>
      <c r="R265" s="135"/>
      <c r="S265" s="135"/>
    </row>
    <row r="266" customFormat="false" ht="15.75" hidden="false" customHeight="true" outlineLevel="0" collapsed="false">
      <c r="A266" s="135"/>
      <c r="B266" s="135"/>
      <c r="C266" s="135"/>
      <c r="D266" s="135"/>
      <c r="E266" s="135"/>
      <c r="F266" s="182"/>
      <c r="G266" s="182"/>
      <c r="H266" s="135"/>
      <c r="I266" s="135"/>
      <c r="J266" s="135"/>
      <c r="K266" s="135"/>
      <c r="L266" s="135"/>
      <c r="M266" s="135"/>
      <c r="N266" s="135"/>
      <c r="O266" s="135"/>
      <c r="P266" s="135"/>
      <c r="Q266" s="135"/>
      <c r="R266" s="135"/>
      <c r="S266" s="135"/>
    </row>
    <row r="267" customFormat="false" ht="15.75" hidden="false" customHeight="true" outlineLevel="0" collapsed="false">
      <c r="A267" s="135"/>
      <c r="B267" s="135"/>
      <c r="C267" s="135"/>
      <c r="D267" s="135"/>
      <c r="E267" s="135"/>
      <c r="F267" s="182"/>
      <c r="G267" s="182"/>
      <c r="H267" s="135"/>
      <c r="I267" s="135"/>
      <c r="J267" s="135"/>
      <c r="K267" s="135"/>
      <c r="L267" s="135"/>
      <c r="M267" s="135"/>
      <c r="N267" s="135"/>
      <c r="O267" s="135"/>
      <c r="P267" s="135"/>
      <c r="Q267" s="135"/>
      <c r="R267" s="135"/>
      <c r="S267" s="135"/>
    </row>
    <row r="268" customFormat="false" ht="15.75" hidden="false" customHeight="true" outlineLevel="0" collapsed="false">
      <c r="A268" s="135"/>
      <c r="B268" s="135"/>
      <c r="C268" s="135"/>
      <c r="D268" s="135"/>
      <c r="E268" s="135"/>
      <c r="F268" s="182"/>
      <c r="G268" s="182"/>
      <c r="H268" s="135"/>
      <c r="I268" s="135"/>
      <c r="J268" s="135"/>
      <c r="K268" s="135"/>
      <c r="L268" s="135"/>
      <c r="M268" s="135"/>
      <c r="N268" s="135"/>
      <c r="O268" s="135"/>
      <c r="P268" s="135"/>
      <c r="Q268" s="135"/>
      <c r="R268" s="135"/>
      <c r="S268" s="135"/>
    </row>
    <row r="269" customFormat="false" ht="15.75" hidden="false" customHeight="true" outlineLevel="0" collapsed="false">
      <c r="A269" s="135"/>
      <c r="B269" s="135"/>
      <c r="C269" s="135"/>
      <c r="D269" s="135"/>
      <c r="E269" s="135"/>
      <c r="F269" s="182"/>
      <c r="G269" s="182"/>
      <c r="H269" s="135"/>
      <c r="I269" s="135"/>
      <c r="J269" s="135"/>
      <c r="K269" s="135"/>
      <c r="L269" s="135"/>
      <c r="M269" s="135"/>
      <c r="N269" s="135"/>
      <c r="O269" s="135"/>
      <c r="P269" s="135"/>
      <c r="Q269" s="135"/>
      <c r="R269" s="135"/>
      <c r="S269" s="135"/>
    </row>
    <row r="270" customFormat="false" ht="15.75" hidden="false" customHeight="true" outlineLevel="0" collapsed="false">
      <c r="A270" s="135"/>
      <c r="B270" s="135"/>
      <c r="C270" s="135"/>
      <c r="D270" s="135"/>
      <c r="E270" s="135"/>
      <c r="F270" s="182"/>
      <c r="G270" s="182"/>
      <c r="H270" s="135"/>
      <c r="I270" s="135"/>
      <c r="J270" s="135"/>
      <c r="K270" s="135"/>
      <c r="L270" s="135"/>
      <c r="M270" s="135"/>
      <c r="N270" s="135"/>
      <c r="O270" s="135"/>
      <c r="P270" s="135"/>
      <c r="Q270" s="135"/>
      <c r="R270" s="135"/>
      <c r="S270" s="135"/>
    </row>
    <row r="271" customFormat="false" ht="15.75" hidden="false" customHeight="true" outlineLevel="0" collapsed="false">
      <c r="A271" s="135"/>
      <c r="B271" s="135"/>
      <c r="C271" s="135"/>
      <c r="D271" s="135"/>
      <c r="E271" s="135"/>
      <c r="F271" s="182"/>
      <c r="G271" s="182"/>
      <c r="H271" s="135"/>
      <c r="I271" s="135"/>
      <c r="J271" s="135"/>
      <c r="K271" s="135"/>
      <c r="L271" s="135"/>
      <c r="M271" s="135"/>
      <c r="N271" s="135"/>
      <c r="O271" s="135"/>
      <c r="P271" s="135"/>
      <c r="Q271" s="135"/>
      <c r="R271" s="135"/>
      <c r="S271" s="135"/>
    </row>
    <row r="272" customFormat="false" ht="15.75" hidden="false" customHeight="true" outlineLevel="0" collapsed="false">
      <c r="A272" s="135"/>
      <c r="B272" s="135"/>
      <c r="C272" s="135"/>
      <c r="D272" s="135"/>
      <c r="E272" s="135"/>
      <c r="F272" s="182"/>
      <c r="G272" s="182"/>
      <c r="H272" s="135"/>
      <c r="I272" s="135"/>
      <c r="J272" s="135"/>
      <c r="K272" s="135"/>
      <c r="L272" s="135"/>
      <c r="M272" s="135"/>
      <c r="N272" s="135"/>
      <c r="O272" s="135"/>
      <c r="P272" s="135"/>
      <c r="Q272" s="135"/>
      <c r="R272" s="135"/>
      <c r="S272" s="135"/>
    </row>
    <row r="273" customFormat="false" ht="15.75" hidden="false" customHeight="true" outlineLevel="0" collapsed="false">
      <c r="A273" s="135"/>
      <c r="B273" s="135"/>
      <c r="C273" s="135"/>
      <c r="D273" s="135"/>
      <c r="E273" s="135"/>
      <c r="F273" s="182"/>
      <c r="G273" s="182"/>
      <c r="H273" s="135"/>
      <c r="I273" s="135"/>
      <c r="J273" s="135"/>
      <c r="K273" s="135"/>
      <c r="L273" s="135"/>
      <c r="M273" s="135"/>
      <c r="N273" s="135"/>
      <c r="O273" s="135"/>
      <c r="P273" s="135"/>
      <c r="Q273" s="135"/>
      <c r="R273" s="135"/>
      <c r="S273" s="135"/>
    </row>
    <row r="274" customFormat="false" ht="15.75" hidden="false" customHeight="true" outlineLevel="0" collapsed="false">
      <c r="A274" s="135"/>
      <c r="B274" s="135"/>
      <c r="C274" s="135"/>
      <c r="D274" s="135"/>
      <c r="E274" s="135"/>
      <c r="F274" s="182"/>
      <c r="G274" s="182"/>
      <c r="H274" s="135"/>
      <c r="I274" s="135"/>
      <c r="J274" s="135"/>
      <c r="K274" s="135"/>
      <c r="L274" s="135"/>
      <c r="M274" s="135"/>
      <c r="N274" s="135"/>
      <c r="O274" s="135"/>
      <c r="P274" s="135"/>
      <c r="Q274" s="135"/>
      <c r="R274" s="135"/>
      <c r="S274" s="135"/>
    </row>
    <row r="275" customFormat="false" ht="15.75" hidden="false" customHeight="true" outlineLevel="0" collapsed="false">
      <c r="A275" s="135"/>
      <c r="B275" s="135"/>
      <c r="C275" s="135"/>
      <c r="D275" s="135"/>
      <c r="E275" s="135"/>
      <c r="F275" s="182"/>
      <c r="G275" s="182"/>
      <c r="H275" s="135"/>
      <c r="I275" s="135"/>
      <c r="J275" s="135"/>
      <c r="K275" s="135"/>
      <c r="L275" s="135"/>
      <c r="M275" s="135"/>
      <c r="N275" s="135"/>
      <c r="O275" s="135"/>
      <c r="P275" s="135"/>
      <c r="Q275" s="135"/>
      <c r="R275" s="135"/>
      <c r="S275" s="135"/>
    </row>
    <row r="276" customFormat="false" ht="15.75" hidden="false" customHeight="true" outlineLevel="0" collapsed="false">
      <c r="A276" s="135"/>
      <c r="B276" s="135"/>
      <c r="C276" s="135"/>
      <c r="D276" s="135"/>
      <c r="E276" s="135"/>
      <c r="F276" s="182"/>
      <c r="G276" s="182"/>
      <c r="H276" s="135"/>
      <c r="I276" s="135"/>
      <c r="J276" s="135"/>
      <c r="K276" s="135"/>
      <c r="L276" s="135"/>
      <c r="M276" s="135"/>
      <c r="N276" s="135"/>
      <c r="O276" s="135"/>
      <c r="P276" s="135"/>
      <c r="Q276" s="135"/>
      <c r="R276" s="135"/>
      <c r="S276" s="135"/>
    </row>
    <row r="277" customFormat="false" ht="15.75" hidden="false" customHeight="true" outlineLevel="0" collapsed="false">
      <c r="A277" s="135"/>
      <c r="B277" s="135"/>
      <c r="C277" s="135"/>
      <c r="D277" s="135"/>
      <c r="E277" s="135"/>
      <c r="F277" s="182"/>
      <c r="G277" s="182"/>
      <c r="H277" s="135"/>
      <c r="I277" s="135"/>
      <c r="J277" s="135"/>
      <c r="K277" s="135"/>
      <c r="L277" s="135"/>
      <c r="M277" s="135"/>
      <c r="N277" s="135"/>
      <c r="O277" s="135"/>
      <c r="P277" s="135"/>
      <c r="Q277" s="135"/>
      <c r="R277" s="135"/>
      <c r="S277" s="135"/>
    </row>
    <row r="278" customFormat="false" ht="15.75" hidden="false" customHeight="true" outlineLevel="0" collapsed="false">
      <c r="A278" s="135"/>
      <c r="B278" s="135"/>
      <c r="C278" s="135"/>
      <c r="D278" s="135"/>
      <c r="E278" s="135"/>
      <c r="F278" s="182"/>
      <c r="G278" s="182"/>
      <c r="H278" s="135"/>
      <c r="I278" s="135"/>
      <c r="J278" s="135"/>
      <c r="K278" s="135"/>
      <c r="L278" s="135"/>
      <c r="M278" s="135"/>
      <c r="N278" s="135"/>
      <c r="O278" s="135"/>
      <c r="P278" s="135"/>
      <c r="Q278" s="135"/>
      <c r="R278" s="135"/>
      <c r="S278" s="135"/>
    </row>
    <row r="279" customFormat="false" ht="15.75" hidden="false" customHeight="true" outlineLevel="0" collapsed="false">
      <c r="A279" s="135"/>
      <c r="B279" s="135"/>
      <c r="C279" s="135"/>
      <c r="D279" s="135"/>
      <c r="E279" s="135"/>
      <c r="F279" s="182"/>
      <c r="G279" s="182"/>
      <c r="H279" s="135"/>
      <c r="I279" s="135"/>
      <c r="J279" s="135"/>
      <c r="K279" s="135"/>
      <c r="L279" s="135"/>
      <c r="M279" s="135"/>
      <c r="N279" s="135"/>
      <c r="O279" s="135"/>
      <c r="P279" s="135"/>
      <c r="Q279" s="135"/>
      <c r="R279" s="135"/>
      <c r="S279" s="135"/>
    </row>
    <row r="280" customFormat="false" ht="15.75" hidden="false" customHeight="true" outlineLevel="0" collapsed="false">
      <c r="A280" s="135"/>
      <c r="B280" s="135"/>
      <c r="C280" s="135"/>
      <c r="D280" s="135"/>
      <c r="E280" s="135"/>
      <c r="F280" s="182"/>
      <c r="G280" s="182"/>
      <c r="H280" s="135"/>
      <c r="I280" s="135"/>
      <c r="J280" s="135"/>
      <c r="K280" s="135"/>
      <c r="L280" s="135"/>
      <c r="M280" s="135"/>
      <c r="N280" s="135"/>
      <c r="O280" s="135"/>
      <c r="P280" s="135"/>
      <c r="Q280" s="135"/>
      <c r="R280" s="135"/>
      <c r="S280" s="135"/>
    </row>
    <row r="281" customFormat="false" ht="15.75" hidden="false" customHeight="true" outlineLevel="0" collapsed="false">
      <c r="A281" s="135"/>
      <c r="B281" s="135"/>
      <c r="C281" s="135"/>
      <c r="D281" s="135"/>
      <c r="E281" s="135"/>
      <c r="F281" s="182"/>
      <c r="G281" s="182"/>
      <c r="H281" s="135"/>
      <c r="I281" s="135"/>
      <c r="J281" s="135"/>
      <c r="K281" s="135"/>
      <c r="L281" s="135"/>
      <c r="M281" s="135"/>
      <c r="N281" s="135"/>
      <c r="O281" s="135"/>
      <c r="P281" s="135"/>
      <c r="Q281" s="135"/>
      <c r="R281" s="135"/>
      <c r="S281" s="135"/>
    </row>
    <row r="282" customFormat="false" ht="15.75" hidden="false" customHeight="true" outlineLevel="0" collapsed="false">
      <c r="A282" s="135"/>
      <c r="B282" s="135"/>
      <c r="C282" s="135"/>
      <c r="D282" s="135"/>
      <c r="E282" s="135"/>
      <c r="F282" s="182"/>
      <c r="G282" s="182"/>
      <c r="H282" s="135"/>
      <c r="I282" s="135"/>
      <c r="J282" s="135"/>
      <c r="K282" s="135"/>
      <c r="L282" s="135"/>
      <c r="M282" s="135"/>
      <c r="N282" s="135"/>
      <c r="O282" s="135"/>
      <c r="P282" s="135"/>
      <c r="Q282" s="135"/>
      <c r="R282" s="135"/>
      <c r="S282" s="135"/>
    </row>
    <row r="283" customFormat="false" ht="15.75" hidden="false" customHeight="true" outlineLevel="0" collapsed="false">
      <c r="A283" s="135"/>
      <c r="B283" s="135"/>
      <c r="C283" s="135"/>
      <c r="D283" s="135"/>
      <c r="E283" s="135"/>
      <c r="F283" s="182"/>
      <c r="G283" s="182"/>
      <c r="H283" s="135"/>
      <c r="I283" s="135"/>
      <c r="J283" s="135"/>
      <c r="K283" s="135"/>
      <c r="L283" s="135"/>
      <c r="M283" s="135"/>
      <c r="N283" s="135"/>
      <c r="O283" s="135"/>
      <c r="P283" s="135"/>
      <c r="Q283" s="135"/>
      <c r="R283" s="135"/>
      <c r="S283" s="135"/>
    </row>
    <row r="284" customFormat="false" ht="15.75" hidden="false" customHeight="true" outlineLevel="0" collapsed="false">
      <c r="A284" s="135"/>
      <c r="B284" s="135"/>
      <c r="C284" s="135"/>
      <c r="D284" s="135"/>
      <c r="E284" s="135"/>
      <c r="F284" s="182"/>
      <c r="G284" s="182"/>
      <c r="H284" s="135"/>
      <c r="I284" s="135"/>
      <c r="J284" s="135"/>
      <c r="K284" s="135"/>
      <c r="L284" s="135"/>
      <c r="M284" s="135"/>
      <c r="N284" s="135"/>
      <c r="O284" s="135"/>
      <c r="P284" s="135"/>
      <c r="Q284" s="135"/>
      <c r="R284" s="135"/>
      <c r="S284" s="135"/>
    </row>
    <row r="285" customFormat="false" ht="15.75" hidden="false" customHeight="true" outlineLevel="0" collapsed="false">
      <c r="A285" s="135"/>
      <c r="B285" s="135"/>
      <c r="C285" s="135"/>
      <c r="D285" s="135"/>
      <c r="E285" s="135"/>
      <c r="F285" s="182"/>
      <c r="G285" s="182"/>
      <c r="H285" s="135"/>
      <c r="I285" s="135"/>
      <c r="J285" s="135"/>
      <c r="K285" s="135"/>
      <c r="L285" s="135"/>
      <c r="M285" s="135"/>
      <c r="N285" s="135"/>
      <c r="O285" s="135"/>
      <c r="P285" s="135"/>
      <c r="Q285" s="135"/>
      <c r="R285" s="135"/>
      <c r="S285" s="135"/>
    </row>
    <row r="286" customFormat="false" ht="15.75" hidden="false" customHeight="true" outlineLevel="0" collapsed="false">
      <c r="A286" s="135"/>
      <c r="B286" s="135"/>
      <c r="C286" s="135"/>
      <c r="D286" s="135"/>
      <c r="E286" s="135"/>
      <c r="F286" s="182"/>
      <c r="G286" s="182"/>
      <c r="H286" s="135"/>
      <c r="I286" s="135"/>
      <c r="J286" s="135"/>
      <c r="K286" s="135"/>
      <c r="L286" s="135"/>
      <c r="M286" s="135"/>
      <c r="N286" s="135"/>
      <c r="O286" s="135"/>
      <c r="P286" s="135"/>
      <c r="Q286" s="135"/>
      <c r="R286" s="135"/>
      <c r="S286" s="135"/>
    </row>
    <row r="287" customFormat="false" ht="15.75" hidden="false" customHeight="true" outlineLevel="0" collapsed="false">
      <c r="A287" s="135"/>
      <c r="B287" s="135"/>
      <c r="C287" s="135"/>
      <c r="D287" s="135"/>
      <c r="E287" s="135"/>
      <c r="F287" s="182"/>
      <c r="G287" s="182"/>
      <c r="H287" s="135"/>
      <c r="I287" s="135"/>
      <c r="J287" s="135"/>
      <c r="K287" s="135"/>
      <c r="L287" s="135"/>
      <c r="M287" s="135"/>
      <c r="N287" s="135"/>
      <c r="O287" s="135"/>
      <c r="P287" s="135"/>
      <c r="Q287" s="135"/>
      <c r="R287" s="135"/>
      <c r="S287" s="135"/>
    </row>
    <row r="288" customFormat="false" ht="15.75" hidden="false" customHeight="true" outlineLevel="0" collapsed="false">
      <c r="A288" s="135"/>
      <c r="B288" s="135"/>
      <c r="C288" s="135"/>
      <c r="D288" s="135"/>
      <c r="E288" s="135"/>
      <c r="F288" s="182"/>
      <c r="G288" s="182"/>
      <c r="H288" s="135"/>
      <c r="I288" s="135"/>
      <c r="J288" s="135"/>
      <c r="K288" s="135"/>
      <c r="L288" s="135"/>
      <c r="M288" s="135"/>
      <c r="N288" s="135"/>
      <c r="O288" s="135"/>
      <c r="P288" s="135"/>
      <c r="Q288" s="135"/>
      <c r="R288" s="135"/>
      <c r="S288" s="135"/>
    </row>
    <row r="289" customFormat="false" ht="15.75" hidden="false" customHeight="true" outlineLevel="0" collapsed="false">
      <c r="A289" s="135"/>
      <c r="B289" s="135"/>
      <c r="C289" s="135"/>
      <c r="D289" s="135"/>
      <c r="E289" s="135"/>
      <c r="F289" s="182"/>
      <c r="G289" s="182"/>
      <c r="H289" s="135"/>
      <c r="I289" s="135"/>
      <c r="J289" s="135"/>
      <c r="K289" s="135"/>
      <c r="L289" s="135"/>
      <c r="M289" s="135"/>
      <c r="N289" s="135"/>
      <c r="O289" s="135"/>
      <c r="P289" s="135"/>
      <c r="Q289" s="135"/>
      <c r="R289" s="135"/>
      <c r="S289" s="135"/>
    </row>
    <row r="290" customFormat="false" ht="15.75" hidden="false" customHeight="true" outlineLevel="0" collapsed="false">
      <c r="A290" s="135"/>
      <c r="B290" s="135"/>
      <c r="C290" s="135"/>
      <c r="D290" s="135"/>
      <c r="E290" s="135"/>
      <c r="F290" s="182"/>
      <c r="G290" s="182"/>
      <c r="H290" s="135"/>
      <c r="I290" s="135"/>
      <c r="J290" s="135"/>
      <c r="K290" s="135"/>
      <c r="L290" s="135"/>
      <c r="M290" s="135"/>
      <c r="N290" s="135"/>
      <c r="O290" s="135"/>
      <c r="P290" s="135"/>
      <c r="Q290" s="135"/>
      <c r="R290" s="135"/>
      <c r="S290" s="135"/>
    </row>
    <row r="291" customFormat="false" ht="15.75" hidden="false" customHeight="true" outlineLevel="0" collapsed="false">
      <c r="A291" s="135"/>
      <c r="B291" s="135"/>
      <c r="C291" s="135"/>
      <c r="D291" s="135"/>
      <c r="E291" s="135"/>
      <c r="F291" s="182"/>
      <c r="G291" s="182"/>
      <c r="H291" s="135"/>
      <c r="I291" s="135"/>
      <c r="J291" s="135"/>
      <c r="K291" s="135"/>
      <c r="L291" s="135"/>
      <c r="M291" s="135"/>
      <c r="N291" s="135"/>
      <c r="O291" s="135"/>
      <c r="P291" s="135"/>
      <c r="Q291" s="135"/>
      <c r="R291" s="135"/>
      <c r="S291" s="135"/>
    </row>
    <row r="292" customFormat="false" ht="15.75" hidden="false" customHeight="true" outlineLevel="0" collapsed="false">
      <c r="A292" s="135"/>
      <c r="B292" s="135"/>
      <c r="C292" s="135"/>
      <c r="D292" s="135"/>
      <c r="E292" s="135"/>
      <c r="F292" s="182"/>
      <c r="G292" s="182"/>
      <c r="H292" s="135"/>
      <c r="I292" s="135"/>
      <c r="J292" s="135"/>
      <c r="K292" s="135"/>
      <c r="L292" s="135"/>
      <c r="M292" s="135"/>
      <c r="N292" s="135"/>
      <c r="O292" s="135"/>
      <c r="P292" s="135"/>
      <c r="Q292" s="135"/>
      <c r="R292" s="135"/>
      <c r="S292" s="135"/>
    </row>
    <row r="293" customFormat="false" ht="15.75" hidden="false" customHeight="true" outlineLevel="0" collapsed="false">
      <c r="A293" s="135"/>
      <c r="B293" s="135"/>
      <c r="C293" s="135"/>
      <c r="D293" s="135"/>
      <c r="E293" s="135"/>
      <c r="F293" s="182"/>
      <c r="G293" s="182"/>
      <c r="H293" s="135"/>
      <c r="I293" s="135"/>
      <c r="J293" s="135"/>
      <c r="K293" s="135"/>
      <c r="L293" s="135"/>
      <c r="M293" s="135"/>
      <c r="N293" s="135"/>
      <c r="O293" s="135"/>
      <c r="P293" s="135"/>
      <c r="Q293" s="135"/>
      <c r="R293" s="135"/>
      <c r="S293" s="135"/>
    </row>
    <row r="294" customFormat="false" ht="15.75" hidden="false" customHeight="true" outlineLevel="0" collapsed="false">
      <c r="A294" s="135"/>
      <c r="B294" s="135"/>
      <c r="C294" s="135"/>
      <c r="D294" s="135"/>
      <c r="E294" s="135"/>
      <c r="F294" s="182"/>
      <c r="G294" s="182"/>
      <c r="H294" s="135"/>
      <c r="I294" s="135"/>
      <c r="J294" s="135"/>
      <c r="K294" s="135"/>
      <c r="L294" s="135"/>
      <c r="M294" s="135"/>
      <c r="N294" s="135"/>
      <c r="O294" s="135"/>
      <c r="P294" s="135"/>
      <c r="Q294" s="135"/>
      <c r="R294" s="135"/>
      <c r="S294" s="135"/>
    </row>
    <row r="295" customFormat="false" ht="15.75" hidden="false" customHeight="true" outlineLevel="0" collapsed="false">
      <c r="A295" s="135"/>
      <c r="B295" s="135"/>
      <c r="C295" s="135"/>
      <c r="D295" s="135"/>
      <c r="E295" s="135"/>
      <c r="F295" s="182"/>
      <c r="G295" s="182"/>
      <c r="H295" s="135"/>
      <c r="I295" s="135"/>
      <c r="J295" s="135"/>
      <c r="K295" s="135"/>
      <c r="L295" s="135"/>
      <c r="M295" s="135"/>
      <c r="N295" s="135"/>
      <c r="O295" s="135"/>
      <c r="P295" s="135"/>
      <c r="Q295" s="135"/>
      <c r="R295" s="135"/>
      <c r="S295" s="135"/>
    </row>
    <row r="296" customFormat="false" ht="15.75" hidden="false" customHeight="true" outlineLevel="0" collapsed="false">
      <c r="A296" s="135"/>
      <c r="B296" s="135"/>
      <c r="C296" s="135"/>
      <c r="D296" s="135"/>
      <c r="E296" s="135"/>
      <c r="F296" s="182"/>
      <c r="G296" s="182"/>
      <c r="H296" s="135"/>
      <c r="I296" s="135"/>
      <c r="J296" s="135"/>
      <c r="K296" s="135"/>
      <c r="L296" s="135"/>
      <c r="M296" s="135"/>
      <c r="N296" s="135"/>
      <c r="O296" s="135"/>
      <c r="P296" s="135"/>
      <c r="Q296" s="135"/>
      <c r="R296" s="135"/>
      <c r="S296" s="135"/>
    </row>
    <row r="297" customFormat="false" ht="15.75" hidden="false" customHeight="true" outlineLevel="0" collapsed="false">
      <c r="A297" s="135"/>
      <c r="B297" s="135"/>
      <c r="C297" s="135"/>
      <c r="D297" s="135"/>
      <c r="E297" s="135"/>
      <c r="F297" s="182"/>
      <c r="G297" s="182"/>
      <c r="H297" s="135"/>
      <c r="I297" s="135"/>
      <c r="J297" s="135"/>
      <c r="K297" s="135"/>
      <c r="L297" s="135"/>
      <c r="M297" s="135"/>
      <c r="N297" s="135"/>
      <c r="O297" s="135"/>
      <c r="P297" s="135"/>
      <c r="Q297" s="135"/>
      <c r="R297" s="135"/>
      <c r="S297" s="135"/>
    </row>
    <row r="298" customFormat="false" ht="15.75" hidden="false" customHeight="true" outlineLevel="0" collapsed="false">
      <c r="A298" s="135"/>
      <c r="B298" s="135"/>
      <c r="C298" s="135"/>
      <c r="D298" s="135"/>
      <c r="E298" s="135"/>
      <c r="F298" s="182"/>
      <c r="G298" s="182"/>
      <c r="H298" s="135"/>
      <c r="I298" s="135"/>
      <c r="J298" s="135"/>
      <c r="K298" s="135"/>
      <c r="L298" s="135"/>
      <c r="M298" s="135"/>
      <c r="N298" s="135"/>
      <c r="O298" s="135"/>
      <c r="P298" s="135"/>
      <c r="Q298" s="135"/>
      <c r="R298" s="135"/>
      <c r="S298" s="135"/>
    </row>
    <row r="299" customFormat="false" ht="15.75" hidden="false" customHeight="true" outlineLevel="0" collapsed="false">
      <c r="A299" s="135"/>
      <c r="B299" s="135"/>
      <c r="C299" s="135"/>
      <c r="D299" s="135"/>
      <c r="E299" s="135"/>
      <c r="F299" s="182"/>
      <c r="G299" s="182"/>
      <c r="H299" s="135"/>
      <c r="I299" s="135"/>
      <c r="J299" s="135"/>
      <c r="K299" s="135"/>
      <c r="L299" s="135"/>
      <c r="M299" s="135"/>
      <c r="N299" s="135"/>
      <c r="O299" s="135"/>
      <c r="P299" s="135"/>
      <c r="Q299" s="135"/>
      <c r="R299" s="135"/>
      <c r="S299" s="135"/>
    </row>
    <row r="300" customFormat="false" ht="15.75" hidden="false" customHeight="true" outlineLevel="0" collapsed="false">
      <c r="A300" s="135"/>
      <c r="B300" s="135"/>
      <c r="C300" s="135"/>
      <c r="D300" s="135"/>
      <c r="E300" s="135"/>
      <c r="F300" s="182"/>
      <c r="G300" s="182"/>
      <c r="H300" s="135"/>
      <c r="I300" s="135"/>
      <c r="J300" s="135"/>
      <c r="K300" s="135"/>
      <c r="L300" s="135"/>
      <c r="M300" s="135"/>
      <c r="N300" s="135"/>
      <c r="O300" s="135"/>
      <c r="P300" s="135"/>
      <c r="Q300" s="135"/>
      <c r="R300" s="135"/>
      <c r="S300" s="135"/>
    </row>
    <row r="301" customFormat="false" ht="15.75" hidden="false" customHeight="true" outlineLevel="0" collapsed="false">
      <c r="A301" s="135"/>
      <c r="B301" s="135"/>
      <c r="C301" s="135"/>
      <c r="D301" s="135"/>
      <c r="E301" s="135"/>
      <c r="F301" s="182"/>
      <c r="G301" s="182"/>
      <c r="H301" s="135"/>
      <c r="I301" s="135"/>
      <c r="J301" s="135"/>
      <c r="K301" s="135"/>
      <c r="L301" s="135"/>
      <c r="M301" s="135"/>
      <c r="N301" s="135"/>
      <c r="O301" s="135"/>
      <c r="P301" s="135"/>
      <c r="Q301" s="135"/>
      <c r="R301" s="135"/>
      <c r="S301" s="135"/>
    </row>
    <row r="302" customFormat="false" ht="15.75" hidden="false" customHeight="true" outlineLevel="0" collapsed="false">
      <c r="A302" s="135"/>
      <c r="B302" s="135"/>
      <c r="C302" s="135"/>
      <c r="D302" s="135"/>
      <c r="E302" s="135"/>
      <c r="F302" s="182"/>
      <c r="G302" s="182"/>
      <c r="H302" s="135"/>
      <c r="I302" s="135"/>
      <c r="J302" s="135"/>
      <c r="K302" s="135"/>
      <c r="L302" s="135"/>
      <c r="M302" s="135"/>
      <c r="N302" s="135"/>
      <c r="O302" s="135"/>
      <c r="P302" s="135"/>
      <c r="Q302" s="135"/>
      <c r="R302" s="135"/>
      <c r="S302" s="135"/>
    </row>
    <row r="303" customFormat="false" ht="15.75" hidden="false" customHeight="true" outlineLevel="0" collapsed="false">
      <c r="A303" s="135"/>
      <c r="B303" s="135"/>
      <c r="C303" s="135"/>
      <c r="D303" s="135"/>
      <c r="E303" s="135"/>
      <c r="F303" s="182"/>
      <c r="G303" s="182"/>
      <c r="H303" s="135"/>
      <c r="I303" s="135"/>
      <c r="J303" s="135"/>
      <c r="K303" s="135"/>
      <c r="L303" s="135"/>
      <c r="M303" s="135"/>
      <c r="N303" s="135"/>
      <c r="O303" s="135"/>
      <c r="P303" s="135"/>
      <c r="Q303" s="135"/>
      <c r="R303" s="135"/>
      <c r="S303" s="135"/>
    </row>
    <row r="304" customFormat="false" ht="15.75" hidden="false" customHeight="true" outlineLevel="0" collapsed="false">
      <c r="A304" s="135"/>
      <c r="B304" s="135"/>
      <c r="C304" s="135"/>
      <c r="D304" s="135"/>
      <c r="E304" s="135"/>
      <c r="F304" s="182"/>
      <c r="G304" s="182"/>
      <c r="H304" s="135"/>
      <c r="I304" s="135"/>
      <c r="J304" s="135"/>
      <c r="K304" s="135"/>
      <c r="L304" s="135"/>
      <c r="M304" s="135"/>
      <c r="N304" s="135"/>
      <c r="O304" s="135"/>
      <c r="P304" s="135"/>
      <c r="Q304" s="135"/>
      <c r="R304" s="135"/>
      <c r="S304" s="135"/>
    </row>
    <row r="305" customFormat="false" ht="15.75" hidden="false" customHeight="true" outlineLevel="0" collapsed="false">
      <c r="A305" s="135"/>
      <c r="B305" s="135"/>
      <c r="C305" s="135"/>
      <c r="D305" s="135"/>
      <c r="E305" s="135"/>
      <c r="F305" s="182"/>
      <c r="G305" s="182"/>
      <c r="H305" s="135"/>
      <c r="I305" s="135"/>
      <c r="J305" s="135"/>
      <c r="K305" s="135"/>
      <c r="L305" s="135"/>
      <c r="M305" s="135"/>
      <c r="N305" s="135"/>
      <c r="O305" s="135"/>
      <c r="P305" s="135"/>
      <c r="Q305" s="135"/>
      <c r="R305" s="135"/>
      <c r="S305" s="135"/>
    </row>
    <row r="306" customFormat="false" ht="15.75" hidden="false" customHeight="true" outlineLevel="0" collapsed="false">
      <c r="A306" s="135"/>
      <c r="B306" s="135"/>
      <c r="C306" s="135"/>
      <c r="D306" s="135"/>
      <c r="E306" s="135"/>
      <c r="F306" s="182"/>
      <c r="G306" s="182"/>
      <c r="H306" s="135"/>
      <c r="I306" s="135"/>
      <c r="J306" s="135"/>
      <c r="K306" s="135"/>
      <c r="L306" s="135"/>
      <c r="M306" s="135"/>
      <c r="N306" s="135"/>
      <c r="O306" s="135"/>
      <c r="P306" s="135"/>
      <c r="Q306" s="135"/>
      <c r="R306" s="135"/>
      <c r="S306" s="135"/>
    </row>
    <row r="307" customFormat="false" ht="15.75" hidden="false" customHeight="true" outlineLevel="0" collapsed="false">
      <c r="A307" s="135"/>
      <c r="B307" s="135"/>
      <c r="C307" s="135"/>
      <c r="D307" s="135"/>
      <c r="E307" s="135"/>
      <c r="F307" s="182"/>
      <c r="G307" s="182"/>
      <c r="H307" s="135"/>
      <c r="I307" s="135"/>
      <c r="J307" s="135"/>
      <c r="K307" s="135"/>
      <c r="L307" s="135"/>
      <c r="M307" s="135"/>
      <c r="N307" s="135"/>
      <c r="O307" s="135"/>
      <c r="P307" s="135"/>
      <c r="Q307" s="135"/>
      <c r="R307" s="135"/>
      <c r="S307" s="135"/>
    </row>
    <row r="308" customFormat="false" ht="15.75" hidden="false" customHeight="true" outlineLevel="0" collapsed="false">
      <c r="A308" s="135"/>
      <c r="B308" s="135"/>
      <c r="C308" s="135"/>
      <c r="D308" s="135"/>
      <c r="E308" s="135"/>
      <c r="F308" s="182"/>
      <c r="G308" s="182"/>
      <c r="H308" s="135"/>
      <c r="I308" s="135"/>
      <c r="J308" s="135"/>
      <c r="K308" s="135"/>
      <c r="L308" s="135"/>
      <c r="M308" s="135"/>
      <c r="N308" s="135"/>
      <c r="O308" s="135"/>
      <c r="P308" s="135"/>
      <c r="Q308" s="135"/>
      <c r="R308" s="135"/>
      <c r="S308" s="135"/>
    </row>
    <row r="309" customFormat="false" ht="15.75" hidden="false" customHeight="true" outlineLevel="0" collapsed="false">
      <c r="A309" s="135"/>
      <c r="B309" s="135"/>
      <c r="C309" s="135"/>
      <c r="D309" s="135"/>
      <c r="E309" s="135"/>
      <c r="F309" s="182"/>
      <c r="G309" s="182"/>
      <c r="H309" s="135"/>
      <c r="I309" s="135"/>
      <c r="J309" s="135"/>
      <c r="K309" s="135"/>
      <c r="L309" s="135"/>
      <c r="M309" s="135"/>
      <c r="N309" s="135"/>
      <c r="O309" s="135"/>
      <c r="P309" s="135"/>
      <c r="Q309" s="135"/>
      <c r="R309" s="135"/>
      <c r="S309" s="135"/>
    </row>
    <row r="310" customFormat="false" ht="15.75" hidden="false" customHeight="true" outlineLevel="0" collapsed="false">
      <c r="A310" s="135"/>
      <c r="B310" s="135"/>
      <c r="C310" s="135"/>
      <c r="D310" s="135"/>
      <c r="E310" s="135"/>
      <c r="F310" s="182"/>
      <c r="G310" s="182"/>
      <c r="H310" s="135"/>
      <c r="I310" s="135"/>
      <c r="J310" s="135"/>
      <c r="K310" s="135"/>
      <c r="L310" s="135"/>
      <c r="M310" s="135"/>
      <c r="N310" s="135"/>
      <c r="O310" s="135"/>
      <c r="P310" s="135"/>
      <c r="Q310" s="135"/>
      <c r="R310" s="135"/>
      <c r="S310" s="135"/>
    </row>
    <row r="311" customFormat="false" ht="15.75" hidden="false" customHeight="true" outlineLevel="0" collapsed="false">
      <c r="A311" s="135"/>
      <c r="B311" s="135"/>
      <c r="C311" s="135"/>
      <c r="D311" s="135"/>
      <c r="E311" s="135"/>
      <c r="F311" s="182"/>
      <c r="G311" s="182"/>
      <c r="H311" s="135"/>
      <c r="I311" s="135"/>
      <c r="J311" s="135"/>
      <c r="K311" s="135"/>
      <c r="L311" s="135"/>
      <c r="M311" s="135"/>
      <c r="N311" s="135"/>
      <c r="O311" s="135"/>
      <c r="P311" s="135"/>
      <c r="Q311" s="135"/>
      <c r="R311" s="135"/>
      <c r="S311" s="135"/>
    </row>
    <row r="312" customFormat="false" ht="15.75" hidden="false" customHeight="true" outlineLevel="0" collapsed="false">
      <c r="A312" s="135"/>
      <c r="B312" s="135"/>
      <c r="C312" s="135"/>
      <c r="D312" s="135"/>
      <c r="E312" s="135"/>
      <c r="F312" s="182"/>
      <c r="G312" s="182"/>
      <c r="H312" s="135"/>
      <c r="I312" s="135"/>
      <c r="J312" s="135"/>
      <c r="K312" s="135"/>
      <c r="L312" s="135"/>
      <c r="M312" s="135"/>
      <c r="N312" s="135"/>
      <c r="O312" s="135"/>
      <c r="P312" s="135"/>
      <c r="Q312" s="135"/>
      <c r="R312" s="135"/>
      <c r="S312" s="135"/>
    </row>
    <row r="313" customFormat="false" ht="15.75" hidden="false" customHeight="true" outlineLevel="0" collapsed="false">
      <c r="A313" s="135"/>
      <c r="B313" s="135"/>
      <c r="C313" s="135"/>
      <c r="D313" s="135"/>
      <c r="E313" s="135"/>
      <c r="F313" s="182"/>
      <c r="G313" s="182"/>
      <c r="H313" s="135"/>
      <c r="I313" s="135"/>
      <c r="J313" s="135"/>
      <c r="K313" s="135"/>
      <c r="L313" s="135"/>
      <c r="M313" s="135"/>
      <c r="N313" s="135"/>
      <c r="O313" s="135"/>
      <c r="P313" s="135"/>
      <c r="Q313" s="135"/>
      <c r="R313" s="135"/>
      <c r="S313" s="135"/>
    </row>
    <row r="314" customFormat="false" ht="15.75" hidden="false" customHeight="true" outlineLevel="0" collapsed="false">
      <c r="A314" s="135"/>
      <c r="B314" s="135"/>
      <c r="C314" s="135"/>
      <c r="D314" s="135"/>
      <c r="E314" s="135"/>
      <c r="F314" s="182"/>
      <c r="G314" s="182"/>
      <c r="H314" s="135"/>
      <c r="I314" s="135"/>
      <c r="J314" s="135"/>
      <c r="K314" s="135"/>
      <c r="L314" s="135"/>
      <c r="M314" s="135"/>
      <c r="N314" s="135"/>
      <c r="O314" s="135"/>
      <c r="P314" s="135"/>
      <c r="Q314" s="135"/>
      <c r="R314" s="135"/>
      <c r="S314" s="135"/>
    </row>
    <row r="315" customFormat="false" ht="15.75" hidden="false" customHeight="true" outlineLevel="0" collapsed="false">
      <c r="A315" s="135"/>
      <c r="B315" s="135"/>
      <c r="C315" s="135"/>
      <c r="D315" s="135"/>
      <c r="E315" s="135"/>
      <c r="F315" s="182"/>
      <c r="G315" s="182"/>
      <c r="H315" s="135"/>
      <c r="I315" s="135"/>
      <c r="J315" s="135"/>
      <c r="K315" s="135"/>
      <c r="L315" s="135"/>
      <c r="M315" s="135"/>
      <c r="N315" s="135"/>
      <c r="O315" s="135"/>
      <c r="P315" s="135"/>
      <c r="Q315" s="135"/>
      <c r="R315" s="135"/>
      <c r="S315" s="135"/>
    </row>
    <row r="316" customFormat="false" ht="15.75" hidden="false" customHeight="true" outlineLevel="0" collapsed="false">
      <c r="A316" s="135"/>
      <c r="B316" s="135"/>
      <c r="C316" s="135"/>
      <c r="D316" s="135"/>
      <c r="E316" s="135"/>
      <c r="F316" s="182"/>
      <c r="G316" s="182"/>
      <c r="H316" s="135"/>
      <c r="I316" s="135"/>
      <c r="J316" s="135"/>
      <c r="K316" s="135"/>
      <c r="L316" s="135"/>
      <c r="M316" s="135"/>
      <c r="N316" s="135"/>
      <c r="O316" s="135"/>
      <c r="P316" s="135"/>
      <c r="Q316" s="135"/>
      <c r="R316" s="135"/>
      <c r="S316" s="135"/>
    </row>
    <row r="317" customFormat="false" ht="15.75" hidden="false" customHeight="true" outlineLevel="0" collapsed="false">
      <c r="A317" s="135"/>
      <c r="B317" s="135"/>
      <c r="C317" s="135"/>
      <c r="D317" s="135"/>
      <c r="E317" s="135"/>
      <c r="F317" s="182"/>
      <c r="G317" s="182"/>
      <c r="H317" s="135"/>
      <c r="I317" s="135"/>
      <c r="J317" s="135"/>
      <c r="K317" s="135"/>
      <c r="L317" s="135"/>
      <c r="M317" s="135"/>
      <c r="N317" s="135"/>
      <c r="O317" s="135"/>
      <c r="P317" s="135"/>
      <c r="Q317" s="135"/>
      <c r="R317" s="135"/>
      <c r="S317" s="135"/>
    </row>
    <row r="318" customFormat="false" ht="15.75" hidden="false" customHeight="true" outlineLevel="0" collapsed="false">
      <c r="A318" s="135"/>
      <c r="B318" s="135"/>
      <c r="C318" s="135"/>
      <c r="D318" s="135"/>
      <c r="E318" s="135"/>
      <c r="F318" s="182"/>
      <c r="G318" s="182"/>
      <c r="H318" s="135"/>
      <c r="I318" s="135"/>
      <c r="J318" s="135"/>
      <c r="K318" s="135"/>
      <c r="L318" s="135"/>
      <c r="M318" s="135"/>
      <c r="N318" s="135"/>
      <c r="O318" s="135"/>
      <c r="P318" s="135"/>
      <c r="Q318" s="135"/>
      <c r="R318" s="135"/>
      <c r="S318" s="135"/>
    </row>
    <row r="319" customFormat="false" ht="15.75" hidden="false" customHeight="true" outlineLevel="0" collapsed="false">
      <c r="A319" s="135"/>
      <c r="B319" s="135"/>
      <c r="C319" s="135"/>
      <c r="D319" s="135"/>
      <c r="E319" s="135"/>
      <c r="F319" s="182"/>
      <c r="G319" s="182"/>
      <c r="H319" s="135"/>
      <c r="I319" s="135"/>
      <c r="J319" s="135"/>
      <c r="K319" s="135"/>
      <c r="L319" s="135"/>
      <c r="M319" s="135"/>
      <c r="N319" s="135"/>
      <c r="O319" s="135"/>
      <c r="P319" s="135"/>
      <c r="Q319" s="135"/>
      <c r="R319" s="135"/>
      <c r="S319" s="135"/>
    </row>
    <row r="320" customFormat="false" ht="15.75" hidden="false" customHeight="true" outlineLevel="0" collapsed="false">
      <c r="A320" s="135"/>
      <c r="B320" s="135"/>
      <c r="C320" s="135"/>
      <c r="D320" s="135"/>
      <c r="E320" s="135"/>
      <c r="F320" s="182"/>
      <c r="G320" s="182"/>
      <c r="H320" s="135"/>
      <c r="I320" s="135"/>
      <c r="J320" s="135"/>
      <c r="K320" s="135"/>
      <c r="L320" s="135"/>
      <c r="M320" s="135"/>
      <c r="N320" s="135"/>
      <c r="O320" s="135"/>
      <c r="P320" s="135"/>
      <c r="Q320" s="135"/>
      <c r="R320" s="135"/>
      <c r="S320" s="135"/>
    </row>
    <row r="321" customFormat="false" ht="15.75" hidden="false" customHeight="true" outlineLevel="0" collapsed="false">
      <c r="A321" s="135"/>
      <c r="B321" s="135"/>
      <c r="C321" s="135"/>
      <c r="D321" s="135"/>
      <c r="E321" s="135"/>
      <c r="F321" s="182"/>
      <c r="G321" s="182"/>
      <c r="H321" s="135"/>
      <c r="I321" s="135"/>
      <c r="J321" s="135"/>
      <c r="K321" s="135"/>
      <c r="L321" s="135"/>
      <c r="M321" s="135"/>
      <c r="N321" s="135"/>
      <c r="O321" s="135"/>
      <c r="P321" s="135"/>
      <c r="Q321" s="135"/>
      <c r="R321" s="135"/>
      <c r="S321" s="135"/>
    </row>
    <row r="322" customFormat="false" ht="15.75" hidden="false" customHeight="true" outlineLevel="0" collapsed="false">
      <c r="A322" s="135"/>
      <c r="B322" s="135"/>
      <c r="C322" s="135"/>
      <c r="D322" s="135"/>
      <c r="E322" s="135"/>
      <c r="F322" s="182"/>
      <c r="G322" s="182"/>
      <c r="H322" s="135"/>
      <c r="I322" s="135"/>
      <c r="J322" s="135"/>
      <c r="K322" s="135"/>
      <c r="L322" s="135"/>
      <c r="M322" s="135"/>
      <c r="N322" s="135"/>
      <c r="O322" s="135"/>
      <c r="P322" s="135"/>
      <c r="Q322" s="135"/>
      <c r="R322" s="135"/>
      <c r="S322" s="135"/>
    </row>
    <row r="323" customFormat="false" ht="15.75" hidden="false" customHeight="true" outlineLevel="0" collapsed="false">
      <c r="A323" s="135"/>
      <c r="B323" s="135"/>
      <c r="C323" s="135"/>
      <c r="D323" s="135"/>
      <c r="E323" s="135"/>
      <c r="F323" s="182"/>
      <c r="G323" s="182"/>
      <c r="H323" s="135"/>
      <c r="I323" s="135"/>
      <c r="J323" s="135"/>
      <c r="K323" s="135"/>
      <c r="L323" s="135"/>
      <c r="M323" s="135"/>
      <c r="N323" s="135"/>
      <c r="O323" s="135"/>
      <c r="P323" s="135"/>
      <c r="Q323" s="135"/>
      <c r="R323" s="135"/>
      <c r="S323" s="135"/>
    </row>
    <row r="324" customFormat="false" ht="15.75" hidden="false" customHeight="true" outlineLevel="0" collapsed="false">
      <c r="A324" s="135"/>
      <c r="B324" s="135"/>
      <c r="C324" s="135"/>
      <c r="D324" s="135"/>
      <c r="E324" s="135"/>
      <c r="F324" s="182"/>
      <c r="G324" s="182"/>
      <c r="H324" s="135"/>
      <c r="I324" s="135"/>
      <c r="J324" s="135"/>
      <c r="K324" s="135"/>
      <c r="L324" s="135"/>
      <c r="M324" s="135"/>
      <c r="N324" s="135"/>
      <c r="O324" s="135"/>
      <c r="P324" s="135"/>
      <c r="Q324" s="135"/>
      <c r="R324" s="135"/>
      <c r="S324" s="135"/>
    </row>
    <row r="325" customFormat="false" ht="15.75" hidden="false" customHeight="true" outlineLevel="0" collapsed="false">
      <c r="A325" s="135"/>
      <c r="B325" s="135"/>
      <c r="C325" s="135"/>
      <c r="D325" s="135"/>
      <c r="E325" s="135"/>
      <c r="F325" s="182"/>
      <c r="G325" s="182"/>
      <c r="H325" s="135"/>
      <c r="I325" s="135"/>
      <c r="J325" s="135"/>
      <c r="K325" s="135"/>
      <c r="L325" s="135"/>
      <c r="M325" s="135"/>
      <c r="N325" s="135"/>
      <c r="O325" s="135"/>
      <c r="P325" s="135"/>
      <c r="Q325" s="135"/>
      <c r="R325" s="135"/>
      <c r="S325" s="135"/>
    </row>
    <row r="326" customFormat="false" ht="15.75" hidden="false" customHeight="true" outlineLevel="0" collapsed="false">
      <c r="A326" s="135"/>
      <c r="B326" s="135"/>
      <c r="C326" s="135"/>
      <c r="D326" s="135"/>
      <c r="E326" s="135"/>
      <c r="F326" s="182"/>
      <c r="G326" s="182"/>
      <c r="H326" s="135"/>
      <c r="I326" s="135"/>
      <c r="J326" s="135"/>
      <c r="K326" s="135"/>
      <c r="L326" s="135"/>
      <c r="M326" s="135"/>
      <c r="N326" s="135"/>
      <c r="O326" s="135"/>
      <c r="P326" s="135"/>
      <c r="Q326" s="135"/>
      <c r="R326" s="135"/>
      <c r="S326" s="135"/>
    </row>
    <row r="327" customFormat="false" ht="15.75" hidden="false" customHeight="true" outlineLevel="0" collapsed="false">
      <c r="A327" s="135"/>
      <c r="B327" s="135"/>
      <c r="C327" s="135"/>
      <c r="D327" s="135"/>
      <c r="E327" s="135"/>
      <c r="F327" s="182"/>
      <c r="G327" s="182"/>
      <c r="H327" s="135"/>
      <c r="I327" s="135"/>
      <c r="J327" s="135"/>
      <c r="K327" s="135"/>
      <c r="L327" s="135"/>
      <c r="M327" s="135"/>
      <c r="N327" s="135"/>
      <c r="O327" s="135"/>
      <c r="P327" s="135"/>
      <c r="Q327" s="135"/>
      <c r="R327" s="135"/>
      <c r="S327" s="135"/>
    </row>
    <row r="328" customFormat="false" ht="15.75" hidden="false" customHeight="true" outlineLevel="0" collapsed="false">
      <c r="A328" s="135"/>
      <c r="B328" s="135"/>
      <c r="C328" s="135"/>
      <c r="D328" s="135"/>
      <c r="E328" s="135"/>
      <c r="F328" s="182"/>
      <c r="G328" s="182"/>
      <c r="H328" s="135"/>
      <c r="I328" s="135"/>
      <c r="J328" s="135"/>
      <c r="K328" s="135"/>
      <c r="L328" s="135"/>
      <c r="M328" s="135"/>
      <c r="N328" s="135"/>
      <c r="O328" s="135"/>
      <c r="P328" s="135"/>
      <c r="Q328" s="135"/>
      <c r="R328" s="135"/>
      <c r="S328" s="135"/>
    </row>
    <row r="329" customFormat="false" ht="15.75" hidden="false" customHeight="true" outlineLevel="0" collapsed="false">
      <c r="A329" s="135"/>
      <c r="B329" s="135"/>
      <c r="C329" s="135"/>
      <c r="D329" s="135"/>
      <c r="E329" s="135"/>
      <c r="F329" s="182"/>
      <c r="G329" s="182"/>
      <c r="H329" s="135"/>
      <c r="I329" s="135"/>
      <c r="J329" s="135"/>
      <c r="K329" s="135"/>
      <c r="L329" s="135"/>
      <c r="M329" s="135"/>
      <c r="N329" s="135"/>
      <c r="O329" s="135"/>
      <c r="P329" s="135"/>
      <c r="Q329" s="135"/>
      <c r="R329" s="135"/>
      <c r="S329" s="135"/>
    </row>
    <row r="330" customFormat="false" ht="15.75" hidden="false" customHeight="true" outlineLevel="0" collapsed="false">
      <c r="A330" s="135"/>
      <c r="B330" s="135"/>
      <c r="C330" s="135"/>
      <c r="D330" s="135"/>
      <c r="E330" s="135"/>
      <c r="F330" s="182"/>
      <c r="G330" s="182"/>
      <c r="H330" s="135"/>
      <c r="I330" s="135"/>
      <c r="J330" s="135"/>
      <c r="K330" s="135"/>
      <c r="L330" s="135"/>
      <c r="M330" s="135"/>
      <c r="N330" s="135"/>
      <c r="O330" s="135"/>
      <c r="P330" s="135"/>
      <c r="Q330" s="135"/>
      <c r="R330" s="135"/>
      <c r="S330" s="135"/>
    </row>
    <row r="331" customFormat="false" ht="15.75" hidden="false" customHeight="true" outlineLevel="0" collapsed="false">
      <c r="A331" s="135"/>
      <c r="B331" s="135"/>
      <c r="C331" s="135"/>
      <c r="D331" s="135"/>
      <c r="E331" s="135"/>
      <c r="F331" s="182"/>
      <c r="G331" s="182"/>
      <c r="H331" s="135"/>
      <c r="I331" s="135"/>
      <c r="J331" s="135"/>
      <c r="K331" s="135"/>
      <c r="L331" s="135"/>
      <c r="M331" s="135"/>
      <c r="N331" s="135"/>
      <c r="O331" s="135"/>
      <c r="P331" s="135"/>
      <c r="Q331" s="135"/>
      <c r="R331" s="135"/>
      <c r="S331" s="135"/>
    </row>
    <row r="332" customFormat="false" ht="15.75" hidden="false" customHeight="true" outlineLevel="0" collapsed="false">
      <c r="A332" s="135"/>
      <c r="B332" s="135"/>
      <c r="C332" s="135"/>
      <c r="D332" s="135"/>
      <c r="E332" s="135"/>
      <c r="F332" s="182"/>
      <c r="G332" s="182"/>
      <c r="H332" s="135"/>
      <c r="I332" s="135"/>
      <c r="J332" s="135"/>
      <c r="K332" s="135"/>
      <c r="L332" s="135"/>
      <c r="M332" s="135"/>
      <c r="N332" s="135"/>
      <c r="O332" s="135"/>
      <c r="P332" s="135"/>
      <c r="Q332" s="135"/>
      <c r="R332" s="135"/>
      <c r="S332" s="135"/>
    </row>
    <row r="333" customFormat="false" ht="15.75" hidden="false" customHeight="true" outlineLevel="0" collapsed="false">
      <c r="A333" s="135"/>
      <c r="B333" s="135"/>
      <c r="C333" s="135"/>
      <c r="D333" s="135"/>
      <c r="E333" s="135"/>
      <c r="F333" s="182"/>
      <c r="G333" s="182"/>
      <c r="H333" s="135"/>
      <c r="I333" s="135"/>
      <c r="J333" s="135"/>
      <c r="K333" s="135"/>
      <c r="L333" s="135"/>
      <c r="M333" s="135"/>
      <c r="N333" s="135"/>
      <c r="O333" s="135"/>
      <c r="P333" s="135"/>
      <c r="Q333" s="135"/>
      <c r="R333" s="135"/>
      <c r="S333" s="135"/>
    </row>
    <row r="334" customFormat="false" ht="15.75" hidden="false" customHeight="true" outlineLevel="0" collapsed="false">
      <c r="A334" s="135"/>
      <c r="B334" s="135"/>
      <c r="C334" s="135"/>
      <c r="D334" s="135"/>
      <c r="E334" s="135"/>
      <c r="F334" s="182"/>
      <c r="G334" s="182"/>
      <c r="H334" s="135"/>
      <c r="I334" s="135"/>
      <c r="J334" s="135"/>
      <c r="K334" s="135"/>
      <c r="L334" s="135"/>
      <c r="M334" s="135"/>
      <c r="N334" s="135"/>
      <c r="O334" s="135"/>
      <c r="P334" s="135"/>
      <c r="Q334" s="135"/>
      <c r="R334" s="135"/>
      <c r="S334" s="135"/>
    </row>
    <row r="335" customFormat="false" ht="15.75" hidden="false" customHeight="true" outlineLevel="0" collapsed="false">
      <c r="A335" s="135"/>
      <c r="B335" s="135"/>
      <c r="C335" s="135"/>
      <c r="D335" s="135"/>
      <c r="E335" s="135"/>
      <c r="F335" s="182"/>
      <c r="G335" s="182"/>
      <c r="H335" s="135"/>
      <c r="I335" s="135"/>
      <c r="J335" s="135"/>
      <c r="K335" s="135"/>
      <c r="L335" s="135"/>
      <c r="M335" s="135"/>
      <c r="N335" s="135"/>
      <c r="O335" s="135"/>
      <c r="P335" s="135"/>
      <c r="Q335" s="135"/>
      <c r="R335" s="135"/>
      <c r="S335" s="135"/>
    </row>
    <row r="336" customFormat="false" ht="15.75" hidden="false" customHeight="true" outlineLevel="0" collapsed="false">
      <c r="A336" s="135"/>
      <c r="B336" s="135"/>
      <c r="C336" s="135"/>
      <c r="D336" s="135"/>
      <c r="E336" s="135"/>
      <c r="F336" s="182"/>
      <c r="G336" s="182"/>
      <c r="H336" s="135"/>
      <c r="I336" s="135"/>
      <c r="J336" s="135"/>
      <c r="K336" s="135"/>
      <c r="L336" s="135"/>
      <c r="M336" s="135"/>
      <c r="N336" s="135"/>
      <c r="O336" s="135"/>
      <c r="P336" s="135"/>
      <c r="Q336" s="135"/>
      <c r="R336" s="135"/>
      <c r="S336" s="135"/>
    </row>
    <row r="337" customFormat="false" ht="15.75" hidden="false" customHeight="true" outlineLevel="0" collapsed="false">
      <c r="A337" s="135"/>
      <c r="B337" s="135"/>
      <c r="C337" s="135"/>
      <c r="D337" s="135"/>
      <c r="E337" s="135"/>
      <c r="F337" s="182"/>
      <c r="G337" s="182"/>
      <c r="H337" s="135"/>
      <c r="I337" s="135"/>
      <c r="J337" s="135"/>
      <c r="K337" s="135"/>
      <c r="L337" s="135"/>
      <c r="M337" s="135"/>
      <c r="N337" s="135"/>
      <c r="O337" s="135"/>
      <c r="P337" s="135"/>
      <c r="Q337" s="135"/>
      <c r="R337" s="135"/>
      <c r="S337" s="135"/>
    </row>
    <row r="338" customFormat="false" ht="15.75" hidden="false" customHeight="true" outlineLevel="0" collapsed="false">
      <c r="A338" s="135"/>
      <c r="B338" s="135"/>
      <c r="C338" s="135"/>
      <c r="D338" s="135"/>
      <c r="E338" s="135"/>
      <c r="F338" s="182"/>
      <c r="G338" s="182"/>
      <c r="H338" s="135"/>
      <c r="I338" s="135"/>
      <c r="J338" s="135"/>
      <c r="K338" s="135"/>
      <c r="L338" s="135"/>
      <c r="M338" s="135"/>
      <c r="N338" s="135"/>
      <c r="O338" s="135"/>
      <c r="P338" s="135"/>
      <c r="Q338" s="135"/>
      <c r="R338" s="135"/>
      <c r="S338" s="135"/>
    </row>
    <row r="339" customFormat="false" ht="15.75" hidden="false" customHeight="true" outlineLevel="0" collapsed="false">
      <c r="A339" s="135"/>
      <c r="B339" s="135"/>
      <c r="C339" s="135"/>
      <c r="D339" s="135"/>
      <c r="E339" s="135"/>
      <c r="F339" s="182"/>
      <c r="G339" s="182"/>
      <c r="H339" s="135"/>
      <c r="I339" s="135"/>
      <c r="J339" s="135"/>
      <c r="K339" s="135"/>
      <c r="L339" s="135"/>
      <c r="M339" s="135"/>
      <c r="N339" s="135"/>
      <c r="O339" s="135"/>
      <c r="P339" s="135"/>
      <c r="Q339" s="135"/>
      <c r="R339" s="135"/>
      <c r="S339" s="135"/>
    </row>
    <row r="340" customFormat="false" ht="15.75" hidden="false" customHeight="true" outlineLevel="0" collapsed="false">
      <c r="A340" s="135"/>
      <c r="B340" s="135"/>
      <c r="C340" s="135"/>
      <c r="D340" s="135"/>
      <c r="E340" s="135"/>
      <c r="F340" s="182"/>
      <c r="G340" s="182"/>
      <c r="H340" s="135"/>
      <c r="I340" s="135"/>
      <c r="J340" s="135"/>
      <c r="K340" s="135"/>
      <c r="L340" s="135"/>
      <c r="M340" s="135"/>
      <c r="N340" s="135"/>
      <c r="O340" s="135"/>
      <c r="P340" s="135"/>
      <c r="Q340" s="135"/>
      <c r="R340" s="135"/>
      <c r="S340" s="135"/>
    </row>
    <row r="341" customFormat="false" ht="15.75" hidden="false" customHeight="true" outlineLevel="0" collapsed="false">
      <c r="A341" s="135"/>
      <c r="B341" s="135"/>
      <c r="C341" s="135"/>
      <c r="D341" s="135"/>
      <c r="E341" s="135"/>
      <c r="F341" s="182"/>
      <c r="G341" s="182"/>
      <c r="H341" s="135"/>
      <c r="I341" s="135"/>
      <c r="J341" s="135"/>
      <c r="K341" s="135"/>
      <c r="L341" s="135"/>
      <c r="M341" s="135"/>
      <c r="N341" s="135"/>
      <c r="O341" s="135"/>
      <c r="P341" s="135"/>
      <c r="Q341" s="135"/>
      <c r="R341" s="135"/>
      <c r="S341" s="135"/>
    </row>
    <row r="342" customFormat="false" ht="15.75" hidden="false" customHeight="true" outlineLevel="0" collapsed="false">
      <c r="A342" s="135"/>
      <c r="B342" s="135"/>
      <c r="C342" s="135"/>
      <c r="D342" s="135"/>
      <c r="E342" s="135"/>
      <c r="F342" s="182"/>
      <c r="G342" s="182"/>
      <c r="H342" s="135"/>
      <c r="I342" s="135"/>
      <c r="J342" s="135"/>
      <c r="K342" s="135"/>
      <c r="L342" s="135"/>
      <c r="M342" s="135"/>
      <c r="N342" s="135"/>
      <c r="O342" s="135"/>
      <c r="P342" s="135"/>
      <c r="Q342" s="135"/>
      <c r="R342" s="135"/>
      <c r="S342" s="135"/>
    </row>
    <row r="343" customFormat="false" ht="15.75" hidden="false" customHeight="true" outlineLevel="0" collapsed="false">
      <c r="A343" s="135"/>
      <c r="B343" s="135"/>
      <c r="C343" s="135"/>
      <c r="D343" s="135"/>
      <c r="E343" s="135"/>
      <c r="F343" s="182"/>
      <c r="G343" s="182"/>
      <c r="H343" s="135"/>
      <c r="I343" s="135"/>
      <c r="J343" s="135"/>
      <c r="K343" s="135"/>
      <c r="L343" s="135"/>
      <c r="M343" s="135"/>
      <c r="N343" s="135"/>
      <c r="O343" s="135"/>
      <c r="P343" s="135"/>
      <c r="Q343" s="135"/>
      <c r="R343" s="135"/>
      <c r="S343" s="135"/>
    </row>
    <row r="344" customFormat="false" ht="15.75" hidden="false" customHeight="true" outlineLevel="0" collapsed="false">
      <c r="A344" s="135"/>
      <c r="B344" s="135"/>
      <c r="C344" s="135"/>
      <c r="D344" s="135"/>
      <c r="E344" s="135"/>
      <c r="F344" s="182"/>
      <c r="G344" s="182"/>
      <c r="H344" s="135"/>
      <c r="I344" s="135"/>
      <c r="J344" s="135"/>
      <c r="K344" s="135"/>
      <c r="L344" s="135"/>
      <c r="M344" s="135"/>
      <c r="N344" s="135"/>
      <c r="O344" s="135"/>
      <c r="P344" s="135"/>
      <c r="Q344" s="135"/>
      <c r="R344" s="135"/>
      <c r="S344" s="135"/>
    </row>
    <row r="345" customFormat="false" ht="15.75" hidden="false" customHeight="true" outlineLevel="0" collapsed="false">
      <c r="A345" s="135"/>
      <c r="B345" s="135"/>
      <c r="C345" s="135"/>
      <c r="D345" s="135"/>
      <c r="E345" s="135"/>
      <c r="F345" s="182"/>
      <c r="G345" s="182"/>
      <c r="H345" s="135"/>
      <c r="I345" s="135"/>
      <c r="J345" s="135"/>
      <c r="K345" s="135"/>
      <c r="L345" s="135"/>
      <c r="M345" s="135"/>
      <c r="N345" s="135"/>
      <c r="O345" s="135"/>
      <c r="P345" s="135"/>
      <c r="Q345" s="135"/>
      <c r="R345" s="135"/>
      <c r="S345" s="135"/>
    </row>
    <row r="346" customFormat="false" ht="15.75" hidden="false" customHeight="true" outlineLevel="0" collapsed="false">
      <c r="A346" s="135"/>
      <c r="B346" s="135"/>
      <c r="C346" s="135"/>
      <c r="D346" s="135"/>
      <c r="E346" s="135"/>
      <c r="F346" s="182"/>
      <c r="G346" s="182"/>
      <c r="H346" s="135"/>
      <c r="I346" s="135"/>
      <c r="J346" s="135"/>
      <c r="K346" s="135"/>
      <c r="L346" s="135"/>
      <c r="M346" s="135"/>
      <c r="N346" s="135"/>
      <c r="O346" s="135"/>
      <c r="P346" s="135"/>
      <c r="Q346" s="135"/>
      <c r="R346" s="135"/>
      <c r="S346" s="135"/>
    </row>
    <row r="347" customFormat="false" ht="15.75" hidden="false" customHeight="true" outlineLevel="0" collapsed="false">
      <c r="A347" s="135"/>
      <c r="B347" s="135"/>
      <c r="C347" s="135"/>
      <c r="D347" s="135"/>
      <c r="E347" s="135"/>
      <c r="F347" s="182"/>
      <c r="G347" s="182"/>
      <c r="H347" s="135"/>
      <c r="I347" s="135"/>
      <c r="J347" s="135"/>
      <c r="K347" s="135"/>
      <c r="L347" s="135"/>
      <c r="M347" s="135"/>
      <c r="N347" s="135"/>
      <c r="O347" s="135"/>
      <c r="P347" s="135"/>
      <c r="Q347" s="135"/>
      <c r="R347" s="135"/>
      <c r="S347" s="135"/>
    </row>
    <row r="348" customFormat="false" ht="15.75" hidden="false" customHeight="true" outlineLevel="0" collapsed="false">
      <c r="A348" s="135"/>
      <c r="B348" s="135"/>
      <c r="C348" s="135"/>
      <c r="D348" s="135"/>
      <c r="E348" s="135"/>
      <c r="F348" s="182"/>
      <c r="G348" s="182"/>
      <c r="H348" s="135"/>
      <c r="I348" s="135"/>
      <c r="J348" s="135"/>
      <c r="K348" s="135"/>
      <c r="L348" s="135"/>
      <c r="M348" s="135"/>
      <c r="N348" s="135"/>
      <c r="O348" s="135"/>
      <c r="P348" s="135"/>
      <c r="Q348" s="135"/>
      <c r="R348" s="135"/>
      <c r="S348" s="135"/>
    </row>
    <row r="349" customFormat="false" ht="15.75" hidden="false" customHeight="true" outlineLevel="0" collapsed="false">
      <c r="A349" s="135"/>
      <c r="B349" s="135"/>
      <c r="C349" s="135"/>
      <c r="D349" s="135"/>
      <c r="E349" s="135"/>
      <c r="F349" s="182"/>
      <c r="G349" s="182"/>
      <c r="H349" s="135"/>
      <c r="I349" s="135"/>
      <c r="J349" s="135"/>
      <c r="K349" s="135"/>
      <c r="L349" s="135"/>
      <c r="M349" s="135"/>
      <c r="N349" s="135"/>
      <c r="O349" s="135"/>
      <c r="P349" s="135"/>
      <c r="Q349" s="135"/>
      <c r="R349" s="135"/>
      <c r="S349" s="135"/>
    </row>
    <row r="350" customFormat="false" ht="15.75" hidden="false" customHeight="true" outlineLevel="0" collapsed="false">
      <c r="A350" s="135"/>
      <c r="B350" s="135"/>
      <c r="C350" s="135"/>
      <c r="D350" s="135"/>
      <c r="E350" s="135"/>
      <c r="F350" s="182"/>
      <c r="G350" s="182"/>
      <c r="H350" s="135"/>
      <c r="I350" s="135"/>
      <c r="J350" s="135"/>
      <c r="K350" s="135"/>
      <c r="L350" s="135"/>
      <c r="M350" s="135"/>
      <c r="N350" s="135"/>
      <c r="O350" s="135"/>
      <c r="P350" s="135"/>
      <c r="Q350" s="135"/>
      <c r="R350" s="135"/>
      <c r="S350" s="135"/>
    </row>
    <row r="351" customFormat="false" ht="15.75" hidden="false" customHeight="true" outlineLevel="0" collapsed="false">
      <c r="A351" s="135"/>
      <c r="B351" s="135"/>
      <c r="C351" s="135"/>
      <c r="D351" s="135"/>
      <c r="E351" s="135"/>
      <c r="F351" s="182"/>
      <c r="G351" s="182"/>
      <c r="H351" s="135"/>
      <c r="I351" s="135"/>
      <c r="J351" s="135"/>
      <c r="K351" s="135"/>
      <c r="L351" s="135"/>
      <c r="M351" s="135"/>
      <c r="N351" s="135"/>
      <c r="O351" s="135"/>
      <c r="P351" s="135"/>
      <c r="Q351" s="135"/>
      <c r="R351" s="135"/>
      <c r="S351" s="135"/>
    </row>
    <row r="352" customFormat="false" ht="15.75" hidden="false" customHeight="true" outlineLevel="0" collapsed="false">
      <c r="A352" s="135"/>
      <c r="B352" s="135"/>
      <c r="C352" s="135"/>
      <c r="D352" s="135"/>
      <c r="E352" s="135"/>
      <c r="F352" s="182"/>
      <c r="G352" s="182"/>
      <c r="H352" s="135"/>
      <c r="I352" s="135"/>
      <c r="J352" s="135"/>
      <c r="K352" s="135"/>
      <c r="L352" s="135"/>
      <c r="M352" s="135"/>
      <c r="N352" s="135"/>
      <c r="O352" s="135"/>
      <c r="P352" s="135"/>
      <c r="Q352" s="135"/>
      <c r="R352" s="135"/>
      <c r="S352" s="135"/>
    </row>
    <row r="353" customFormat="false" ht="15.75" hidden="false" customHeight="true" outlineLevel="0" collapsed="false">
      <c r="A353" s="135"/>
      <c r="B353" s="135"/>
      <c r="C353" s="135"/>
      <c r="D353" s="135"/>
      <c r="E353" s="135"/>
      <c r="F353" s="182"/>
      <c r="G353" s="182"/>
      <c r="H353" s="135"/>
      <c r="I353" s="135"/>
      <c r="J353" s="135"/>
      <c r="K353" s="135"/>
      <c r="L353" s="135"/>
      <c r="M353" s="135"/>
      <c r="N353" s="135"/>
      <c r="O353" s="135"/>
      <c r="P353" s="135"/>
      <c r="Q353" s="135"/>
      <c r="R353" s="135"/>
      <c r="S353" s="135"/>
    </row>
    <row r="354" customFormat="false" ht="15.75" hidden="false" customHeight="true" outlineLevel="0" collapsed="false">
      <c r="A354" s="135"/>
      <c r="B354" s="135"/>
      <c r="C354" s="135"/>
      <c r="D354" s="135"/>
      <c r="E354" s="135"/>
      <c r="F354" s="182"/>
      <c r="G354" s="182"/>
      <c r="H354" s="135"/>
      <c r="I354" s="135"/>
      <c r="J354" s="135"/>
      <c r="K354" s="135"/>
      <c r="L354" s="135"/>
      <c r="M354" s="135"/>
      <c r="N354" s="135"/>
      <c r="O354" s="135"/>
      <c r="P354" s="135"/>
      <c r="Q354" s="135"/>
      <c r="R354" s="135"/>
      <c r="S354" s="135"/>
    </row>
    <row r="355" customFormat="false" ht="15.75" hidden="false" customHeight="true" outlineLevel="0" collapsed="false">
      <c r="A355" s="135"/>
      <c r="B355" s="135"/>
      <c r="C355" s="135"/>
      <c r="D355" s="135"/>
      <c r="E355" s="135"/>
      <c r="F355" s="182"/>
      <c r="G355" s="182"/>
      <c r="H355" s="135"/>
      <c r="I355" s="135"/>
      <c r="J355" s="135"/>
      <c r="K355" s="135"/>
      <c r="L355" s="135"/>
      <c r="M355" s="135"/>
      <c r="N355" s="135"/>
      <c r="O355" s="135"/>
      <c r="P355" s="135"/>
      <c r="Q355" s="135"/>
      <c r="R355" s="135"/>
      <c r="S355" s="135"/>
    </row>
    <row r="356" customFormat="false" ht="15.75" hidden="false" customHeight="true" outlineLevel="0" collapsed="false">
      <c r="A356" s="135"/>
      <c r="B356" s="135"/>
      <c r="C356" s="135"/>
      <c r="D356" s="135"/>
      <c r="E356" s="135"/>
      <c r="F356" s="182"/>
      <c r="G356" s="182"/>
      <c r="H356" s="135"/>
      <c r="I356" s="135"/>
      <c r="J356" s="135"/>
      <c r="K356" s="135"/>
      <c r="L356" s="135"/>
      <c r="M356" s="135"/>
      <c r="N356" s="135"/>
      <c r="O356" s="135"/>
      <c r="P356" s="135"/>
      <c r="Q356" s="135"/>
      <c r="R356" s="135"/>
      <c r="S356" s="135"/>
    </row>
    <row r="357" customFormat="false" ht="15.75" hidden="false" customHeight="true" outlineLevel="0" collapsed="false">
      <c r="A357" s="135"/>
      <c r="B357" s="135"/>
      <c r="C357" s="135"/>
      <c r="D357" s="135"/>
      <c r="E357" s="135"/>
      <c r="F357" s="182"/>
      <c r="G357" s="182"/>
      <c r="H357" s="135"/>
      <c r="I357" s="135"/>
      <c r="J357" s="135"/>
      <c r="K357" s="135"/>
      <c r="L357" s="135"/>
      <c r="M357" s="135"/>
      <c r="N357" s="135"/>
      <c r="O357" s="135"/>
      <c r="P357" s="135"/>
      <c r="Q357" s="135"/>
      <c r="R357" s="135"/>
      <c r="S357" s="135"/>
    </row>
    <row r="358" customFormat="false" ht="15.75" hidden="false" customHeight="true" outlineLevel="0" collapsed="false">
      <c r="A358" s="135"/>
      <c r="B358" s="135"/>
      <c r="C358" s="135"/>
      <c r="D358" s="135"/>
      <c r="E358" s="135"/>
      <c r="F358" s="182"/>
      <c r="G358" s="182"/>
      <c r="H358" s="135"/>
      <c r="I358" s="135"/>
      <c r="J358" s="135"/>
      <c r="K358" s="135"/>
      <c r="L358" s="135"/>
      <c r="M358" s="135"/>
      <c r="N358" s="135"/>
      <c r="O358" s="135"/>
      <c r="P358" s="135"/>
      <c r="Q358" s="135"/>
      <c r="R358" s="135"/>
      <c r="S358" s="135"/>
    </row>
    <row r="359" customFormat="false" ht="15.75" hidden="false" customHeight="true" outlineLevel="0" collapsed="false">
      <c r="A359" s="135"/>
      <c r="B359" s="135"/>
      <c r="C359" s="135"/>
      <c r="D359" s="135"/>
      <c r="E359" s="135"/>
      <c r="F359" s="182"/>
      <c r="G359" s="182"/>
      <c r="H359" s="135"/>
      <c r="I359" s="135"/>
      <c r="J359" s="135"/>
      <c r="K359" s="135"/>
      <c r="L359" s="135"/>
      <c r="M359" s="135"/>
      <c r="N359" s="135"/>
      <c r="O359" s="135"/>
      <c r="P359" s="135"/>
      <c r="Q359" s="135"/>
      <c r="R359" s="135"/>
      <c r="S359" s="135"/>
    </row>
    <row r="360" customFormat="false" ht="15.75" hidden="false" customHeight="true" outlineLevel="0" collapsed="false">
      <c r="A360" s="135"/>
      <c r="B360" s="135"/>
      <c r="C360" s="135"/>
      <c r="D360" s="135"/>
      <c r="E360" s="135"/>
      <c r="F360" s="182"/>
      <c r="G360" s="182"/>
      <c r="H360" s="135"/>
      <c r="I360" s="135"/>
      <c r="J360" s="135"/>
      <c r="K360" s="135"/>
      <c r="L360" s="135"/>
      <c r="M360" s="135"/>
      <c r="N360" s="135"/>
      <c r="O360" s="135"/>
      <c r="P360" s="135"/>
      <c r="Q360" s="135"/>
      <c r="R360" s="135"/>
      <c r="S360" s="135"/>
    </row>
    <row r="361" customFormat="false" ht="15.75" hidden="false" customHeight="true" outlineLevel="0" collapsed="false">
      <c r="A361" s="135"/>
      <c r="B361" s="135"/>
      <c r="C361" s="135"/>
      <c r="D361" s="135"/>
      <c r="E361" s="135"/>
      <c r="F361" s="182"/>
      <c r="G361" s="182"/>
      <c r="H361" s="135"/>
      <c r="I361" s="135"/>
      <c r="J361" s="135"/>
      <c r="K361" s="135"/>
      <c r="L361" s="135"/>
      <c r="M361" s="135"/>
      <c r="N361" s="135"/>
      <c r="O361" s="135"/>
      <c r="P361" s="135"/>
      <c r="Q361" s="135"/>
      <c r="R361" s="135"/>
      <c r="S361" s="135"/>
    </row>
    <row r="362" customFormat="false" ht="15.75" hidden="false" customHeight="true" outlineLevel="0" collapsed="false">
      <c r="A362" s="135"/>
      <c r="B362" s="135"/>
      <c r="C362" s="135"/>
      <c r="D362" s="135"/>
      <c r="E362" s="135"/>
      <c r="F362" s="182"/>
      <c r="G362" s="182"/>
      <c r="H362" s="135"/>
      <c r="I362" s="135"/>
      <c r="J362" s="135"/>
      <c r="K362" s="135"/>
      <c r="L362" s="135"/>
      <c r="M362" s="135"/>
      <c r="N362" s="135"/>
      <c r="O362" s="135"/>
      <c r="P362" s="135"/>
      <c r="Q362" s="135"/>
      <c r="R362" s="135"/>
      <c r="S362" s="135"/>
    </row>
    <row r="363" customFormat="false" ht="15.75" hidden="false" customHeight="true" outlineLevel="0" collapsed="false">
      <c r="A363" s="135"/>
      <c r="B363" s="135"/>
      <c r="C363" s="135"/>
      <c r="D363" s="135"/>
      <c r="E363" s="135"/>
      <c r="F363" s="182"/>
      <c r="G363" s="182"/>
      <c r="H363" s="135"/>
      <c r="I363" s="135"/>
      <c r="J363" s="135"/>
      <c r="K363" s="135"/>
      <c r="L363" s="135"/>
      <c r="M363" s="135"/>
      <c r="N363" s="135"/>
      <c r="O363" s="135"/>
      <c r="P363" s="135"/>
      <c r="Q363" s="135"/>
      <c r="R363" s="135"/>
      <c r="S363" s="135"/>
    </row>
    <row r="364" customFormat="false" ht="15.75" hidden="false" customHeight="true" outlineLevel="0" collapsed="false">
      <c r="A364" s="135"/>
      <c r="B364" s="135"/>
      <c r="C364" s="135"/>
      <c r="D364" s="135"/>
      <c r="E364" s="135"/>
      <c r="F364" s="182"/>
      <c r="G364" s="182"/>
      <c r="H364" s="135"/>
      <c r="I364" s="135"/>
      <c r="J364" s="135"/>
      <c r="K364" s="135"/>
      <c r="L364" s="135"/>
      <c r="M364" s="135"/>
      <c r="N364" s="135"/>
      <c r="O364" s="135"/>
      <c r="P364" s="135"/>
      <c r="Q364" s="135"/>
      <c r="R364" s="135"/>
      <c r="S364" s="135"/>
    </row>
    <row r="365" customFormat="false" ht="15.75" hidden="false" customHeight="true" outlineLevel="0" collapsed="false">
      <c r="A365" s="135"/>
      <c r="B365" s="135"/>
      <c r="C365" s="135"/>
      <c r="D365" s="135"/>
      <c r="E365" s="135"/>
      <c r="F365" s="182"/>
      <c r="G365" s="182"/>
      <c r="H365" s="135"/>
      <c r="I365" s="135"/>
      <c r="J365" s="135"/>
      <c r="K365" s="135"/>
      <c r="L365" s="135"/>
      <c r="M365" s="135"/>
      <c r="N365" s="135"/>
      <c r="O365" s="135"/>
      <c r="P365" s="135"/>
      <c r="Q365" s="135"/>
      <c r="R365" s="135"/>
      <c r="S365" s="135"/>
    </row>
    <row r="366" customFormat="false" ht="15.75" hidden="false" customHeight="true" outlineLevel="0" collapsed="false">
      <c r="A366" s="135"/>
      <c r="B366" s="135"/>
      <c r="C366" s="135"/>
      <c r="D366" s="135"/>
      <c r="E366" s="135"/>
      <c r="F366" s="182"/>
      <c r="G366" s="182"/>
      <c r="H366" s="135"/>
      <c r="I366" s="135"/>
      <c r="J366" s="135"/>
      <c r="K366" s="135"/>
      <c r="L366" s="135"/>
      <c r="M366" s="135"/>
      <c r="N366" s="135"/>
      <c r="O366" s="135"/>
      <c r="P366" s="135"/>
      <c r="Q366" s="135"/>
      <c r="R366" s="135"/>
      <c r="S366" s="135"/>
    </row>
    <row r="367" customFormat="false" ht="15.75" hidden="false" customHeight="true" outlineLevel="0" collapsed="false">
      <c r="A367" s="135"/>
      <c r="B367" s="135"/>
      <c r="C367" s="135"/>
      <c r="D367" s="135"/>
      <c r="E367" s="135"/>
      <c r="F367" s="182"/>
      <c r="G367" s="182"/>
      <c r="H367" s="135"/>
      <c r="I367" s="135"/>
      <c r="J367" s="135"/>
      <c r="K367" s="135"/>
      <c r="L367" s="135"/>
      <c r="M367" s="135"/>
      <c r="N367" s="135"/>
      <c r="O367" s="135"/>
      <c r="P367" s="135"/>
      <c r="Q367" s="135"/>
      <c r="R367" s="135"/>
      <c r="S367" s="135"/>
    </row>
    <row r="368" customFormat="false" ht="15.75" hidden="false" customHeight="true" outlineLevel="0" collapsed="false">
      <c r="A368" s="135"/>
      <c r="B368" s="135"/>
      <c r="C368" s="135"/>
      <c r="D368" s="135"/>
      <c r="E368" s="135"/>
      <c r="F368" s="182"/>
      <c r="G368" s="182"/>
      <c r="H368" s="135"/>
      <c r="I368" s="135"/>
      <c r="J368" s="135"/>
      <c r="K368" s="135"/>
      <c r="L368" s="135"/>
      <c r="M368" s="135"/>
      <c r="N368" s="135"/>
      <c r="O368" s="135"/>
      <c r="P368" s="135"/>
      <c r="Q368" s="135"/>
      <c r="R368" s="135"/>
      <c r="S368" s="135"/>
    </row>
    <row r="369" customFormat="false" ht="15.75" hidden="false" customHeight="true" outlineLevel="0" collapsed="false">
      <c r="A369" s="135"/>
      <c r="B369" s="135"/>
      <c r="C369" s="135"/>
      <c r="D369" s="135"/>
      <c r="E369" s="135"/>
      <c r="F369" s="182"/>
      <c r="G369" s="182"/>
      <c r="H369" s="135"/>
      <c r="I369" s="135"/>
      <c r="J369" s="135"/>
      <c r="K369" s="135"/>
      <c r="L369" s="135"/>
      <c r="M369" s="135"/>
      <c r="N369" s="135"/>
      <c r="O369" s="135"/>
      <c r="P369" s="135"/>
      <c r="Q369" s="135"/>
      <c r="R369" s="135"/>
      <c r="S369" s="135"/>
    </row>
    <row r="370" customFormat="false" ht="15.75" hidden="false" customHeight="true" outlineLevel="0" collapsed="false">
      <c r="A370" s="135"/>
      <c r="B370" s="135"/>
      <c r="C370" s="135"/>
      <c r="D370" s="135"/>
      <c r="E370" s="135"/>
      <c r="F370" s="182"/>
      <c r="G370" s="182"/>
      <c r="H370" s="135"/>
      <c r="I370" s="135"/>
      <c r="J370" s="135"/>
      <c r="K370" s="135"/>
      <c r="L370" s="135"/>
      <c r="M370" s="135"/>
      <c r="N370" s="135"/>
      <c r="O370" s="135"/>
      <c r="P370" s="135"/>
      <c r="Q370" s="135"/>
      <c r="R370" s="135"/>
      <c r="S370" s="135"/>
    </row>
    <row r="371" customFormat="false" ht="15.75" hidden="false" customHeight="true" outlineLevel="0" collapsed="false">
      <c r="A371" s="135"/>
      <c r="B371" s="135"/>
      <c r="C371" s="135"/>
      <c r="D371" s="135"/>
      <c r="E371" s="135"/>
      <c r="F371" s="182"/>
      <c r="G371" s="182"/>
      <c r="H371" s="135"/>
      <c r="I371" s="135"/>
      <c r="J371" s="135"/>
      <c r="K371" s="135"/>
      <c r="L371" s="135"/>
      <c r="M371" s="135"/>
      <c r="N371" s="135"/>
      <c r="O371" s="135"/>
      <c r="P371" s="135"/>
      <c r="Q371" s="135"/>
      <c r="R371" s="135"/>
      <c r="S371" s="135"/>
    </row>
    <row r="372" customFormat="false" ht="15.75" hidden="false" customHeight="true" outlineLevel="0" collapsed="false">
      <c r="A372" s="135"/>
      <c r="B372" s="135"/>
      <c r="C372" s="135"/>
      <c r="D372" s="135"/>
      <c r="E372" s="135"/>
      <c r="F372" s="182"/>
      <c r="G372" s="182"/>
      <c r="H372" s="135"/>
      <c r="I372" s="135"/>
      <c r="J372" s="135"/>
      <c r="K372" s="135"/>
      <c r="L372" s="135"/>
      <c r="M372" s="135"/>
      <c r="N372" s="135"/>
      <c r="O372" s="135"/>
      <c r="P372" s="135"/>
      <c r="Q372" s="135"/>
      <c r="R372" s="135"/>
      <c r="S372" s="135"/>
    </row>
    <row r="373" customFormat="false" ht="15.75" hidden="false" customHeight="true" outlineLevel="0" collapsed="false">
      <c r="A373" s="135"/>
      <c r="B373" s="135"/>
      <c r="C373" s="135"/>
      <c r="D373" s="135"/>
      <c r="E373" s="135"/>
      <c r="F373" s="182"/>
      <c r="G373" s="182"/>
      <c r="H373" s="135"/>
      <c r="I373" s="135"/>
      <c r="J373" s="135"/>
      <c r="K373" s="135"/>
      <c r="L373" s="135"/>
      <c r="M373" s="135"/>
      <c r="N373" s="135"/>
      <c r="O373" s="135"/>
      <c r="P373" s="135"/>
      <c r="Q373" s="135"/>
      <c r="R373" s="135"/>
      <c r="S373" s="135"/>
    </row>
    <row r="374" customFormat="false" ht="15.75" hidden="false" customHeight="true" outlineLevel="0" collapsed="false">
      <c r="A374" s="135"/>
      <c r="B374" s="135"/>
      <c r="C374" s="135"/>
      <c r="D374" s="135"/>
      <c r="E374" s="135"/>
      <c r="F374" s="182"/>
      <c r="G374" s="182"/>
      <c r="H374" s="135"/>
      <c r="I374" s="135"/>
      <c r="J374" s="135"/>
      <c r="K374" s="135"/>
      <c r="L374" s="135"/>
      <c r="M374" s="135"/>
      <c r="N374" s="135"/>
      <c r="O374" s="135"/>
      <c r="P374" s="135"/>
      <c r="Q374" s="135"/>
      <c r="R374" s="135"/>
      <c r="S374" s="135"/>
    </row>
    <row r="375" customFormat="false" ht="15.75" hidden="false" customHeight="true" outlineLevel="0" collapsed="false">
      <c r="A375" s="135"/>
      <c r="B375" s="135"/>
      <c r="C375" s="135"/>
      <c r="D375" s="135"/>
      <c r="E375" s="135"/>
      <c r="F375" s="182"/>
      <c r="G375" s="182"/>
      <c r="H375" s="135"/>
      <c r="I375" s="135"/>
      <c r="J375" s="135"/>
      <c r="K375" s="135"/>
      <c r="L375" s="135"/>
      <c r="M375" s="135"/>
      <c r="N375" s="135"/>
      <c r="O375" s="135"/>
      <c r="P375" s="135"/>
      <c r="Q375" s="135"/>
      <c r="R375" s="135"/>
      <c r="S375" s="135"/>
    </row>
    <row r="376" customFormat="false" ht="15.75" hidden="false" customHeight="true" outlineLevel="0" collapsed="false">
      <c r="A376" s="135"/>
      <c r="B376" s="135"/>
      <c r="C376" s="135"/>
      <c r="D376" s="135"/>
      <c r="E376" s="135"/>
      <c r="F376" s="182"/>
      <c r="G376" s="182"/>
      <c r="H376" s="135"/>
      <c r="I376" s="135"/>
      <c r="J376" s="135"/>
      <c r="K376" s="135"/>
      <c r="L376" s="135"/>
      <c r="M376" s="135"/>
      <c r="N376" s="135"/>
      <c r="O376" s="135"/>
      <c r="P376" s="135"/>
      <c r="Q376" s="135"/>
      <c r="R376" s="135"/>
      <c r="S376" s="135"/>
    </row>
    <row r="377" customFormat="false" ht="15.75" hidden="false" customHeight="true" outlineLevel="0" collapsed="false">
      <c r="A377" s="135"/>
      <c r="B377" s="135"/>
      <c r="C377" s="135"/>
      <c r="D377" s="135"/>
      <c r="E377" s="135"/>
      <c r="F377" s="182"/>
      <c r="G377" s="182"/>
      <c r="H377" s="135"/>
      <c r="I377" s="135"/>
      <c r="J377" s="135"/>
      <c r="K377" s="135"/>
      <c r="L377" s="135"/>
      <c r="M377" s="135"/>
      <c r="N377" s="135"/>
      <c r="O377" s="135"/>
      <c r="P377" s="135"/>
      <c r="Q377" s="135"/>
      <c r="R377" s="135"/>
      <c r="S377" s="135"/>
    </row>
    <row r="378" customFormat="false" ht="15.75" hidden="false" customHeight="true" outlineLevel="0" collapsed="false">
      <c r="A378" s="135"/>
      <c r="B378" s="135"/>
      <c r="C378" s="135"/>
      <c r="D378" s="135"/>
      <c r="E378" s="135"/>
      <c r="F378" s="182"/>
      <c r="G378" s="182"/>
      <c r="H378" s="135"/>
      <c r="I378" s="135"/>
      <c r="J378" s="135"/>
      <c r="K378" s="135"/>
      <c r="L378" s="135"/>
      <c r="M378" s="135"/>
      <c r="N378" s="135"/>
      <c r="O378" s="135"/>
      <c r="P378" s="135"/>
      <c r="Q378" s="135"/>
      <c r="R378" s="135"/>
      <c r="S378" s="135"/>
    </row>
    <row r="379" customFormat="false" ht="15.75" hidden="false" customHeight="true" outlineLevel="0" collapsed="false">
      <c r="A379" s="135"/>
      <c r="B379" s="135"/>
      <c r="C379" s="135"/>
      <c r="D379" s="135"/>
      <c r="E379" s="135"/>
      <c r="F379" s="182"/>
      <c r="G379" s="182"/>
      <c r="H379" s="135"/>
      <c r="I379" s="135"/>
      <c r="J379" s="135"/>
      <c r="K379" s="135"/>
      <c r="L379" s="135"/>
      <c r="M379" s="135"/>
      <c r="N379" s="135"/>
      <c r="O379" s="135"/>
      <c r="P379" s="135"/>
      <c r="Q379" s="135"/>
      <c r="R379" s="135"/>
      <c r="S379" s="135"/>
    </row>
    <row r="380" customFormat="false" ht="15.75" hidden="false" customHeight="true" outlineLevel="0" collapsed="false">
      <c r="A380" s="135"/>
      <c r="B380" s="135"/>
      <c r="C380" s="135"/>
      <c r="D380" s="135"/>
      <c r="E380" s="135"/>
      <c r="F380" s="182"/>
      <c r="G380" s="182"/>
      <c r="H380" s="135"/>
      <c r="I380" s="135"/>
      <c r="J380" s="135"/>
      <c r="K380" s="135"/>
      <c r="L380" s="135"/>
      <c r="M380" s="135"/>
      <c r="N380" s="135"/>
      <c r="O380" s="135"/>
      <c r="P380" s="135"/>
      <c r="Q380" s="135"/>
      <c r="R380" s="135"/>
      <c r="S380" s="135"/>
    </row>
    <row r="381" customFormat="false" ht="15.75" hidden="false" customHeight="true" outlineLevel="0" collapsed="false">
      <c r="A381" s="135"/>
      <c r="B381" s="135"/>
      <c r="C381" s="135"/>
      <c r="D381" s="135"/>
      <c r="E381" s="135"/>
      <c r="F381" s="182"/>
      <c r="G381" s="182"/>
      <c r="H381" s="135"/>
      <c r="I381" s="135"/>
      <c r="J381" s="135"/>
      <c r="K381" s="135"/>
      <c r="L381" s="135"/>
      <c r="M381" s="135"/>
      <c r="N381" s="135"/>
      <c r="O381" s="135"/>
      <c r="P381" s="135"/>
      <c r="Q381" s="135"/>
      <c r="R381" s="135"/>
      <c r="S381" s="135"/>
    </row>
    <row r="382" customFormat="false" ht="15.75" hidden="false" customHeight="true" outlineLevel="0" collapsed="false">
      <c r="A382" s="135"/>
      <c r="B382" s="135"/>
      <c r="C382" s="135"/>
      <c r="D382" s="135"/>
      <c r="E382" s="135"/>
      <c r="F382" s="182"/>
      <c r="G382" s="182"/>
      <c r="H382" s="135"/>
      <c r="I382" s="135"/>
      <c r="J382" s="135"/>
      <c r="K382" s="135"/>
      <c r="L382" s="135"/>
      <c r="M382" s="135"/>
      <c r="N382" s="135"/>
      <c r="O382" s="135"/>
      <c r="P382" s="135"/>
      <c r="Q382" s="135"/>
      <c r="R382" s="135"/>
      <c r="S382" s="135"/>
    </row>
    <row r="383" customFormat="false" ht="15.75" hidden="false" customHeight="true" outlineLevel="0" collapsed="false">
      <c r="A383" s="135"/>
      <c r="B383" s="135"/>
      <c r="C383" s="135"/>
      <c r="D383" s="135"/>
      <c r="E383" s="135"/>
      <c r="F383" s="182"/>
      <c r="G383" s="182"/>
      <c r="H383" s="135"/>
      <c r="I383" s="135"/>
      <c r="J383" s="135"/>
      <c r="K383" s="135"/>
      <c r="L383" s="135"/>
      <c r="M383" s="135"/>
      <c r="N383" s="135"/>
      <c r="O383" s="135"/>
      <c r="P383" s="135"/>
      <c r="Q383" s="135"/>
      <c r="R383" s="135"/>
      <c r="S383" s="135"/>
    </row>
    <row r="384" customFormat="false" ht="15.75" hidden="false" customHeight="true" outlineLevel="0" collapsed="false">
      <c r="A384" s="135"/>
      <c r="B384" s="135"/>
      <c r="C384" s="135"/>
      <c r="D384" s="135"/>
      <c r="E384" s="135"/>
      <c r="F384" s="182"/>
      <c r="G384" s="182"/>
      <c r="H384" s="135"/>
      <c r="I384" s="135"/>
      <c r="J384" s="135"/>
      <c r="K384" s="135"/>
      <c r="L384" s="135"/>
      <c r="M384" s="135"/>
      <c r="N384" s="135"/>
      <c r="O384" s="135"/>
      <c r="P384" s="135"/>
      <c r="Q384" s="135"/>
      <c r="R384" s="135"/>
      <c r="S384" s="135"/>
    </row>
    <row r="385" customFormat="false" ht="15.75" hidden="false" customHeight="true" outlineLevel="0" collapsed="false">
      <c r="A385" s="135"/>
      <c r="B385" s="135"/>
      <c r="C385" s="135"/>
      <c r="D385" s="135"/>
      <c r="E385" s="135"/>
      <c r="F385" s="182"/>
      <c r="G385" s="182"/>
      <c r="H385" s="135"/>
      <c r="I385" s="135"/>
      <c r="J385" s="135"/>
      <c r="K385" s="135"/>
      <c r="L385" s="135"/>
      <c r="M385" s="135"/>
      <c r="N385" s="135"/>
      <c r="O385" s="135"/>
      <c r="P385" s="135"/>
      <c r="Q385" s="135"/>
      <c r="R385" s="135"/>
      <c r="S385" s="135"/>
    </row>
    <row r="386" customFormat="false" ht="15.75" hidden="false" customHeight="true" outlineLevel="0" collapsed="false">
      <c r="A386" s="135"/>
      <c r="B386" s="135"/>
      <c r="C386" s="135"/>
      <c r="D386" s="135"/>
      <c r="E386" s="135"/>
      <c r="F386" s="182"/>
      <c r="G386" s="182"/>
      <c r="H386" s="135"/>
      <c r="I386" s="135"/>
      <c r="J386" s="135"/>
      <c r="K386" s="135"/>
      <c r="L386" s="135"/>
      <c r="M386" s="135"/>
      <c r="N386" s="135"/>
      <c r="O386" s="135"/>
      <c r="P386" s="135"/>
      <c r="Q386" s="135"/>
      <c r="R386" s="135"/>
      <c r="S386" s="135"/>
    </row>
    <row r="387" customFormat="false" ht="15.75" hidden="false" customHeight="true" outlineLevel="0" collapsed="false">
      <c r="A387" s="135"/>
      <c r="B387" s="135"/>
      <c r="C387" s="135"/>
      <c r="D387" s="135"/>
      <c r="E387" s="135"/>
      <c r="F387" s="182"/>
      <c r="G387" s="182"/>
      <c r="H387" s="135"/>
      <c r="I387" s="135"/>
      <c r="J387" s="135"/>
      <c r="K387" s="135"/>
      <c r="L387" s="135"/>
      <c r="M387" s="135"/>
      <c r="N387" s="135"/>
      <c r="O387" s="135"/>
      <c r="P387" s="135"/>
      <c r="Q387" s="135"/>
      <c r="R387" s="135"/>
      <c r="S387" s="135"/>
    </row>
    <row r="388" customFormat="false" ht="15.75" hidden="false" customHeight="true" outlineLevel="0" collapsed="false">
      <c r="A388" s="135"/>
      <c r="B388" s="135"/>
      <c r="C388" s="135"/>
      <c r="D388" s="135"/>
      <c r="E388" s="135"/>
      <c r="F388" s="182"/>
      <c r="G388" s="182"/>
      <c r="H388" s="135"/>
      <c r="I388" s="135"/>
      <c r="J388" s="135"/>
      <c r="K388" s="135"/>
      <c r="L388" s="135"/>
      <c r="M388" s="135"/>
      <c r="N388" s="135"/>
      <c r="O388" s="135"/>
      <c r="P388" s="135"/>
      <c r="Q388" s="135"/>
      <c r="R388" s="135"/>
      <c r="S388" s="135"/>
    </row>
    <row r="389" customFormat="false" ht="15.75" hidden="false" customHeight="true" outlineLevel="0" collapsed="false">
      <c r="A389" s="135"/>
      <c r="B389" s="135"/>
      <c r="C389" s="135"/>
      <c r="D389" s="135"/>
      <c r="E389" s="135"/>
      <c r="F389" s="182"/>
      <c r="G389" s="182"/>
      <c r="H389" s="135"/>
      <c r="I389" s="135"/>
      <c r="J389" s="135"/>
      <c r="K389" s="135"/>
      <c r="L389" s="135"/>
      <c r="M389" s="135"/>
      <c r="N389" s="135"/>
      <c r="O389" s="135"/>
      <c r="P389" s="135"/>
      <c r="Q389" s="135"/>
      <c r="R389" s="135"/>
      <c r="S389" s="135"/>
    </row>
    <row r="390" customFormat="false" ht="15.75" hidden="false" customHeight="true" outlineLevel="0" collapsed="false">
      <c r="A390" s="135"/>
      <c r="B390" s="135"/>
      <c r="C390" s="135"/>
      <c r="D390" s="135"/>
      <c r="E390" s="135"/>
      <c r="F390" s="182"/>
      <c r="G390" s="182"/>
      <c r="H390" s="135"/>
      <c r="I390" s="135"/>
      <c r="J390" s="135"/>
      <c r="K390" s="135"/>
      <c r="L390" s="135"/>
      <c r="M390" s="135"/>
      <c r="N390" s="135"/>
      <c r="O390" s="135"/>
      <c r="P390" s="135"/>
      <c r="Q390" s="135"/>
      <c r="R390" s="135"/>
      <c r="S390" s="135"/>
    </row>
    <row r="391" customFormat="false" ht="15.75" hidden="false" customHeight="true" outlineLevel="0" collapsed="false">
      <c r="A391" s="135"/>
      <c r="B391" s="135"/>
      <c r="C391" s="135"/>
      <c r="D391" s="135"/>
      <c r="E391" s="135"/>
      <c r="F391" s="182"/>
      <c r="G391" s="182"/>
      <c r="H391" s="135"/>
      <c r="I391" s="135"/>
      <c r="J391" s="135"/>
      <c r="K391" s="135"/>
      <c r="L391" s="135"/>
      <c r="M391" s="135"/>
      <c r="N391" s="135"/>
      <c r="O391" s="135"/>
      <c r="P391" s="135"/>
      <c r="Q391" s="135"/>
      <c r="R391" s="135"/>
      <c r="S391" s="135"/>
    </row>
    <row r="392" customFormat="false" ht="15.75" hidden="false" customHeight="true" outlineLevel="0" collapsed="false">
      <c r="A392" s="135"/>
      <c r="B392" s="135"/>
      <c r="C392" s="135"/>
      <c r="D392" s="135"/>
      <c r="E392" s="135"/>
      <c r="F392" s="182"/>
      <c r="G392" s="182"/>
      <c r="H392" s="135"/>
      <c r="I392" s="135"/>
      <c r="J392" s="135"/>
      <c r="K392" s="135"/>
      <c r="L392" s="135"/>
      <c r="M392" s="135"/>
      <c r="N392" s="135"/>
      <c r="O392" s="135"/>
      <c r="P392" s="135"/>
      <c r="Q392" s="135"/>
      <c r="R392" s="135"/>
      <c r="S392" s="135"/>
    </row>
    <row r="393" customFormat="false" ht="15.75" hidden="false" customHeight="true" outlineLevel="0" collapsed="false">
      <c r="A393" s="135"/>
      <c r="B393" s="135"/>
      <c r="C393" s="135"/>
      <c r="D393" s="135"/>
      <c r="E393" s="135"/>
      <c r="F393" s="182"/>
      <c r="G393" s="182"/>
      <c r="H393" s="135"/>
      <c r="I393" s="135"/>
      <c r="J393" s="135"/>
      <c r="K393" s="135"/>
      <c r="L393" s="135"/>
      <c r="M393" s="135"/>
      <c r="N393" s="135"/>
      <c r="O393" s="135"/>
      <c r="P393" s="135"/>
      <c r="Q393" s="135"/>
      <c r="R393" s="135"/>
      <c r="S393" s="135"/>
    </row>
    <row r="394" customFormat="false" ht="15.75" hidden="false" customHeight="true" outlineLevel="0" collapsed="false">
      <c r="A394" s="135"/>
      <c r="B394" s="135"/>
      <c r="C394" s="135"/>
      <c r="D394" s="135"/>
      <c r="E394" s="135"/>
      <c r="F394" s="182"/>
      <c r="G394" s="182"/>
      <c r="H394" s="135"/>
      <c r="I394" s="135"/>
      <c r="J394" s="135"/>
      <c r="K394" s="135"/>
      <c r="L394" s="135"/>
      <c r="M394" s="135"/>
      <c r="N394" s="135"/>
      <c r="O394" s="135"/>
      <c r="P394" s="135"/>
      <c r="Q394" s="135"/>
      <c r="R394" s="135"/>
      <c r="S394" s="135"/>
    </row>
    <row r="395" customFormat="false" ht="15.75" hidden="false" customHeight="true" outlineLevel="0" collapsed="false">
      <c r="A395" s="135"/>
      <c r="B395" s="135"/>
      <c r="C395" s="135"/>
      <c r="D395" s="135"/>
      <c r="E395" s="135"/>
      <c r="F395" s="182"/>
      <c r="G395" s="182"/>
      <c r="H395" s="135"/>
      <c r="I395" s="135"/>
      <c r="J395" s="135"/>
      <c r="K395" s="135"/>
      <c r="L395" s="135"/>
      <c r="M395" s="135"/>
      <c r="N395" s="135"/>
      <c r="O395" s="135"/>
      <c r="P395" s="135"/>
      <c r="Q395" s="135"/>
      <c r="R395" s="135"/>
      <c r="S395" s="135"/>
    </row>
    <row r="396" customFormat="false" ht="15.75" hidden="false" customHeight="true" outlineLevel="0" collapsed="false">
      <c r="A396" s="135"/>
      <c r="B396" s="135"/>
      <c r="C396" s="135"/>
      <c r="D396" s="135"/>
      <c r="E396" s="135"/>
      <c r="F396" s="182"/>
      <c r="G396" s="182"/>
      <c r="H396" s="135"/>
      <c r="I396" s="135"/>
      <c r="J396" s="135"/>
      <c r="K396" s="135"/>
      <c r="L396" s="135"/>
      <c r="M396" s="135"/>
      <c r="N396" s="135"/>
      <c r="O396" s="135"/>
      <c r="P396" s="135"/>
      <c r="Q396" s="135"/>
      <c r="R396" s="135"/>
      <c r="S396" s="135"/>
    </row>
    <row r="397" customFormat="false" ht="15.75" hidden="false" customHeight="true" outlineLevel="0" collapsed="false">
      <c r="A397" s="135"/>
      <c r="B397" s="135"/>
      <c r="C397" s="135"/>
      <c r="D397" s="135"/>
      <c r="E397" s="135"/>
      <c r="F397" s="182"/>
      <c r="G397" s="182"/>
      <c r="H397" s="135"/>
      <c r="I397" s="135"/>
      <c r="J397" s="135"/>
      <c r="K397" s="135"/>
      <c r="L397" s="135"/>
      <c r="M397" s="135"/>
      <c r="N397" s="135"/>
      <c r="O397" s="135"/>
      <c r="P397" s="135"/>
      <c r="Q397" s="135"/>
      <c r="R397" s="135"/>
      <c r="S397" s="135"/>
    </row>
    <row r="398" customFormat="false" ht="15.75" hidden="false" customHeight="true" outlineLevel="0" collapsed="false">
      <c r="A398" s="135"/>
      <c r="B398" s="135"/>
      <c r="C398" s="135"/>
      <c r="D398" s="135"/>
      <c r="E398" s="135"/>
      <c r="F398" s="182"/>
      <c r="G398" s="182"/>
      <c r="H398" s="135"/>
      <c r="I398" s="135"/>
      <c r="J398" s="135"/>
      <c r="K398" s="135"/>
      <c r="L398" s="135"/>
      <c r="M398" s="135"/>
      <c r="N398" s="135"/>
      <c r="O398" s="135"/>
      <c r="P398" s="135"/>
      <c r="Q398" s="135"/>
      <c r="R398" s="135"/>
      <c r="S398" s="135"/>
    </row>
    <row r="399" customFormat="false" ht="15.75" hidden="false" customHeight="true" outlineLevel="0" collapsed="false">
      <c r="A399" s="135"/>
      <c r="B399" s="135"/>
      <c r="C399" s="135"/>
      <c r="D399" s="135"/>
      <c r="E399" s="135"/>
      <c r="F399" s="182"/>
      <c r="G399" s="182"/>
      <c r="H399" s="135"/>
      <c r="I399" s="135"/>
      <c r="J399" s="135"/>
      <c r="K399" s="135"/>
      <c r="L399" s="135"/>
      <c r="M399" s="135"/>
      <c r="N399" s="135"/>
      <c r="O399" s="135"/>
      <c r="P399" s="135"/>
      <c r="Q399" s="135"/>
      <c r="R399" s="135"/>
      <c r="S399" s="135"/>
    </row>
    <row r="400" customFormat="false" ht="15.75" hidden="false" customHeight="true" outlineLevel="0" collapsed="false">
      <c r="A400" s="135"/>
      <c r="B400" s="135"/>
      <c r="C400" s="135"/>
      <c r="D400" s="135"/>
      <c r="E400" s="135"/>
      <c r="F400" s="182"/>
      <c r="G400" s="182"/>
      <c r="H400" s="135"/>
      <c r="I400" s="135"/>
      <c r="J400" s="135"/>
      <c r="K400" s="135"/>
      <c r="L400" s="135"/>
      <c r="M400" s="135"/>
      <c r="N400" s="135"/>
      <c r="O400" s="135"/>
      <c r="P400" s="135"/>
      <c r="Q400" s="135"/>
      <c r="R400" s="135"/>
      <c r="S400" s="135"/>
    </row>
    <row r="401" customFormat="false" ht="15.75" hidden="false" customHeight="true" outlineLevel="0" collapsed="false">
      <c r="A401" s="135"/>
      <c r="B401" s="135"/>
      <c r="C401" s="135"/>
      <c r="D401" s="135"/>
      <c r="E401" s="135"/>
      <c r="F401" s="182"/>
      <c r="G401" s="182"/>
      <c r="H401" s="135"/>
      <c r="I401" s="135"/>
      <c r="J401" s="135"/>
      <c r="K401" s="135"/>
      <c r="L401" s="135"/>
      <c r="M401" s="135"/>
      <c r="N401" s="135"/>
      <c r="O401" s="135"/>
      <c r="P401" s="135"/>
      <c r="Q401" s="135"/>
      <c r="R401" s="135"/>
      <c r="S401" s="135"/>
    </row>
    <row r="402" customFormat="false" ht="15.75" hidden="false" customHeight="true" outlineLevel="0" collapsed="false">
      <c r="A402" s="135"/>
      <c r="B402" s="135"/>
      <c r="C402" s="135"/>
      <c r="D402" s="135"/>
      <c r="E402" s="135"/>
      <c r="F402" s="182"/>
      <c r="G402" s="182"/>
      <c r="H402" s="135"/>
      <c r="I402" s="135"/>
      <c r="J402" s="135"/>
      <c r="K402" s="135"/>
      <c r="L402" s="135"/>
      <c r="M402" s="135"/>
      <c r="N402" s="135"/>
      <c r="O402" s="135"/>
      <c r="P402" s="135"/>
      <c r="Q402" s="135"/>
      <c r="R402" s="135"/>
      <c r="S402" s="135"/>
    </row>
    <row r="403" customFormat="false" ht="15.75" hidden="false" customHeight="true" outlineLevel="0" collapsed="false">
      <c r="A403" s="135"/>
      <c r="B403" s="135"/>
      <c r="C403" s="135"/>
      <c r="D403" s="135"/>
      <c r="E403" s="135"/>
      <c r="F403" s="182"/>
      <c r="G403" s="182"/>
      <c r="H403" s="135"/>
      <c r="I403" s="135"/>
      <c r="J403" s="135"/>
      <c r="K403" s="135"/>
      <c r="L403" s="135"/>
      <c r="M403" s="135"/>
      <c r="N403" s="135"/>
      <c r="O403" s="135"/>
      <c r="P403" s="135"/>
      <c r="Q403" s="135"/>
      <c r="R403" s="135"/>
      <c r="S403" s="135"/>
    </row>
    <row r="404" customFormat="false" ht="15.75" hidden="false" customHeight="true" outlineLevel="0" collapsed="false">
      <c r="A404" s="135"/>
      <c r="B404" s="135"/>
      <c r="C404" s="135"/>
      <c r="D404" s="135"/>
      <c r="E404" s="135"/>
      <c r="F404" s="182"/>
      <c r="G404" s="182"/>
      <c r="H404" s="135"/>
      <c r="I404" s="135"/>
      <c r="J404" s="135"/>
      <c r="K404" s="135"/>
      <c r="L404" s="135"/>
      <c r="M404" s="135"/>
      <c r="N404" s="135"/>
      <c r="O404" s="135"/>
      <c r="P404" s="135"/>
      <c r="Q404" s="135"/>
      <c r="R404" s="135"/>
      <c r="S404" s="135"/>
    </row>
    <row r="405" customFormat="false" ht="15.75" hidden="false" customHeight="true" outlineLevel="0" collapsed="false">
      <c r="A405" s="135"/>
      <c r="B405" s="135"/>
      <c r="C405" s="135"/>
      <c r="D405" s="135"/>
      <c r="E405" s="135"/>
      <c r="F405" s="182"/>
      <c r="G405" s="182"/>
      <c r="H405" s="135"/>
      <c r="I405" s="135"/>
      <c r="J405" s="135"/>
      <c r="K405" s="135"/>
      <c r="L405" s="135"/>
      <c r="M405" s="135"/>
      <c r="N405" s="135"/>
      <c r="O405" s="135"/>
      <c r="P405" s="135"/>
      <c r="Q405" s="135"/>
      <c r="R405" s="135"/>
      <c r="S405" s="135"/>
    </row>
    <row r="406" customFormat="false" ht="15.75" hidden="false" customHeight="true" outlineLevel="0" collapsed="false">
      <c r="A406" s="135"/>
      <c r="B406" s="135"/>
      <c r="C406" s="135"/>
      <c r="D406" s="135"/>
      <c r="E406" s="135"/>
      <c r="F406" s="182"/>
      <c r="G406" s="182"/>
      <c r="H406" s="135"/>
      <c r="I406" s="135"/>
      <c r="J406" s="135"/>
      <c r="K406" s="135"/>
      <c r="L406" s="135"/>
      <c r="M406" s="135"/>
      <c r="N406" s="135"/>
      <c r="O406" s="135"/>
      <c r="P406" s="135"/>
      <c r="Q406" s="135"/>
      <c r="R406" s="135"/>
      <c r="S406" s="135"/>
    </row>
    <row r="407" customFormat="false" ht="15.75" hidden="false" customHeight="true" outlineLevel="0" collapsed="false">
      <c r="A407" s="135"/>
      <c r="B407" s="135"/>
      <c r="C407" s="135"/>
      <c r="D407" s="135"/>
      <c r="E407" s="135"/>
      <c r="F407" s="182"/>
      <c r="G407" s="182"/>
      <c r="H407" s="135"/>
      <c r="I407" s="135"/>
      <c r="J407" s="135"/>
      <c r="K407" s="135"/>
      <c r="L407" s="135"/>
      <c r="M407" s="135"/>
      <c r="N407" s="135"/>
      <c r="O407" s="135"/>
      <c r="P407" s="135"/>
      <c r="Q407" s="135"/>
      <c r="R407" s="135"/>
      <c r="S407" s="135"/>
    </row>
    <row r="408" customFormat="false" ht="15.75" hidden="false" customHeight="true" outlineLevel="0" collapsed="false">
      <c r="A408" s="135"/>
      <c r="B408" s="135"/>
      <c r="C408" s="135"/>
      <c r="D408" s="135"/>
      <c r="E408" s="135"/>
      <c r="F408" s="182"/>
      <c r="G408" s="182"/>
      <c r="H408" s="135"/>
      <c r="I408" s="135"/>
      <c r="J408" s="135"/>
      <c r="K408" s="135"/>
      <c r="L408" s="135"/>
      <c r="M408" s="135"/>
      <c r="N408" s="135"/>
      <c r="O408" s="135"/>
      <c r="P408" s="135"/>
      <c r="Q408" s="135"/>
      <c r="R408" s="135"/>
      <c r="S408" s="135"/>
    </row>
    <row r="409" customFormat="false" ht="15.75" hidden="false" customHeight="true" outlineLevel="0" collapsed="false">
      <c r="A409" s="135"/>
      <c r="B409" s="135"/>
      <c r="C409" s="135"/>
      <c r="D409" s="135"/>
      <c r="E409" s="135"/>
      <c r="F409" s="182"/>
      <c r="G409" s="182"/>
      <c r="H409" s="135"/>
      <c r="I409" s="135"/>
      <c r="J409" s="135"/>
      <c r="K409" s="135"/>
      <c r="L409" s="135"/>
      <c r="M409" s="135"/>
      <c r="N409" s="135"/>
      <c r="O409" s="135"/>
      <c r="P409" s="135"/>
      <c r="Q409" s="135"/>
      <c r="R409" s="135"/>
      <c r="S409" s="135"/>
    </row>
    <row r="410" customFormat="false" ht="15.75" hidden="false" customHeight="true" outlineLevel="0" collapsed="false">
      <c r="A410" s="135"/>
      <c r="B410" s="135"/>
      <c r="C410" s="135"/>
      <c r="D410" s="135"/>
      <c r="E410" s="135"/>
      <c r="F410" s="182"/>
      <c r="G410" s="182"/>
      <c r="H410" s="135"/>
      <c r="I410" s="135"/>
      <c r="J410" s="135"/>
      <c r="K410" s="135"/>
      <c r="L410" s="135"/>
      <c r="M410" s="135"/>
      <c r="N410" s="135"/>
      <c r="O410" s="135"/>
      <c r="P410" s="135"/>
      <c r="Q410" s="135"/>
      <c r="R410" s="135"/>
      <c r="S410" s="135"/>
    </row>
    <row r="411" customFormat="false" ht="15.75" hidden="false" customHeight="true" outlineLevel="0" collapsed="false">
      <c r="A411" s="135"/>
      <c r="B411" s="135"/>
      <c r="C411" s="135"/>
      <c r="D411" s="135"/>
      <c r="E411" s="135"/>
      <c r="F411" s="182"/>
      <c r="G411" s="182"/>
      <c r="H411" s="135"/>
      <c r="I411" s="135"/>
      <c r="J411" s="135"/>
      <c r="K411" s="135"/>
      <c r="L411" s="135"/>
      <c r="M411" s="135"/>
      <c r="N411" s="135"/>
      <c r="O411" s="135"/>
      <c r="P411" s="135"/>
      <c r="Q411" s="135"/>
      <c r="R411" s="135"/>
      <c r="S411" s="135"/>
    </row>
    <row r="412" customFormat="false" ht="15.75" hidden="false" customHeight="true" outlineLevel="0" collapsed="false">
      <c r="A412" s="135"/>
      <c r="B412" s="135"/>
      <c r="C412" s="135"/>
      <c r="D412" s="135"/>
      <c r="E412" s="135"/>
      <c r="F412" s="182"/>
      <c r="G412" s="182"/>
      <c r="H412" s="135"/>
      <c r="I412" s="135"/>
      <c r="J412" s="135"/>
      <c r="K412" s="135"/>
      <c r="L412" s="135"/>
      <c r="M412" s="135"/>
      <c r="N412" s="135"/>
      <c r="O412" s="135"/>
      <c r="P412" s="135"/>
      <c r="Q412" s="135"/>
      <c r="R412" s="135"/>
      <c r="S412" s="135"/>
    </row>
    <row r="413" customFormat="false" ht="15.75" hidden="false" customHeight="true" outlineLevel="0" collapsed="false">
      <c r="A413" s="135"/>
      <c r="B413" s="135"/>
      <c r="C413" s="135"/>
      <c r="D413" s="135"/>
      <c r="E413" s="135"/>
      <c r="F413" s="182"/>
      <c r="G413" s="182"/>
      <c r="H413" s="135"/>
      <c r="I413" s="135"/>
      <c r="J413" s="135"/>
      <c r="K413" s="135"/>
      <c r="L413" s="135"/>
      <c r="M413" s="135"/>
      <c r="N413" s="135"/>
      <c r="O413" s="135"/>
      <c r="P413" s="135"/>
      <c r="Q413" s="135"/>
      <c r="R413" s="135"/>
      <c r="S413" s="135"/>
    </row>
    <row r="414" customFormat="false" ht="15.75" hidden="false" customHeight="true" outlineLevel="0" collapsed="false">
      <c r="A414" s="135"/>
      <c r="B414" s="135"/>
      <c r="C414" s="135"/>
      <c r="D414" s="135"/>
      <c r="E414" s="135"/>
      <c r="F414" s="182"/>
      <c r="G414" s="182"/>
      <c r="H414" s="135"/>
      <c r="I414" s="135"/>
      <c r="J414" s="135"/>
      <c r="K414" s="135"/>
      <c r="L414" s="135"/>
      <c r="M414" s="135"/>
      <c r="N414" s="135"/>
      <c r="O414" s="135"/>
      <c r="P414" s="135"/>
      <c r="Q414" s="135"/>
      <c r="R414" s="135"/>
      <c r="S414" s="135"/>
    </row>
    <row r="415" customFormat="false" ht="15.75" hidden="false" customHeight="true" outlineLevel="0" collapsed="false">
      <c r="A415" s="135"/>
      <c r="B415" s="135"/>
      <c r="C415" s="135"/>
      <c r="D415" s="135"/>
      <c r="E415" s="135"/>
      <c r="F415" s="182"/>
      <c r="G415" s="182"/>
      <c r="H415" s="135"/>
      <c r="I415" s="135"/>
      <c r="J415" s="135"/>
      <c r="K415" s="135"/>
      <c r="L415" s="135"/>
      <c r="M415" s="135"/>
      <c r="N415" s="135"/>
      <c r="O415" s="135"/>
      <c r="P415" s="135"/>
      <c r="Q415" s="135"/>
      <c r="R415" s="135"/>
      <c r="S415" s="135"/>
    </row>
    <row r="416" customFormat="false" ht="15.75" hidden="false" customHeight="true" outlineLevel="0" collapsed="false">
      <c r="A416" s="135"/>
      <c r="B416" s="135"/>
      <c r="C416" s="135"/>
      <c r="D416" s="135"/>
      <c r="E416" s="135"/>
      <c r="F416" s="182"/>
      <c r="G416" s="182"/>
      <c r="H416" s="135"/>
      <c r="I416" s="135"/>
      <c r="J416" s="135"/>
      <c r="K416" s="135"/>
      <c r="L416" s="135"/>
      <c r="M416" s="135"/>
      <c r="N416" s="135"/>
      <c r="O416" s="135"/>
      <c r="P416" s="135"/>
      <c r="Q416" s="135"/>
      <c r="R416" s="135"/>
      <c r="S416" s="135"/>
    </row>
    <row r="417" customFormat="false" ht="15.75" hidden="false" customHeight="true" outlineLevel="0" collapsed="false">
      <c r="A417" s="135"/>
      <c r="B417" s="135"/>
      <c r="C417" s="135"/>
      <c r="D417" s="135"/>
      <c r="E417" s="135"/>
      <c r="F417" s="182"/>
      <c r="G417" s="182"/>
      <c r="H417" s="135"/>
      <c r="I417" s="135"/>
      <c r="J417" s="135"/>
      <c r="K417" s="135"/>
      <c r="L417" s="135"/>
      <c r="M417" s="135"/>
      <c r="N417" s="135"/>
      <c r="O417" s="135"/>
      <c r="P417" s="135"/>
      <c r="Q417" s="135"/>
      <c r="R417" s="135"/>
      <c r="S417" s="135"/>
    </row>
    <row r="418" customFormat="false" ht="15.75" hidden="false" customHeight="true" outlineLevel="0" collapsed="false">
      <c r="A418" s="135"/>
      <c r="B418" s="135"/>
      <c r="C418" s="135"/>
      <c r="D418" s="135"/>
      <c r="E418" s="135"/>
      <c r="F418" s="182"/>
      <c r="G418" s="182"/>
      <c r="H418" s="135"/>
      <c r="I418" s="135"/>
      <c r="J418" s="135"/>
      <c r="K418" s="135"/>
      <c r="L418" s="135"/>
      <c r="M418" s="135"/>
      <c r="N418" s="135"/>
      <c r="O418" s="135"/>
      <c r="P418" s="135"/>
      <c r="Q418" s="135"/>
      <c r="R418" s="135"/>
      <c r="S418" s="135"/>
    </row>
    <row r="419" customFormat="false" ht="15.75" hidden="false" customHeight="true" outlineLevel="0" collapsed="false">
      <c r="A419" s="135"/>
      <c r="B419" s="135"/>
      <c r="C419" s="135"/>
      <c r="D419" s="135"/>
      <c r="E419" s="135"/>
      <c r="F419" s="182"/>
      <c r="G419" s="182"/>
      <c r="H419" s="135"/>
      <c r="I419" s="135"/>
      <c r="J419" s="135"/>
      <c r="K419" s="135"/>
      <c r="L419" s="135"/>
      <c r="M419" s="135"/>
      <c r="N419" s="135"/>
      <c r="O419" s="135"/>
      <c r="P419" s="135"/>
      <c r="Q419" s="135"/>
      <c r="R419" s="135"/>
      <c r="S419" s="135"/>
    </row>
    <row r="420" customFormat="false" ht="15.75" hidden="false" customHeight="true" outlineLevel="0" collapsed="false">
      <c r="A420" s="135"/>
      <c r="B420" s="135"/>
      <c r="C420" s="135"/>
      <c r="D420" s="135"/>
      <c r="E420" s="135"/>
      <c r="F420" s="182"/>
      <c r="G420" s="182"/>
      <c r="H420" s="135"/>
      <c r="I420" s="135"/>
      <c r="J420" s="135"/>
      <c r="K420" s="135"/>
      <c r="L420" s="135"/>
      <c r="M420" s="135"/>
      <c r="N420" s="135"/>
      <c r="O420" s="135"/>
      <c r="P420" s="135"/>
      <c r="Q420" s="135"/>
      <c r="R420" s="135"/>
      <c r="S420" s="135"/>
    </row>
    <row r="421" customFormat="false" ht="15.75" hidden="false" customHeight="true" outlineLevel="0" collapsed="false">
      <c r="A421" s="135"/>
      <c r="B421" s="135"/>
      <c r="C421" s="135"/>
      <c r="D421" s="135"/>
      <c r="E421" s="135"/>
      <c r="F421" s="182"/>
      <c r="G421" s="182"/>
      <c r="H421" s="135"/>
      <c r="I421" s="135"/>
      <c r="J421" s="135"/>
      <c r="K421" s="135"/>
      <c r="L421" s="135"/>
      <c r="M421" s="135"/>
      <c r="N421" s="135"/>
      <c r="O421" s="135"/>
      <c r="P421" s="135"/>
      <c r="Q421" s="135"/>
      <c r="R421" s="135"/>
      <c r="S421" s="135"/>
    </row>
    <row r="422" customFormat="false" ht="15.75" hidden="false" customHeight="true" outlineLevel="0" collapsed="false">
      <c r="A422" s="135"/>
      <c r="B422" s="135"/>
      <c r="C422" s="135"/>
      <c r="D422" s="135"/>
      <c r="E422" s="135"/>
      <c r="F422" s="182"/>
      <c r="G422" s="182"/>
      <c r="H422" s="135"/>
      <c r="I422" s="135"/>
      <c r="J422" s="135"/>
      <c r="K422" s="135"/>
      <c r="L422" s="135"/>
      <c r="M422" s="135"/>
      <c r="N422" s="135"/>
      <c r="O422" s="135"/>
      <c r="P422" s="135"/>
      <c r="Q422" s="135"/>
      <c r="R422" s="135"/>
      <c r="S422" s="135"/>
    </row>
    <row r="423" customFormat="false" ht="15.75" hidden="false" customHeight="true" outlineLevel="0" collapsed="false">
      <c r="A423" s="135"/>
      <c r="B423" s="135"/>
      <c r="C423" s="135"/>
      <c r="D423" s="135"/>
      <c r="E423" s="135"/>
      <c r="F423" s="182"/>
      <c r="G423" s="182"/>
      <c r="H423" s="135"/>
      <c r="I423" s="135"/>
      <c r="J423" s="135"/>
      <c r="K423" s="135"/>
      <c r="L423" s="135"/>
      <c r="M423" s="135"/>
      <c r="N423" s="135"/>
      <c r="O423" s="135"/>
      <c r="P423" s="135"/>
      <c r="Q423" s="135"/>
      <c r="R423" s="135"/>
      <c r="S423" s="135"/>
    </row>
    <row r="424" customFormat="false" ht="15.75" hidden="false" customHeight="true" outlineLevel="0" collapsed="false">
      <c r="A424" s="135"/>
      <c r="B424" s="135"/>
      <c r="C424" s="135"/>
      <c r="D424" s="135"/>
      <c r="E424" s="135"/>
      <c r="F424" s="182"/>
      <c r="G424" s="182"/>
      <c r="H424" s="135"/>
      <c r="I424" s="135"/>
      <c r="J424" s="135"/>
      <c r="K424" s="135"/>
      <c r="L424" s="135"/>
      <c r="M424" s="135"/>
      <c r="N424" s="135"/>
      <c r="O424" s="135"/>
      <c r="P424" s="135"/>
      <c r="Q424" s="135"/>
      <c r="R424" s="135"/>
      <c r="S424" s="135"/>
    </row>
    <row r="425" customFormat="false" ht="15.75" hidden="false" customHeight="true" outlineLevel="0" collapsed="false">
      <c r="A425" s="135"/>
      <c r="B425" s="135"/>
      <c r="C425" s="135"/>
      <c r="D425" s="135"/>
      <c r="E425" s="135"/>
      <c r="F425" s="182"/>
      <c r="G425" s="182"/>
      <c r="H425" s="135"/>
      <c r="I425" s="135"/>
      <c r="J425" s="135"/>
      <c r="K425" s="135"/>
      <c r="L425" s="135"/>
      <c r="M425" s="135"/>
      <c r="N425" s="135"/>
      <c r="O425" s="135"/>
      <c r="P425" s="135"/>
      <c r="Q425" s="135"/>
      <c r="R425" s="135"/>
      <c r="S425" s="135"/>
    </row>
    <row r="426" customFormat="false" ht="15.75" hidden="false" customHeight="true" outlineLevel="0" collapsed="false">
      <c r="A426" s="135"/>
      <c r="B426" s="135"/>
      <c r="C426" s="135"/>
      <c r="D426" s="135"/>
      <c r="E426" s="135"/>
      <c r="F426" s="182"/>
      <c r="G426" s="182"/>
      <c r="H426" s="135"/>
      <c r="I426" s="135"/>
      <c r="J426" s="135"/>
      <c r="K426" s="135"/>
      <c r="L426" s="135"/>
      <c r="M426" s="135"/>
      <c r="N426" s="135"/>
      <c r="O426" s="135"/>
      <c r="P426" s="135"/>
      <c r="Q426" s="135"/>
      <c r="R426" s="135"/>
      <c r="S426" s="135"/>
    </row>
    <row r="427" customFormat="false" ht="15.75" hidden="false" customHeight="true" outlineLevel="0" collapsed="false">
      <c r="A427" s="135"/>
      <c r="B427" s="135"/>
      <c r="C427" s="135"/>
      <c r="D427" s="135"/>
      <c r="E427" s="135"/>
      <c r="F427" s="182"/>
      <c r="G427" s="182"/>
      <c r="H427" s="135"/>
      <c r="I427" s="135"/>
      <c r="J427" s="135"/>
      <c r="K427" s="135"/>
      <c r="L427" s="135"/>
      <c r="M427" s="135"/>
      <c r="N427" s="135"/>
      <c r="O427" s="135"/>
      <c r="P427" s="135"/>
      <c r="Q427" s="135"/>
      <c r="R427" s="135"/>
      <c r="S427" s="135"/>
    </row>
    <row r="428" customFormat="false" ht="15.75" hidden="false" customHeight="true" outlineLevel="0" collapsed="false">
      <c r="A428" s="135"/>
      <c r="B428" s="135"/>
      <c r="C428" s="135"/>
      <c r="D428" s="135"/>
      <c r="E428" s="135"/>
      <c r="F428" s="182"/>
      <c r="G428" s="182"/>
      <c r="H428" s="135"/>
      <c r="I428" s="135"/>
      <c r="J428" s="135"/>
      <c r="K428" s="135"/>
      <c r="L428" s="135"/>
      <c r="M428" s="135"/>
      <c r="N428" s="135"/>
      <c r="O428" s="135"/>
      <c r="P428" s="135"/>
      <c r="Q428" s="135"/>
      <c r="R428" s="135"/>
      <c r="S428" s="135"/>
    </row>
    <row r="429" customFormat="false" ht="15.75" hidden="false" customHeight="true" outlineLevel="0" collapsed="false">
      <c r="A429" s="135"/>
      <c r="B429" s="135"/>
      <c r="C429" s="135"/>
      <c r="D429" s="135"/>
      <c r="E429" s="135"/>
      <c r="F429" s="182"/>
      <c r="G429" s="182"/>
      <c r="H429" s="135"/>
      <c r="I429" s="135"/>
      <c r="J429" s="135"/>
      <c r="K429" s="135"/>
      <c r="L429" s="135"/>
      <c r="M429" s="135"/>
      <c r="N429" s="135"/>
      <c r="O429" s="135"/>
      <c r="P429" s="135"/>
      <c r="Q429" s="135"/>
      <c r="R429" s="135"/>
      <c r="S429" s="135"/>
    </row>
    <row r="430" customFormat="false" ht="15.75" hidden="false" customHeight="true" outlineLevel="0" collapsed="false">
      <c r="A430" s="135"/>
      <c r="B430" s="135"/>
      <c r="C430" s="135"/>
      <c r="D430" s="135"/>
      <c r="E430" s="135"/>
      <c r="F430" s="182"/>
      <c r="G430" s="182"/>
      <c r="H430" s="135"/>
      <c r="I430" s="135"/>
      <c r="J430" s="135"/>
      <c r="K430" s="135"/>
      <c r="L430" s="135"/>
      <c r="M430" s="135"/>
      <c r="N430" s="135"/>
      <c r="O430" s="135"/>
      <c r="P430" s="135"/>
      <c r="Q430" s="135"/>
      <c r="R430" s="135"/>
      <c r="S430" s="135"/>
    </row>
    <row r="431" customFormat="false" ht="15.75" hidden="false" customHeight="true" outlineLevel="0" collapsed="false">
      <c r="A431" s="135"/>
      <c r="B431" s="135"/>
      <c r="C431" s="135"/>
      <c r="D431" s="135"/>
      <c r="E431" s="135"/>
      <c r="F431" s="182"/>
      <c r="G431" s="182"/>
      <c r="H431" s="135"/>
      <c r="I431" s="135"/>
      <c r="J431" s="135"/>
      <c r="K431" s="135"/>
      <c r="L431" s="135"/>
      <c r="M431" s="135"/>
      <c r="N431" s="135"/>
      <c r="O431" s="135"/>
      <c r="P431" s="135"/>
      <c r="Q431" s="135"/>
      <c r="R431" s="135"/>
      <c r="S431" s="135"/>
    </row>
    <row r="432" customFormat="false" ht="15.75" hidden="false" customHeight="true" outlineLevel="0" collapsed="false">
      <c r="A432" s="135"/>
      <c r="B432" s="135"/>
      <c r="C432" s="135"/>
      <c r="D432" s="135"/>
      <c r="E432" s="135"/>
      <c r="F432" s="182"/>
      <c r="G432" s="182"/>
      <c r="H432" s="135"/>
      <c r="I432" s="135"/>
      <c r="J432" s="135"/>
      <c r="K432" s="135"/>
      <c r="L432" s="135"/>
      <c r="M432" s="135"/>
      <c r="N432" s="135"/>
      <c r="O432" s="135"/>
      <c r="P432" s="135"/>
      <c r="Q432" s="135"/>
      <c r="R432" s="135"/>
      <c r="S432" s="135"/>
    </row>
    <row r="433" customFormat="false" ht="15.75" hidden="false" customHeight="true" outlineLevel="0" collapsed="false">
      <c r="A433" s="135"/>
      <c r="B433" s="135"/>
      <c r="C433" s="135"/>
      <c r="D433" s="135"/>
      <c r="E433" s="135"/>
      <c r="F433" s="182"/>
      <c r="G433" s="182"/>
      <c r="H433" s="135"/>
      <c r="I433" s="135"/>
      <c r="J433" s="135"/>
      <c r="K433" s="135"/>
      <c r="L433" s="135"/>
      <c r="M433" s="135"/>
      <c r="N433" s="135"/>
      <c r="O433" s="135"/>
      <c r="P433" s="135"/>
      <c r="Q433" s="135"/>
      <c r="R433" s="135"/>
      <c r="S433" s="135"/>
    </row>
    <row r="434" customFormat="false" ht="15.75" hidden="false" customHeight="true" outlineLevel="0" collapsed="false">
      <c r="A434" s="135"/>
      <c r="B434" s="135"/>
      <c r="C434" s="135"/>
      <c r="D434" s="135"/>
      <c r="E434" s="135"/>
      <c r="F434" s="182"/>
      <c r="G434" s="182"/>
      <c r="H434" s="135"/>
      <c r="I434" s="135"/>
      <c r="J434" s="135"/>
      <c r="K434" s="135"/>
      <c r="L434" s="135"/>
      <c r="M434" s="135"/>
      <c r="N434" s="135"/>
      <c r="O434" s="135"/>
      <c r="P434" s="135"/>
      <c r="Q434" s="135"/>
      <c r="R434" s="135"/>
      <c r="S434" s="135"/>
    </row>
    <row r="435" customFormat="false" ht="15.75" hidden="false" customHeight="true" outlineLevel="0" collapsed="false">
      <c r="A435" s="135"/>
      <c r="B435" s="135"/>
      <c r="C435" s="135"/>
      <c r="D435" s="135"/>
      <c r="E435" s="135"/>
      <c r="F435" s="182"/>
      <c r="G435" s="182"/>
      <c r="H435" s="135"/>
      <c r="I435" s="135"/>
      <c r="J435" s="135"/>
      <c r="K435" s="135"/>
      <c r="L435" s="135"/>
      <c r="M435" s="135"/>
      <c r="N435" s="135"/>
      <c r="O435" s="135"/>
      <c r="P435" s="135"/>
      <c r="Q435" s="135"/>
      <c r="R435" s="135"/>
      <c r="S435" s="135"/>
    </row>
    <row r="436" customFormat="false" ht="15.75" hidden="false" customHeight="true" outlineLevel="0" collapsed="false">
      <c r="A436" s="135"/>
      <c r="B436" s="135"/>
      <c r="C436" s="135"/>
      <c r="D436" s="135"/>
      <c r="E436" s="135"/>
      <c r="F436" s="182"/>
      <c r="G436" s="182"/>
      <c r="H436" s="135"/>
      <c r="I436" s="135"/>
      <c r="J436" s="135"/>
      <c r="K436" s="135"/>
      <c r="L436" s="135"/>
      <c r="M436" s="135"/>
      <c r="N436" s="135"/>
      <c r="O436" s="135"/>
      <c r="P436" s="135"/>
      <c r="Q436" s="135"/>
      <c r="R436" s="135"/>
      <c r="S436" s="135"/>
    </row>
    <row r="437" customFormat="false" ht="15.75" hidden="false" customHeight="true" outlineLevel="0" collapsed="false">
      <c r="A437" s="135"/>
      <c r="B437" s="135"/>
      <c r="C437" s="135"/>
      <c r="D437" s="135"/>
      <c r="E437" s="135"/>
      <c r="F437" s="182"/>
      <c r="G437" s="182"/>
      <c r="H437" s="135"/>
      <c r="I437" s="135"/>
      <c r="J437" s="135"/>
      <c r="K437" s="135"/>
      <c r="L437" s="135"/>
      <c r="M437" s="135"/>
      <c r="N437" s="135"/>
      <c r="O437" s="135"/>
      <c r="P437" s="135"/>
      <c r="Q437" s="135"/>
      <c r="R437" s="135"/>
      <c r="S437" s="135"/>
    </row>
    <row r="438" customFormat="false" ht="15.75" hidden="false" customHeight="true" outlineLevel="0" collapsed="false">
      <c r="A438" s="135"/>
      <c r="B438" s="135"/>
      <c r="C438" s="135"/>
      <c r="D438" s="135"/>
      <c r="E438" s="135"/>
      <c r="F438" s="182"/>
      <c r="G438" s="182"/>
      <c r="H438" s="135"/>
      <c r="I438" s="135"/>
      <c r="J438" s="135"/>
      <c r="K438" s="135"/>
      <c r="L438" s="135"/>
      <c r="M438" s="135"/>
      <c r="N438" s="135"/>
      <c r="O438" s="135"/>
      <c r="P438" s="135"/>
      <c r="Q438" s="135"/>
      <c r="R438" s="135"/>
      <c r="S438" s="135"/>
    </row>
    <row r="439" customFormat="false" ht="15.75" hidden="false" customHeight="true" outlineLevel="0" collapsed="false">
      <c r="A439" s="135"/>
      <c r="B439" s="135"/>
      <c r="C439" s="135"/>
      <c r="D439" s="135"/>
      <c r="E439" s="135"/>
      <c r="F439" s="182"/>
      <c r="G439" s="182"/>
      <c r="H439" s="135"/>
      <c r="I439" s="135"/>
      <c r="J439" s="135"/>
      <c r="K439" s="135"/>
      <c r="L439" s="135"/>
      <c r="M439" s="135"/>
      <c r="N439" s="135"/>
      <c r="O439" s="135"/>
      <c r="P439" s="135"/>
      <c r="Q439" s="135"/>
      <c r="R439" s="135"/>
      <c r="S439" s="135"/>
    </row>
    <row r="440" customFormat="false" ht="15.75" hidden="false" customHeight="true" outlineLevel="0" collapsed="false">
      <c r="A440" s="135"/>
      <c r="B440" s="135"/>
      <c r="C440" s="135"/>
      <c r="D440" s="135"/>
      <c r="E440" s="135"/>
      <c r="F440" s="182"/>
      <c r="G440" s="182"/>
      <c r="H440" s="135"/>
      <c r="I440" s="135"/>
      <c r="J440" s="135"/>
      <c r="K440" s="135"/>
      <c r="L440" s="135"/>
      <c r="M440" s="135"/>
      <c r="N440" s="135"/>
      <c r="O440" s="135"/>
      <c r="P440" s="135"/>
      <c r="Q440" s="135"/>
      <c r="R440" s="135"/>
      <c r="S440" s="135"/>
    </row>
    <row r="441" customFormat="false" ht="15.75" hidden="false" customHeight="true" outlineLevel="0" collapsed="false">
      <c r="A441" s="135"/>
      <c r="B441" s="135"/>
      <c r="C441" s="135"/>
      <c r="D441" s="135"/>
      <c r="E441" s="135"/>
      <c r="F441" s="182"/>
      <c r="G441" s="182"/>
      <c r="H441" s="135"/>
      <c r="I441" s="135"/>
      <c r="J441" s="135"/>
      <c r="K441" s="135"/>
      <c r="L441" s="135"/>
      <c r="M441" s="135"/>
      <c r="N441" s="135"/>
      <c r="O441" s="135"/>
      <c r="P441" s="135"/>
      <c r="Q441" s="135"/>
      <c r="R441" s="135"/>
      <c r="S441" s="135"/>
    </row>
    <row r="442" customFormat="false" ht="15.75" hidden="false" customHeight="true" outlineLevel="0" collapsed="false">
      <c r="A442" s="135"/>
      <c r="B442" s="135"/>
      <c r="C442" s="135"/>
      <c r="D442" s="135"/>
      <c r="E442" s="135"/>
      <c r="F442" s="182"/>
      <c r="G442" s="182"/>
      <c r="H442" s="135"/>
      <c r="I442" s="135"/>
      <c r="J442" s="135"/>
      <c r="K442" s="135"/>
      <c r="L442" s="135"/>
      <c r="M442" s="135"/>
      <c r="N442" s="135"/>
      <c r="O442" s="135"/>
      <c r="P442" s="135"/>
      <c r="Q442" s="135"/>
      <c r="R442" s="135"/>
      <c r="S442" s="135"/>
    </row>
    <row r="443" customFormat="false" ht="15.75" hidden="false" customHeight="true" outlineLevel="0" collapsed="false">
      <c r="A443" s="135"/>
      <c r="B443" s="135"/>
      <c r="C443" s="135"/>
      <c r="D443" s="135"/>
      <c r="E443" s="135"/>
      <c r="F443" s="182"/>
      <c r="G443" s="182"/>
      <c r="H443" s="135"/>
      <c r="I443" s="135"/>
      <c r="J443" s="135"/>
      <c r="K443" s="135"/>
      <c r="L443" s="135"/>
      <c r="M443" s="135"/>
      <c r="N443" s="135"/>
      <c r="O443" s="135"/>
      <c r="P443" s="135"/>
      <c r="Q443" s="135"/>
      <c r="R443" s="135"/>
      <c r="S443" s="135"/>
    </row>
    <row r="444" customFormat="false" ht="15.75" hidden="false" customHeight="true" outlineLevel="0" collapsed="false">
      <c r="A444" s="135"/>
      <c r="B444" s="135"/>
      <c r="C444" s="135"/>
      <c r="D444" s="135"/>
      <c r="E444" s="135"/>
      <c r="F444" s="182"/>
      <c r="G444" s="182"/>
      <c r="H444" s="135"/>
      <c r="I444" s="135"/>
      <c r="J444" s="135"/>
      <c r="K444" s="135"/>
      <c r="L444" s="135"/>
      <c r="M444" s="135"/>
      <c r="N444" s="135"/>
      <c r="O444" s="135"/>
      <c r="P444" s="135"/>
      <c r="Q444" s="135"/>
      <c r="R444" s="135"/>
      <c r="S444" s="135"/>
    </row>
    <row r="445" customFormat="false" ht="15.75" hidden="false" customHeight="true" outlineLevel="0" collapsed="false">
      <c r="A445" s="135"/>
      <c r="B445" s="135"/>
      <c r="C445" s="135"/>
      <c r="D445" s="135"/>
      <c r="E445" s="135"/>
      <c r="F445" s="182"/>
      <c r="G445" s="182"/>
      <c r="H445" s="135"/>
      <c r="I445" s="135"/>
      <c r="J445" s="135"/>
      <c r="K445" s="135"/>
      <c r="L445" s="135"/>
      <c r="M445" s="135"/>
      <c r="N445" s="135"/>
      <c r="O445" s="135"/>
      <c r="P445" s="135"/>
      <c r="Q445" s="135"/>
      <c r="R445" s="135"/>
      <c r="S445" s="135"/>
    </row>
    <row r="446" customFormat="false" ht="15.75" hidden="false" customHeight="true" outlineLevel="0" collapsed="false">
      <c r="A446" s="135"/>
      <c r="B446" s="135"/>
      <c r="C446" s="135"/>
      <c r="D446" s="135"/>
      <c r="E446" s="135"/>
      <c r="F446" s="182"/>
      <c r="G446" s="182"/>
      <c r="H446" s="135"/>
      <c r="I446" s="135"/>
      <c r="J446" s="135"/>
      <c r="K446" s="135"/>
      <c r="L446" s="135"/>
      <c r="M446" s="135"/>
      <c r="N446" s="135"/>
      <c r="O446" s="135"/>
      <c r="P446" s="135"/>
      <c r="Q446" s="135"/>
      <c r="R446" s="135"/>
      <c r="S446" s="135"/>
    </row>
    <row r="447" customFormat="false" ht="15.75" hidden="false" customHeight="true" outlineLevel="0" collapsed="false">
      <c r="A447" s="135"/>
      <c r="B447" s="135"/>
      <c r="C447" s="135"/>
      <c r="D447" s="135"/>
      <c r="E447" s="135"/>
      <c r="F447" s="182"/>
      <c r="G447" s="182"/>
      <c r="H447" s="135"/>
      <c r="I447" s="135"/>
      <c r="J447" s="135"/>
      <c r="K447" s="135"/>
      <c r="L447" s="135"/>
      <c r="M447" s="135"/>
      <c r="N447" s="135"/>
      <c r="O447" s="135"/>
      <c r="P447" s="135"/>
      <c r="Q447" s="135"/>
      <c r="R447" s="135"/>
      <c r="S447" s="135"/>
    </row>
    <row r="448" customFormat="false" ht="15.75" hidden="false" customHeight="true" outlineLevel="0" collapsed="false">
      <c r="A448" s="135"/>
      <c r="B448" s="135"/>
      <c r="C448" s="135"/>
      <c r="D448" s="135"/>
      <c r="E448" s="135"/>
      <c r="F448" s="182"/>
      <c r="G448" s="182"/>
      <c r="H448" s="135"/>
      <c r="I448" s="135"/>
      <c r="J448" s="135"/>
      <c r="K448" s="135"/>
      <c r="L448" s="135"/>
      <c r="M448" s="135"/>
      <c r="N448" s="135"/>
      <c r="O448" s="135"/>
      <c r="P448" s="135"/>
      <c r="Q448" s="135"/>
      <c r="R448" s="135"/>
      <c r="S448" s="135"/>
    </row>
    <row r="449" customFormat="false" ht="15.75" hidden="false" customHeight="true" outlineLevel="0" collapsed="false">
      <c r="A449" s="135"/>
      <c r="B449" s="135"/>
      <c r="C449" s="135"/>
      <c r="D449" s="135"/>
      <c r="E449" s="135"/>
      <c r="F449" s="182"/>
      <c r="G449" s="182"/>
      <c r="H449" s="135"/>
      <c r="I449" s="135"/>
      <c r="J449" s="135"/>
      <c r="K449" s="135"/>
      <c r="L449" s="135"/>
      <c r="M449" s="135"/>
      <c r="N449" s="135"/>
      <c r="O449" s="135"/>
      <c r="P449" s="135"/>
      <c r="Q449" s="135"/>
      <c r="R449" s="135"/>
      <c r="S449" s="135"/>
    </row>
    <row r="450" customFormat="false" ht="15.75" hidden="false" customHeight="true" outlineLevel="0" collapsed="false">
      <c r="A450" s="135"/>
      <c r="B450" s="135"/>
      <c r="C450" s="135"/>
      <c r="D450" s="135"/>
      <c r="E450" s="135"/>
      <c r="F450" s="182"/>
      <c r="G450" s="182"/>
      <c r="H450" s="135"/>
      <c r="I450" s="135"/>
      <c r="J450" s="135"/>
      <c r="K450" s="135"/>
      <c r="L450" s="135"/>
      <c r="M450" s="135"/>
      <c r="N450" s="135"/>
      <c r="O450" s="135"/>
      <c r="P450" s="135"/>
      <c r="Q450" s="135"/>
      <c r="R450" s="135"/>
      <c r="S450" s="135"/>
    </row>
    <row r="451" customFormat="false" ht="15.75" hidden="false" customHeight="true" outlineLevel="0" collapsed="false">
      <c r="A451" s="135"/>
      <c r="B451" s="135"/>
      <c r="C451" s="135"/>
      <c r="D451" s="135"/>
      <c r="E451" s="135"/>
      <c r="F451" s="182"/>
      <c r="G451" s="182"/>
      <c r="H451" s="135"/>
      <c r="I451" s="135"/>
      <c r="J451" s="135"/>
      <c r="K451" s="135"/>
      <c r="L451" s="135"/>
      <c r="M451" s="135"/>
      <c r="N451" s="135"/>
      <c r="O451" s="135"/>
      <c r="P451" s="135"/>
      <c r="Q451" s="135"/>
      <c r="R451" s="135"/>
      <c r="S451" s="135"/>
    </row>
    <row r="452" customFormat="false" ht="15.75" hidden="false" customHeight="true" outlineLevel="0" collapsed="false">
      <c r="A452" s="135"/>
      <c r="B452" s="135"/>
      <c r="C452" s="135"/>
      <c r="D452" s="135"/>
      <c r="E452" s="135"/>
      <c r="F452" s="182"/>
      <c r="G452" s="182"/>
      <c r="H452" s="135"/>
      <c r="I452" s="135"/>
      <c r="J452" s="135"/>
      <c r="K452" s="135"/>
      <c r="L452" s="135"/>
      <c r="M452" s="135"/>
      <c r="N452" s="135"/>
      <c r="O452" s="135"/>
      <c r="P452" s="135"/>
      <c r="Q452" s="135"/>
      <c r="R452" s="135"/>
      <c r="S452" s="135"/>
    </row>
    <row r="453" customFormat="false" ht="15.75" hidden="false" customHeight="true" outlineLevel="0" collapsed="false">
      <c r="A453" s="135"/>
      <c r="B453" s="135"/>
      <c r="C453" s="135"/>
      <c r="D453" s="135"/>
      <c r="E453" s="135"/>
      <c r="F453" s="182"/>
      <c r="G453" s="182"/>
      <c r="H453" s="135"/>
      <c r="I453" s="135"/>
      <c r="J453" s="135"/>
      <c r="K453" s="135"/>
      <c r="L453" s="135"/>
      <c r="M453" s="135"/>
      <c r="N453" s="135"/>
      <c r="O453" s="135"/>
      <c r="P453" s="135"/>
      <c r="Q453" s="135"/>
      <c r="R453" s="135"/>
      <c r="S453" s="135"/>
    </row>
    <row r="454" customFormat="false" ht="15.75" hidden="false" customHeight="true" outlineLevel="0" collapsed="false">
      <c r="A454" s="135"/>
      <c r="B454" s="135"/>
      <c r="C454" s="135"/>
      <c r="D454" s="135"/>
      <c r="E454" s="135"/>
      <c r="F454" s="182"/>
      <c r="G454" s="182"/>
      <c r="H454" s="135"/>
      <c r="I454" s="135"/>
      <c r="J454" s="135"/>
      <c r="K454" s="135"/>
      <c r="L454" s="135"/>
      <c r="M454" s="135"/>
      <c r="N454" s="135"/>
      <c r="O454" s="135"/>
      <c r="P454" s="135"/>
      <c r="Q454" s="135"/>
      <c r="R454" s="135"/>
      <c r="S454" s="135"/>
    </row>
    <row r="455" customFormat="false" ht="15.75" hidden="false" customHeight="true" outlineLevel="0" collapsed="false">
      <c r="A455" s="135"/>
      <c r="B455" s="135"/>
      <c r="C455" s="135"/>
      <c r="D455" s="135"/>
      <c r="E455" s="135"/>
      <c r="F455" s="182"/>
      <c r="G455" s="182"/>
      <c r="H455" s="135"/>
      <c r="I455" s="135"/>
      <c r="J455" s="135"/>
      <c r="K455" s="135"/>
      <c r="L455" s="135"/>
      <c r="M455" s="135"/>
      <c r="N455" s="135"/>
      <c r="O455" s="135"/>
      <c r="P455" s="135"/>
      <c r="Q455" s="135"/>
      <c r="R455" s="135"/>
      <c r="S455" s="135"/>
    </row>
    <row r="456" customFormat="false" ht="15.75" hidden="false" customHeight="true" outlineLevel="0" collapsed="false">
      <c r="A456" s="135"/>
      <c r="B456" s="135"/>
      <c r="C456" s="135"/>
      <c r="D456" s="135"/>
      <c r="E456" s="135"/>
      <c r="F456" s="182"/>
      <c r="G456" s="182"/>
      <c r="H456" s="135"/>
      <c r="I456" s="135"/>
      <c r="J456" s="135"/>
      <c r="K456" s="135"/>
      <c r="L456" s="135"/>
      <c r="M456" s="135"/>
      <c r="N456" s="135"/>
      <c r="O456" s="135"/>
      <c r="P456" s="135"/>
      <c r="Q456" s="135"/>
      <c r="R456" s="135"/>
      <c r="S456" s="135"/>
    </row>
    <row r="457" customFormat="false" ht="15.75" hidden="false" customHeight="true" outlineLevel="0" collapsed="false">
      <c r="A457" s="135"/>
      <c r="B457" s="135"/>
      <c r="C457" s="135"/>
      <c r="D457" s="135"/>
      <c r="E457" s="135"/>
      <c r="F457" s="182"/>
      <c r="G457" s="182"/>
      <c r="H457" s="135"/>
      <c r="I457" s="135"/>
      <c r="J457" s="135"/>
      <c r="K457" s="135"/>
      <c r="L457" s="135"/>
      <c r="M457" s="135"/>
      <c r="N457" s="135"/>
      <c r="O457" s="135"/>
      <c r="P457" s="135"/>
      <c r="Q457" s="135"/>
      <c r="R457" s="135"/>
      <c r="S457" s="135"/>
    </row>
    <row r="458" customFormat="false" ht="15.75" hidden="false" customHeight="true" outlineLevel="0" collapsed="false">
      <c r="A458" s="135"/>
      <c r="B458" s="135"/>
      <c r="C458" s="135"/>
      <c r="D458" s="135"/>
      <c r="E458" s="135"/>
      <c r="F458" s="182"/>
      <c r="G458" s="182"/>
      <c r="H458" s="135"/>
      <c r="I458" s="135"/>
      <c r="J458" s="135"/>
      <c r="K458" s="135"/>
      <c r="L458" s="135"/>
      <c r="M458" s="135"/>
      <c r="N458" s="135"/>
      <c r="O458" s="135"/>
      <c r="P458" s="135"/>
      <c r="Q458" s="135"/>
      <c r="R458" s="135"/>
      <c r="S458" s="135"/>
    </row>
    <row r="459" customFormat="false" ht="15.75" hidden="false" customHeight="true" outlineLevel="0" collapsed="false">
      <c r="A459" s="135"/>
      <c r="B459" s="135"/>
      <c r="C459" s="135"/>
      <c r="D459" s="135"/>
      <c r="E459" s="135"/>
      <c r="F459" s="182"/>
      <c r="G459" s="182"/>
      <c r="H459" s="135"/>
      <c r="I459" s="135"/>
      <c r="J459" s="135"/>
      <c r="K459" s="135"/>
      <c r="L459" s="135"/>
      <c r="M459" s="135"/>
      <c r="N459" s="135"/>
      <c r="O459" s="135"/>
      <c r="P459" s="135"/>
      <c r="Q459" s="135"/>
      <c r="R459" s="135"/>
      <c r="S459" s="135"/>
    </row>
    <row r="460" customFormat="false" ht="15.75" hidden="false" customHeight="true" outlineLevel="0" collapsed="false">
      <c r="A460" s="135"/>
      <c r="B460" s="135"/>
      <c r="C460" s="135"/>
      <c r="D460" s="135"/>
      <c r="E460" s="135"/>
      <c r="F460" s="182"/>
      <c r="G460" s="182"/>
      <c r="H460" s="135"/>
      <c r="I460" s="135"/>
      <c r="J460" s="135"/>
      <c r="K460" s="135"/>
      <c r="L460" s="135"/>
      <c r="M460" s="135"/>
      <c r="N460" s="135"/>
      <c r="O460" s="135"/>
      <c r="P460" s="135"/>
      <c r="Q460" s="135"/>
      <c r="R460" s="135"/>
      <c r="S460" s="135"/>
    </row>
    <row r="461" customFormat="false" ht="15.75" hidden="false" customHeight="true" outlineLevel="0" collapsed="false">
      <c r="A461" s="135"/>
      <c r="B461" s="135"/>
      <c r="C461" s="135"/>
      <c r="D461" s="135"/>
      <c r="E461" s="135"/>
      <c r="F461" s="182"/>
      <c r="G461" s="182"/>
      <c r="H461" s="135"/>
      <c r="I461" s="135"/>
      <c r="J461" s="135"/>
      <c r="K461" s="135"/>
      <c r="L461" s="135"/>
      <c r="M461" s="135"/>
      <c r="N461" s="135"/>
      <c r="O461" s="135"/>
      <c r="P461" s="135"/>
      <c r="Q461" s="135"/>
      <c r="R461" s="135"/>
      <c r="S461" s="135"/>
    </row>
    <row r="462" customFormat="false" ht="15.75" hidden="false" customHeight="true" outlineLevel="0" collapsed="false">
      <c r="A462" s="135"/>
      <c r="B462" s="135"/>
      <c r="C462" s="135"/>
      <c r="D462" s="135"/>
      <c r="E462" s="135"/>
      <c r="F462" s="182"/>
      <c r="G462" s="182"/>
      <c r="H462" s="135"/>
      <c r="I462" s="135"/>
      <c r="J462" s="135"/>
      <c r="K462" s="135"/>
      <c r="L462" s="135"/>
      <c r="M462" s="135"/>
      <c r="N462" s="135"/>
      <c r="O462" s="135"/>
      <c r="P462" s="135"/>
      <c r="Q462" s="135"/>
      <c r="R462" s="135"/>
      <c r="S462" s="135"/>
    </row>
    <row r="463" customFormat="false" ht="15.75" hidden="false" customHeight="true" outlineLevel="0" collapsed="false">
      <c r="A463" s="135"/>
      <c r="B463" s="135"/>
      <c r="C463" s="135"/>
      <c r="D463" s="135"/>
      <c r="E463" s="135"/>
      <c r="F463" s="182"/>
      <c r="G463" s="182"/>
      <c r="H463" s="135"/>
      <c r="I463" s="135"/>
      <c r="J463" s="135"/>
      <c r="K463" s="135"/>
      <c r="L463" s="135"/>
      <c r="M463" s="135"/>
      <c r="N463" s="135"/>
      <c r="O463" s="135"/>
      <c r="P463" s="135"/>
      <c r="Q463" s="135"/>
      <c r="R463" s="135"/>
      <c r="S463" s="135"/>
    </row>
    <row r="464" customFormat="false" ht="15.75" hidden="false" customHeight="true" outlineLevel="0" collapsed="false">
      <c r="A464" s="135"/>
      <c r="B464" s="135"/>
      <c r="C464" s="135"/>
      <c r="D464" s="135"/>
      <c r="E464" s="135"/>
      <c r="F464" s="182"/>
      <c r="G464" s="182"/>
      <c r="H464" s="135"/>
      <c r="I464" s="135"/>
      <c r="J464" s="135"/>
      <c r="K464" s="135"/>
      <c r="L464" s="135"/>
      <c r="M464" s="135"/>
      <c r="N464" s="135"/>
      <c r="O464" s="135"/>
      <c r="P464" s="135"/>
      <c r="Q464" s="135"/>
      <c r="R464" s="135"/>
      <c r="S464" s="135"/>
    </row>
    <row r="465" customFormat="false" ht="15.75" hidden="false" customHeight="true" outlineLevel="0" collapsed="false">
      <c r="A465" s="135"/>
      <c r="B465" s="135"/>
      <c r="C465" s="135"/>
      <c r="D465" s="135"/>
      <c r="E465" s="135"/>
      <c r="F465" s="182"/>
      <c r="G465" s="182"/>
      <c r="H465" s="135"/>
      <c r="I465" s="135"/>
      <c r="J465" s="135"/>
      <c r="K465" s="135"/>
      <c r="L465" s="135"/>
      <c r="M465" s="135"/>
      <c r="N465" s="135"/>
      <c r="O465" s="135"/>
      <c r="P465" s="135"/>
      <c r="Q465" s="135"/>
      <c r="R465" s="135"/>
      <c r="S465" s="135"/>
    </row>
    <row r="466" customFormat="false" ht="15.75" hidden="false" customHeight="true" outlineLevel="0" collapsed="false">
      <c r="A466" s="135"/>
      <c r="B466" s="135"/>
      <c r="C466" s="135"/>
      <c r="D466" s="135"/>
      <c r="E466" s="135"/>
      <c r="F466" s="182"/>
      <c r="G466" s="182"/>
      <c r="H466" s="135"/>
      <c r="I466" s="135"/>
      <c r="J466" s="135"/>
      <c r="K466" s="135"/>
      <c r="L466" s="135"/>
      <c r="M466" s="135"/>
      <c r="N466" s="135"/>
      <c r="O466" s="135"/>
      <c r="P466" s="135"/>
      <c r="Q466" s="135"/>
      <c r="R466" s="135"/>
      <c r="S466" s="135"/>
    </row>
    <row r="467" customFormat="false" ht="15.75" hidden="false" customHeight="true" outlineLevel="0" collapsed="false">
      <c r="A467" s="135"/>
      <c r="B467" s="135"/>
      <c r="C467" s="135"/>
      <c r="D467" s="135"/>
      <c r="E467" s="135"/>
      <c r="F467" s="182"/>
      <c r="G467" s="182"/>
      <c r="H467" s="135"/>
      <c r="I467" s="135"/>
      <c r="J467" s="135"/>
      <c r="K467" s="135"/>
      <c r="L467" s="135"/>
      <c r="M467" s="135"/>
      <c r="N467" s="135"/>
      <c r="O467" s="135"/>
      <c r="P467" s="135"/>
      <c r="Q467" s="135"/>
      <c r="R467" s="135"/>
      <c r="S467" s="135"/>
    </row>
    <row r="468" customFormat="false" ht="15.75" hidden="false" customHeight="true" outlineLevel="0" collapsed="false">
      <c r="A468" s="135"/>
      <c r="B468" s="135"/>
      <c r="C468" s="135"/>
      <c r="D468" s="135"/>
      <c r="E468" s="135"/>
      <c r="F468" s="182"/>
      <c r="G468" s="182"/>
      <c r="H468" s="135"/>
      <c r="I468" s="135"/>
      <c r="J468" s="135"/>
      <c r="K468" s="135"/>
      <c r="L468" s="135"/>
      <c r="M468" s="135"/>
      <c r="N468" s="135"/>
      <c r="O468" s="135"/>
      <c r="P468" s="135"/>
      <c r="Q468" s="135"/>
      <c r="R468" s="135"/>
      <c r="S468" s="135"/>
    </row>
    <row r="469" customFormat="false" ht="15.75" hidden="false" customHeight="true" outlineLevel="0" collapsed="false">
      <c r="A469" s="135"/>
      <c r="B469" s="135"/>
      <c r="C469" s="135"/>
      <c r="D469" s="135"/>
      <c r="E469" s="135"/>
      <c r="F469" s="182"/>
      <c r="G469" s="182"/>
      <c r="H469" s="135"/>
      <c r="I469" s="135"/>
      <c r="J469" s="135"/>
      <c r="K469" s="135"/>
      <c r="L469" s="135"/>
      <c r="M469" s="135"/>
      <c r="N469" s="135"/>
      <c r="O469" s="135"/>
      <c r="P469" s="135"/>
      <c r="Q469" s="135"/>
      <c r="R469" s="135"/>
      <c r="S469" s="135"/>
    </row>
    <row r="470" customFormat="false" ht="15.75" hidden="false" customHeight="true" outlineLevel="0" collapsed="false">
      <c r="A470" s="135"/>
      <c r="B470" s="135"/>
      <c r="C470" s="135"/>
      <c r="D470" s="135"/>
      <c r="E470" s="135"/>
      <c r="F470" s="182"/>
      <c r="G470" s="182"/>
      <c r="H470" s="135"/>
      <c r="I470" s="135"/>
      <c r="J470" s="135"/>
      <c r="K470" s="135"/>
      <c r="L470" s="135"/>
      <c r="M470" s="135"/>
      <c r="N470" s="135"/>
      <c r="O470" s="135"/>
      <c r="P470" s="135"/>
      <c r="Q470" s="135"/>
      <c r="R470" s="135"/>
      <c r="S470" s="135"/>
    </row>
    <row r="471" customFormat="false" ht="15.75" hidden="false" customHeight="true" outlineLevel="0" collapsed="false">
      <c r="A471" s="135"/>
      <c r="B471" s="135"/>
      <c r="C471" s="135"/>
      <c r="D471" s="135"/>
      <c r="E471" s="135"/>
      <c r="F471" s="182"/>
      <c r="G471" s="182"/>
      <c r="H471" s="135"/>
      <c r="I471" s="135"/>
      <c r="J471" s="135"/>
      <c r="K471" s="135"/>
      <c r="L471" s="135"/>
      <c r="M471" s="135"/>
      <c r="N471" s="135"/>
      <c r="O471" s="135"/>
      <c r="P471" s="135"/>
      <c r="Q471" s="135"/>
      <c r="R471" s="135"/>
      <c r="S471" s="135"/>
    </row>
    <row r="472" customFormat="false" ht="15.75" hidden="false" customHeight="true" outlineLevel="0" collapsed="false">
      <c r="A472" s="135"/>
      <c r="B472" s="135"/>
      <c r="C472" s="135"/>
      <c r="D472" s="135"/>
      <c r="E472" s="135"/>
      <c r="F472" s="182"/>
      <c r="G472" s="182"/>
      <c r="H472" s="135"/>
      <c r="I472" s="135"/>
      <c r="J472" s="135"/>
      <c r="K472" s="135"/>
      <c r="L472" s="135"/>
      <c r="M472" s="135"/>
      <c r="N472" s="135"/>
      <c r="O472" s="135"/>
      <c r="P472" s="135"/>
      <c r="Q472" s="135"/>
      <c r="R472" s="135"/>
      <c r="S472" s="135"/>
    </row>
    <row r="473" customFormat="false" ht="15.75" hidden="false" customHeight="true" outlineLevel="0" collapsed="false">
      <c r="A473" s="135"/>
      <c r="B473" s="135"/>
      <c r="C473" s="135"/>
      <c r="D473" s="135"/>
      <c r="E473" s="135"/>
      <c r="F473" s="182"/>
      <c r="G473" s="182"/>
      <c r="H473" s="135"/>
      <c r="I473" s="135"/>
      <c r="J473" s="135"/>
      <c r="K473" s="135"/>
      <c r="L473" s="135"/>
      <c r="M473" s="135"/>
      <c r="N473" s="135"/>
      <c r="O473" s="135"/>
      <c r="P473" s="135"/>
      <c r="Q473" s="135"/>
      <c r="R473" s="135"/>
      <c r="S473" s="135"/>
    </row>
    <row r="474" customFormat="false" ht="15.75" hidden="false" customHeight="true" outlineLevel="0" collapsed="false">
      <c r="A474" s="135"/>
      <c r="B474" s="135"/>
      <c r="C474" s="135"/>
      <c r="D474" s="135"/>
      <c r="E474" s="135"/>
      <c r="F474" s="182"/>
      <c r="G474" s="182"/>
      <c r="H474" s="135"/>
      <c r="I474" s="135"/>
      <c r="J474" s="135"/>
      <c r="K474" s="135"/>
      <c r="L474" s="135"/>
      <c r="M474" s="135"/>
      <c r="N474" s="135"/>
      <c r="O474" s="135"/>
      <c r="P474" s="135"/>
      <c r="Q474" s="135"/>
      <c r="R474" s="135"/>
      <c r="S474" s="135"/>
    </row>
    <row r="475" customFormat="false" ht="15.75" hidden="false" customHeight="true" outlineLevel="0" collapsed="false">
      <c r="A475" s="135"/>
      <c r="B475" s="135"/>
      <c r="C475" s="135"/>
      <c r="D475" s="135"/>
      <c r="E475" s="135"/>
      <c r="F475" s="182"/>
      <c r="G475" s="182"/>
      <c r="H475" s="135"/>
      <c r="I475" s="135"/>
      <c r="J475" s="135"/>
      <c r="K475" s="135"/>
      <c r="L475" s="135"/>
      <c r="M475" s="135"/>
      <c r="N475" s="135"/>
      <c r="O475" s="135"/>
      <c r="P475" s="135"/>
      <c r="Q475" s="135"/>
      <c r="R475" s="135"/>
      <c r="S475" s="135"/>
    </row>
    <row r="476" customFormat="false" ht="15.75" hidden="false" customHeight="true" outlineLevel="0" collapsed="false">
      <c r="A476" s="135"/>
      <c r="B476" s="135"/>
      <c r="C476" s="135"/>
      <c r="D476" s="135"/>
      <c r="E476" s="135"/>
      <c r="F476" s="182"/>
      <c r="G476" s="182"/>
      <c r="H476" s="135"/>
      <c r="I476" s="135"/>
      <c r="J476" s="135"/>
      <c r="K476" s="135"/>
      <c r="L476" s="135"/>
      <c r="M476" s="135"/>
      <c r="N476" s="135"/>
      <c r="O476" s="135"/>
      <c r="P476" s="135"/>
      <c r="Q476" s="135"/>
      <c r="R476" s="135"/>
      <c r="S476" s="135"/>
    </row>
    <row r="477" customFormat="false" ht="15.75" hidden="false" customHeight="true" outlineLevel="0" collapsed="false">
      <c r="A477" s="135"/>
      <c r="B477" s="135"/>
      <c r="C477" s="135"/>
      <c r="D477" s="135"/>
      <c r="E477" s="135"/>
      <c r="F477" s="182"/>
      <c r="G477" s="182"/>
      <c r="H477" s="135"/>
      <c r="I477" s="135"/>
      <c r="J477" s="135"/>
      <c r="K477" s="135"/>
      <c r="L477" s="135"/>
      <c r="M477" s="135"/>
      <c r="N477" s="135"/>
      <c r="O477" s="135"/>
      <c r="P477" s="135"/>
      <c r="Q477" s="135"/>
      <c r="R477" s="135"/>
      <c r="S477" s="135"/>
    </row>
    <row r="478" customFormat="false" ht="15.75" hidden="false" customHeight="true" outlineLevel="0" collapsed="false">
      <c r="A478" s="135"/>
      <c r="B478" s="135"/>
      <c r="C478" s="135"/>
      <c r="D478" s="135"/>
      <c r="E478" s="135"/>
      <c r="F478" s="182"/>
      <c r="G478" s="182"/>
      <c r="H478" s="135"/>
      <c r="I478" s="135"/>
      <c r="J478" s="135"/>
      <c r="K478" s="135"/>
      <c r="L478" s="135"/>
      <c r="M478" s="135"/>
      <c r="N478" s="135"/>
      <c r="O478" s="135"/>
      <c r="P478" s="135"/>
      <c r="Q478" s="135"/>
      <c r="R478" s="135"/>
      <c r="S478" s="135"/>
    </row>
    <row r="479" customFormat="false" ht="15.75" hidden="false" customHeight="true" outlineLevel="0" collapsed="false">
      <c r="A479" s="135"/>
      <c r="B479" s="135"/>
      <c r="C479" s="135"/>
      <c r="D479" s="135"/>
      <c r="E479" s="135"/>
      <c r="F479" s="182"/>
      <c r="G479" s="182"/>
      <c r="H479" s="135"/>
      <c r="I479" s="135"/>
      <c r="J479" s="135"/>
      <c r="K479" s="135"/>
      <c r="L479" s="135"/>
      <c r="M479" s="135"/>
      <c r="N479" s="135"/>
      <c r="O479" s="135"/>
      <c r="P479" s="135"/>
      <c r="Q479" s="135"/>
      <c r="R479" s="135"/>
      <c r="S479" s="135"/>
    </row>
    <row r="480" customFormat="false" ht="15.75" hidden="false" customHeight="true" outlineLevel="0" collapsed="false">
      <c r="A480" s="135"/>
      <c r="B480" s="135"/>
      <c r="C480" s="135"/>
      <c r="D480" s="135"/>
      <c r="E480" s="135"/>
      <c r="F480" s="182"/>
      <c r="G480" s="182"/>
      <c r="H480" s="135"/>
      <c r="I480" s="135"/>
      <c r="J480" s="135"/>
      <c r="K480" s="135"/>
      <c r="L480" s="135"/>
      <c r="M480" s="135"/>
      <c r="N480" s="135"/>
      <c r="O480" s="135"/>
      <c r="P480" s="135"/>
      <c r="Q480" s="135"/>
      <c r="R480" s="135"/>
      <c r="S480" s="135"/>
    </row>
    <row r="481" customFormat="false" ht="15.75" hidden="false" customHeight="true" outlineLevel="0" collapsed="false">
      <c r="A481" s="135"/>
      <c r="B481" s="135"/>
      <c r="C481" s="135"/>
      <c r="D481" s="135"/>
      <c r="E481" s="135"/>
      <c r="F481" s="182"/>
      <c r="G481" s="182"/>
      <c r="H481" s="135"/>
      <c r="I481" s="135"/>
      <c r="J481" s="135"/>
      <c r="K481" s="135"/>
      <c r="L481" s="135"/>
      <c r="M481" s="135"/>
      <c r="N481" s="135"/>
      <c r="O481" s="135"/>
      <c r="P481" s="135"/>
      <c r="Q481" s="135"/>
      <c r="R481" s="135"/>
      <c r="S481" s="135"/>
    </row>
    <row r="482" customFormat="false" ht="15.75" hidden="false" customHeight="true" outlineLevel="0" collapsed="false">
      <c r="A482" s="135"/>
      <c r="B482" s="135"/>
      <c r="C482" s="135"/>
      <c r="D482" s="135"/>
      <c r="E482" s="135"/>
      <c r="F482" s="182"/>
      <c r="G482" s="182"/>
      <c r="H482" s="135"/>
      <c r="I482" s="135"/>
      <c r="J482" s="135"/>
      <c r="K482" s="135"/>
      <c r="L482" s="135"/>
      <c r="M482" s="135"/>
      <c r="N482" s="135"/>
      <c r="O482" s="135"/>
      <c r="P482" s="135"/>
      <c r="Q482" s="135"/>
      <c r="R482" s="135"/>
      <c r="S482" s="135"/>
    </row>
    <row r="483" customFormat="false" ht="15.75" hidden="false" customHeight="true" outlineLevel="0" collapsed="false">
      <c r="A483" s="135"/>
      <c r="B483" s="135"/>
      <c r="C483" s="135"/>
      <c r="D483" s="135"/>
      <c r="E483" s="135"/>
      <c r="F483" s="182"/>
      <c r="G483" s="182"/>
      <c r="H483" s="135"/>
      <c r="I483" s="135"/>
      <c r="J483" s="135"/>
      <c r="K483" s="135"/>
      <c r="L483" s="135"/>
      <c r="M483" s="135"/>
      <c r="N483" s="135"/>
      <c r="O483" s="135"/>
      <c r="P483" s="135"/>
      <c r="Q483" s="135"/>
      <c r="R483" s="135"/>
      <c r="S483" s="135"/>
    </row>
    <row r="484" customFormat="false" ht="15.75" hidden="false" customHeight="true" outlineLevel="0" collapsed="false">
      <c r="A484" s="135"/>
      <c r="B484" s="135"/>
      <c r="C484" s="135"/>
      <c r="D484" s="135"/>
      <c r="E484" s="135"/>
      <c r="F484" s="182"/>
      <c r="G484" s="182"/>
      <c r="H484" s="135"/>
      <c r="I484" s="135"/>
      <c r="J484" s="135"/>
      <c r="K484" s="135"/>
      <c r="L484" s="135"/>
      <c r="M484" s="135"/>
      <c r="N484" s="135"/>
      <c r="O484" s="135"/>
      <c r="P484" s="135"/>
      <c r="Q484" s="135"/>
      <c r="R484" s="135"/>
      <c r="S484" s="135"/>
    </row>
    <row r="485" customFormat="false" ht="15.75" hidden="false" customHeight="true" outlineLevel="0" collapsed="false">
      <c r="A485" s="135"/>
      <c r="B485" s="135"/>
      <c r="C485" s="135"/>
      <c r="D485" s="135"/>
      <c r="E485" s="135"/>
      <c r="F485" s="182"/>
      <c r="G485" s="182"/>
      <c r="H485" s="135"/>
      <c r="I485" s="135"/>
      <c r="J485" s="135"/>
      <c r="K485" s="135"/>
      <c r="L485" s="135"/>
      <c r="M485" s="135"/>
      <c r="N485" s="135"/>
      <c r="O485" s="135"/>
      <c r="P485" s="135"/>
      <c r="Q485" s="135"/>
      <c r="R485" s="135"/>
      <c r="S485" s="135"/>
    </row>
    <row r="486" customFormat="false" ht="15.75" hidden="false" customHeight="true" outlineLevel="0" collapsed="false">
      <c r="A486" s="135"/>
      <c r="B486" s="135"/>
      <c r="C486" s="135"/>
      <c r="D486" s="135"/>
      <c r="E486" s="135"/>
      <c r="F486" s="182"/>
      <c r="G486" s="182"/>
      <c r="H486" s="135"/>
      <c r="I486" s="135"/>
      <c r="J486" s="135"/>
      <c r="K486" s="135"/>
      <c r="L486" s="135"/>
      <c r="M486" s="135"/>
      <c r="N486" s="135"/>
      <c r="O486" s="135"/>
      <c r="P486" s="135"/>
      <c r="Q486" s="135"/>
      <c r="R486" s="135"/>
      <c r="S486" s="135"/>
    </row>
    <row r="487" customFormat="false" ht="15.75" hidden="false" customHeight="true" outlineLevel="0" collapsed="false">
      <c r="A487" s="135"/>
      <c r="B487" s="135"/>
      <c r="C487" s="135"/>
      <c r="D487" s="135"/>
      <c r="E487" s="135"/>
      <c r="F487" s="182"/>
      <c r="G487" s="182"/>
      <c r="H487" s="135"/>
      <c r="I487" s="135"/>
      <c r="J487" s="135"/>
      <c r="K487" s="135"/>
      <c r="L487" s="135"/>
      <c r="M487" s="135"/>
      <c r="N487" s="135"/>
      <c r="O487" s="135"/>
      <c r="P487" s="135"/>
      <c r="Q487" s="135"/>
      <c r="R487" s="135"/>
      <c r="S487" s="135"/>
    </row>
    <row r="488" customFormat="false" ht="15.75" hidden="false" customHeight="true" outlineLevel="0" collapsed="false">
      <c r="A488" s="135"/>
      <c r="B488" s="135"/>
      <c r="C488" s="135"/>
      <c r="D488" s="135"/>
      <c r="E488" s="135"/>
      <c r="F488" s="182"/>
      <c r="G488" s="182"/>
      <c r="H488" s="135"/>
      <c r="I488" s="135"/>
      <c r="J488" s="135"/>
      <c r="K488" s="135"/>
      <c r="L488" s="135"/>
      <c r="M488" s="135"/>
      <c r="N488" s="135"/>
      <c r="O488" s="135"/>
      <c r="P488" s="135"/>
      <c r="Q488" s="135"/>
      <c r="R488" s="135"/>
      <c r="S488" s="135"/>
    </row>
    <row r="489" customFormat="false" ht="15.75" hidden="false" customHeight="true" outlineLevel="0" collapsed="false">
      <c r="A489" s="135"/>
      <c r="B489" s="135"/>
      <c r="C489" s="135"/>
      <c r="D489" s="135"/>
      <c r="E489" s="135"/>
      <c r="F489" s="182"/>
      <c r="G489" s="182"/>
      <c r="H489" s="135"/>
      <c r="I489" s="135"/>
      <c r="J489" s="135"/>
      <c r="K489" s="135"/>
      <c r="L489" s="135"/>
      <c r="M489" s="135"/>
      <c r="N489" s="135"/>
      <c r="O489" s="135"/>
      <c r="P489" s="135"/>
      <c r="Q489" s="135"/>
      <c r="R489" s="135"/>
      <c r="S489" s="135"/>
    </row>
    <row r="490" customFormat="false" ht="15.75" hidden="false" customHeight="true" outlineLevel="0" collapsed="false">
      <c r="A490" s="135"/>
      <c r="B490" s="135"/>
      <c r="C490" s="135"/>
      <c r="D490" s="135"/>
      <c r="E490" s="135"/>
      <c r="F490" s="182"/>
      <c r="G490" s="182"/>
      <c r="H490" s="135"/>
      <c r="I490" s="135"/>
      <c r="J490" s="135"/>
      <c r="K490" s="135"/>
      <c r="L490" s="135"/>
      <c r="M490" s="135"/>
      <c r="N490" s="135"/>
      <c r="O490" s="135"/>
      <c r="P490" s="135"/>
      <c r="Q490" s="135"/>
      <c r="R490" s="135"/>
      <c r="S490" s="135"/>
    </row>
    <row r="491" customFormat="false" ht="15.75" hidden="false" customHeight="true" outlineLevel="0" collapsed="false">
      <c r="A491" s="135"/>
      <c r="B491" s="135"/>
      <c r="C491" s="135"/>
      <c r="D491" s="135"/>
      <c r="E491" s="135"/>
      <c r="F491" s="182"/>
      <c r="G491" s="182"/>
      <c r="H491" s="135"/>
      <c r="I491" s="135"/>
      <c r="J491" s="135"/>
      <c r="K491" s="135"/>
      <c r="L491" s="135"/>
      <c r="M491" s="135"/>
      <c r="N491" s="135"/>
      <c r="O491" s="135"/>
      <c r="P491" s="135"/>
      <c r="Q491" s="135"/>
      <c r="R491" s="135"/>
      <c r="S491" s="135"/>
    </row>
    <row r="492" customFormat="false" ht="15.75" hidden="false" customHeight="true" outlineLevel="0" collapsed="false">
      <c r="A492" s="135"/>
      <c r="B492" s="135"/>
      <c r="C492" s="135"/>
      <c r="D492" s="135"/>
      <c r="E492" s="135"/>
      <c r="F492" s="182"/>
      <c r="G492" s="182"/>
      <c r="H492" s="135"/>
      <c r="I492" s="135"/>
      <c r="J492" s="135"/>
      <c r="K492" s="135"/>
      <c r="L492" s="135"/>
      <c r="M492" s="135"/>
      <c r="N492" s="135"/>
      <c r="O492" s="135"/>
      <c r="P492" s="135"/>
      <c r="Q492" s="135"/>
      <c r="R492" s="135"/>
      <c r="S492" s="135"/>
    </row>
    <row r="493" customFormat="false" ht="15.75" hidden="false" customHeight="true" outlineLevel="0" collapsed="false">
      <c r="A493" s="135"/>
      <c r="B493" s="135"/>
      <c r="C493" s="135"/>
      <c r="D493" s="135"/>
      <c r="E493" s="135"/>
      <c r="F493" s="182"/>
      <c r="G493" s="182"/>
      <c r="H493" s="135"/>
      <c r="I493" s="135"/>
      <c r="J493" s="135"/>
      <c r="K493" s="135"/>
      <c r="L493" s="135"/>
      <c r="M493" s="135"/>
      <c r="N493" s="135"/>
      <c r="O493" s="135"/>
      <c r="P493" s="135"/>
      <c r="Q493" s="135"/>
      <c r="R493" s="135"/>
      <c r="S493" s="135"/>
    </row>
    <row r="494" customFormat="false" ht="15.75" hidden="false" customHeight="true" outlineLevel="0" collapsed="false">
      <c r="A494" s="135"/>
      <c r="B494" s="135"/>
      <c r="C494" s="135"/>
      <c r="D494" s="135"/>
      <c r="E494" s="135"/>
      <c r="F494" s="182"/>
      <c r="G494" s="182"/>
      <c r="H494" s="135"/>
      <c r="I494" s="135"/>
      <c r="J494" s="135"/>
      <c r="K494" s="135"/>
      <c r="L494" s="135"/>
      <c r="M494" s="135"/>
      <c r="N494" s="135"/>
      <c r="O494" s="135"/>
      <c r="P494" s="135"/>
      <c r="Q494" s="135"/>
      <c r="R494" s="135"/>
      <c r="S494" s="135"/>
    </row>
    <row r="495" customFormat="false" ht="15.75" hidden="false" customHeight="true" outlineLevel="0" collapsed="false">
      <c r="A495" s="135"/>
      <c r="B495" s="135"/>
      <c r="C495" s="135"/>
      <c r="D495" s="135"/>
      <c r="E495" s="135"/>
      <c r="F495" s="182"/>
      <c r="G495" s="182"/>
      <c r="H495" s="135"/>
      <c r="I495" s="135"/>
      <c r="J495" s="135"/>
      <c r="K495" s="135"/>
      <c r="L495" s="135"/>
      <c r="M495" s="135"/>
      <c r="N495" s="135"/>
      <c r="O495" s="135"/>
      <c r="P495" s="135"/>
      <c r="Q495" s="135"/>
      <c r="R495" s="135"/>
      <c r="S495" s="135"/>
    </row>
    <row r="496" customFormat="false" ht="15.75" hidden="false" customHeight="true" outlineLevel="0" collapsed="false">
      <c r="A496" s="135"/>
      <c r="B496" s="135"/>
      <c r="C496" s="135"/>
      <c r="D496" s="135"/>
      <c r="E496" s="135"/>
      <c r="F496" s="182"/>
      <c r="G496" s="182"/>
      <c r="H496" s="135"/>
      <c r="I496" s="135"/>
      <c r="J496" s="135"/>
      <c r="K496" s="135"/>
      <c r="L496" s="135"/>
      <c r="M496" s="135"/>
      <c r="N496" s="135"/>
      <c r="O496" s="135"/>
      <c r="P496" s="135"/>
      <c r="Q496" s="135"/>
      <c r="R496" s="135"/>
      <c r="S496" s="135"/>
    </row>
    <row r="497" customFormat="false" ht="15.75" hidden="false" customHeight="true" outlineLevel="0" collapsed="false">
      <c r="A497" s="135"/>
      <c r="B497" s="135"/>
      <c r="C497" s="135"/>
      <c r="D497" s="135"/>
      <c r="E497" s="135"/>
      <c r="F497" s="182"/>
      <c r="G497" s="182"/>
      <c r="H497" s="135"/>
      <c r="I497" s="135"/>
      <c r="J497" s="135"/>
      <c r="K497" s="135"/>
      <c r="L497" s="135"/>
      <c r="M497" s="135"/>
      <c r="N497" s="135"/>
      <c r="O497" s="135"/>
      <c r="P497" s="135"/>
      <c r="Q497" s="135"/>
      <c r="R497" s="135"/>
      <c r="S497" s="135"/>
    </row>
    <row r="498" customFormat="false" ht="15.75" hidden="false" customHeight="true" outlineLevel="0" collapsed="false">
      <c r="A498" s="135"/>
      <c r="B498" s="135"/>
      <c r="C498" s="135"/>
      <c r="D498" s="135"/>
      <c r="E498" s="135"/>
      <c r="F498" s="182"/>
      <c r="G498" s="182"/>
      <c r="H498" s="135"/>
      <c r="I498" s="135"/>
      <c r="J498" s="135"/>
      <c r="K498" s="135"/>
      <c r="L498" s="135"/>
      <c r="M498" s="135"/>
      <c r="N498" s="135"/>
      <c r="O498" s="135"/>
      <c r="P498" s="135"/>
      <c r="Q498" s="135"/>
      <c r="R498" s="135"/>
      <c r="S498" s="135"/>
    </row>
    <row r="499" customFormat="false" ht="15.75" hidden="false" customHeight="true" outlineLevel="0" collapsed="false">
      <c r="A499" s="135"/>
      <c r="B499" s="135"/>
      <c r="C499" s="135"/>
      <c r="D499" s="135"/>
      <c r="E499" s="135"/>
      <c r="F499" s="182"/>
      <c r="G499" s="182"/>
      <c r="H499" s="135"/>
      <c r="I499" s="135"/>
      <c r="J499" s="135"/>
      <c r="K499" s="135"/>
      <c r="L499" s="135"/>
      <c r="M499" s="135"/>
      <c r="N499" s="135"/>
      <c r="O499" s="135"/>
      <c r="P499" s="135"/>
      <c r="Q499" s="135"/>
      <c r="R499" s="135"/>
      <c r="S499" s="135"/>
    </row>
    <row r="500" customFormat="false" ht="15.75" hidden="false" customHeight="true" outlineLevel="0" collapsed="false">
      <c r="A500" s="135"/>
      <c r="B500" s="135"/>
      <c r="C500" s="135"/>
      <c r="D500" s="135"/>
      <c r="E500" s="135"/>
      <c r="F500" s="182"/>
      <c r="G500" s="182"/>
      <c r="H500" s="135"/>
      <c r="I500" s="135"/>
      <c r="J500" s="135"/>
      <c r="K500" s="135"/>
      <c r="L500" s="135"/>
      <c r="M500" s="135"/>
      <c r="N500" s="135"/>
      <c r="O500" s="135"/>
      <c r="P500" s="135"/>
      <c r="Q500" s="135"/>
      <c r="R500" s="135"/>
      <c r="S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Q8"/>
  <conditionalFormatting sqref="J3:J1000">
    <cfRule type="cellIs" priority="2" operator="greaterThanOrEqual" aboveAverage="0" equalAverage="0" bottom="0" percent="0" rank="0" text="" dxfId="18">
      <formula>9</formula>
    </cfRule>
    <cfRule type="cellIs" priority="3" operator="lessThanOrEqual" aboveAverage="0" equalAverage="0" bottom="0" percent="0" rank="0" text="" dxfId="14">
      <formula>6</formula>
    </cfRule>
  </conditionalFormatting>
  <conditionalFormatting sqref="I3:I1000">
    <cfRule type="cellIs" priority="4" operator="lessThanOrEqual" aboveAverage="0" equalAverage="0" bottom="0" percent="0" rank="0" text="" dxfId="14">
      <formula>2</formula>
    </cfRule>
    <cfRule type="cellIs" priority="5" operator="greaterThanOrEqual" aboveAverage="0" equalAverage="0" bottom="0" percent="0" rank="0" text="" dxfId="18">
      <formula>4</formula>
    </cfRule>
  </conditionalFormatting>
  <conditionalFormatting sqref="R4:R1000">
    <cfRule type="expression" priority="6" aboveAverage="0" equalAverage="0" bottom="0" percent="0" rank="0" text="" dxfId="14">
      <formula>OR(ISNUMBER(SEARCH("Quá SLA",R4)),ISNUMBER(SEARCH("NGAY",R4)),ISNUMBER(SEARCH("trễ",R4)),ISNUMBER(SEARCH("missing",R4)))</formula>
    </cfRule>
    <cfRule type="expression" priority="7" aboveAverage="0" equalAverage="0" bottom="0" percent="0" rank="0" text="" dxfId="15">
      <formula>OR(ISNUMBER(SEARCH("đến hạn",R4)),ISNUMBER(SEARCH("chờ",R4)),ISNUMBER(SEARCH("Chưa",R4)))</formula>
    </cfRule>
    <cfRule type="expression" priority="8" aboveAverage="0" equalAverage="0" bottom="0" percent="0" rank="0" text="" dxfId="19">
      <formula>OR(ISNUMBER(SEARCH(" ngay",R4)),ISNUMBER(SEARCH(" gấp",R4)),ISNUMBER(SEARCH("GỌI",R4)),ISNUMBER(SEARCH("NGUY",R4)))</formula>
    </cfRule>
    <cfRule type="expression" priority="9" aboveAverage="0" equalAverage="0" bottom="0" percent="0" rank="0" text="" dxfId="20">
      <formula>ISNUMBER(SEARCH("Không cần làm gì",R4))</formula>
    </cfRule>
    <cfRule type="expression" priority="10" aboveAverage="0" equalAverage="0" bottom="0" percent="0" rank="0" text="" dxfId="21">
      <formula>LEN(R4)&gt;0</formula>
    </cfRule>
  </conditionalFormatting>
  <dataValidations count="1">
    <dataValidation allowBlank="true" errorStyle="stop" operator="between" showDropDown="false" showErrorMessage="false" showInputMessage="false" sqref="E4:E1000" type="list">
      <formula1>'CH1. Danh mục lựa chọn'!$B$281:$B$285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8.71"/>
    <col collapsed="false" customWidth="true" hidden="false" outlineLevel="0" max="2" min="2" style="1" width="20.43"/>
    <col collapsed="false" customWidth="true" hidden="false" outlineLevel="0" max="3" min="3" style="1" width="15.71"/>
    <col collapsed="false" customWidth="true" hidden="false" outlineLevel="0" max="4" min="4" style="1" width="20.57"/>
    <col collapsed="false" customWidth="true" hidden="false" outlineLevel="0" max="5" min="5" style="1" width="24.14"/>
    <col collapsed="false" customWidth="true" hidden="false" outlineLevel="0" max="6" min="6" style="1" width="22.71"/>
    <col collapsed="false" customWidth="true" hidden="false" outlineLevel="0" max="7" min="7" style="1" width="40.84"/>
    <col collapsed="false" customWidth="true" hidden="false" outlineLevel="0" max="8" min="8" style="1" width="21.29"/>
    <col collapsed="false" customWidth="true" hidden="false" outlineLevel="0" max="9" min="9" style="1" width="26.57"/>
    <col collapsed="false" customWidth="true" hidden="false" outlineLevel="0" max="10" min="10" style="1" width="26.86"/>
    <col collapsed="false" customWidth="true" hidden="false" outlineLevel="0" max="11" min="11" style="1" width="18.57"/>
    <col collapsed="false" customWidth="true" hidden="false" outlineLevel="0" max="12" min="12" style="1" width="18"/>
    <col collapsed="false" customWidth="true" hidden="false" outlineLevel="0" max="13" min="13" style="1" width="29"/>
    <col collapsed="false" customWidth="true" hidden="false" outlineLevel="0" max="14" min="14" style="1" width="21.43"/>
    <col collapsed="false" customWidth="true" hidden="false" outlineLevel="0" max="15" min="15" style="1" width="27.15"/>
    <col collapsed="false" customWidth="true" hidden="false" outlineLevel="0" max="16" min="16" style="1" width="19.14"/>
    <col collapsed="false" customWidth="true" hidden="false" outlineLevel="0" max="17" min="17" style="1" width="10.14"/>
    <col collapsed="false" customWidth="true" hidden="false" outlineLevel="0" max="18" min="18" style="1" width="59.85"/>
    <col collapsed="false" customWidth="true" hidden="false" outlineLevel="0" max="19" min="19" style="1" width="18.43"/>
    <col collapsed="false" customWidth="true" hidden="false" outlineLevel="0" max="20" min="20" style="1" width="33.86"/>
    <col collapsed="false" customWidth="true" hidden="false" outlineLevel="0" max="26" min="21" style="1" width="8.71"/>
  </cols>
  <sheetData>
    <row r="1" customFormat="false" ht="21.75" hidden="false" customHeight="true" outlineLevel="0" collapsed="false">
      <c r="A1" s="106" t="s">
        <v>908</v>
      </c>
      <c r="B1" s="106" t="s">
        <v>3519</v>
      </c>
      <c r="C1" s="106" t="s">
        <v>850</v>
      </c>
      <c r="D1" s="106" t="s">
        <v>872</v>
      </c>
      <c r="E1" s="106" t="s">
        <v>3520</v>
      </c>
      <c r="F1" s="106" t="s">
        <v>3521</v>
      </c>
      <c r="G1" s="106" t="s">
        <v>3522</v>
      </c>
      <c r="H1" s="106" t="s">
        <v>3523</v>
      </c>
      <c r="I1" s="106" t="s">
        <v>3524</v>
      </c>
      <c r="J1" s="106" t="s">
        <v>3525</v>
      </c>
      <c r="K1" s="106" t="s">
        <v>3526</v>
      </c>
      <c r="L1" s="106" t="s">
        <v>3527</v>
      </c>
      <c r="M1" s="106" t="s">
        <v>3528</v>
      </c>
      <c r="N1" s="106" t="s">
        <v>3529</v>
      </c>
      <c r="O1" s="106" t="s">
        <v>3530</v>
      </c>
      <c r="P1" s="106" t="s">
        <v>3531</v>
      </c>
      <c r="Q1" s="106" t="s">
        <v>2270</v>
      </c>
      <c r="R1" s="183" t="s">
        <v>480</v>
      </c>
      <c r="S1" s="241" t="s">
        <v>862</v>
      </c>
      <c r="T1" s="241" t="s">
        <v>875</v>
      </c>
    </row>
    <row r="2" customFormat="false" ht="18" hidden="false" customHeight="true" outlineLevel="0" collapsed="false">
      <c r="A2" s="176" t="s">
        <v>3532</v>
      </c>
      <c r="B2" s="176" t="s">
        <v>3533</v>
      </c>
      <c r="C2" s="176" t="s">
        <v>2857</v>
      </c>
      <c r="D2" s="176" t="s">
        <v>3002</v>
      </c>
      <c r="E2" s="176" t="s">
        <v>3534</v>
      </c>
      <c r="F2" s="176" t="s">
        <v>3535</v>
      </c>
      <c r="G2" s="176" t="s">
        <v>3536</v>
      </c>
      <c r="H2" s="176" t="s">
        <v>3537</v>
      </c>
      <c r="I2" s="176" t="s">
        <v>3538</v>
      </c>
      <c r="J2" s="176" t="s">
        <v>3539</v>
      </c>
      <c r="K2" s="176" t="s">
        <v>3540</v>
      </c>
      <c r="L2" s="176" t="s">
        <v>3541</v>
      </c>
      <c r="M2" s="176" t="s">
        <v>3542</v>
      </c>
      <c r="N2" s="176" t="s">
        <v>3543</v>
      </c>
      <c r="O2" s="176" t="s">
        <v>3544</v>
      </c>
      <c r="P2" s="176" t="s">
        <v>3545</v>
      </c>
      <c r="Q2" s="176" t="s">
        <v>2281</v>
      </c>
      <c r="R2" s="176" t="s">
        <v>2503</v>
      </c>
      <c r="S2" s="191" t="s">
        <v>2873</v>
      </c>
      <c r="T2" s="191" t="s">
        <v>3010</v>
      </c>
    </row>
    <row r="3" customFormat="false" ht="27.75" hidden="false" customHeight="true" outlineLevel="0" collapsed="false">
      <c r="A3" s="195" t="s">
        <v>3546</v>
      </c>
      <c r="B3" s="195" t="s">
        <v>2521</v>
      </c>
      <c r="C3" s="195" t="s">
        <v>3315</v>
      </c>
      <c r="D3" s="195" t="s">
        <v>3547</v>
      </c>
      <c r="E3" s="195" t="s">
        <v>2514</v>
      </c>
      <c r="F3" s="195" t="s">
        <v>3548</v>
      </c>
      <c r="G3" s="195" t="s">
        <v>2514</v>
      </c>
      <c r="H3" s="195" t="s">
        <v>3499</v>
      </c>
      <c r="I3" s="195" t="s">
        <v>3549</v>
      </c>
      <c r="J3" s="195" t="s">
        <v>2514</v>
      </c>
      <c r="K3" s="195" t="s">
        <v>2521</v>
      </c>
      <c r="L3" s="195" t="s">
        <v>3550</v>
      </c>
      <c r="M3" s="195" t="s">
        <v>3551</v>
      </c>
      <c r="N3" s="195" t="s">
        <v>2521</v>
      </c>
      <c r="O3" s="195" t="s">
        <v>3552</v>
      </c>
      <c r="P3" s="195" t="s">
        <v>3553</v>
      </c>
      <c r="Q3" s="195"/>
      <c r="R3" s="195" t="s">
        <v>3319</v>
      </c>
      <c r="S3" s="242" t="s">
        <v>2888</v>
      </c>
      <c r="T3" s="242" t="s">
        <v>3022</v>
      </c>
    </row>
    <row r="4" customFormat="false" ht="40.5" hidden="false" customHeight="true" outlineLevel="0" collapsed="false">
      <c r="A4" s="219" t="s">
        <v>3554</v>
      </c>
      <c r="B4" s="211" t="n">
        <v>46190.375</v>
      </c>
      <c r="C4" s="210" t="str">
        <f aca="false">IFERROR(HYPERLINK("#'DL09. Học viên'!A"&amp;MATCH("HV002",'DL09. Học viên'!A:A,0),"HV002"),"HV002")</f>
        <v>HV002</v>
      </c>
      <c r="D4" s="210" t="str">
        <f aca="false">IFERROR(HYPERLINK("#'DL09. Học viên'!A"&amp;MATCH("LOP-IELTS-6.5-04",'DL10. Lớp học'!A:A,0),"LOP-IELTS-6.5-04"),"LOP-IELTS-6.5-04")</f>
        <v>LOP-IELTS-6.5-04</v>
      </c>
      <c r="E4" s="219" t="s">
        <v>1260</v>
      </c>
      <c r="F4" s="219" t="s">
        <v>1265</v>
      </c>
      <c r="G4" s="219" t="s">
        <v>1272</v>
      </c>
      <c r="H4" s="219" t="n">
        <v>5</v>
      </c>
      <c r="I4" s="219" t="s">
        <v>3555</v>
      </c>
      <c r="J4" s="219" t="s">
        <v>1285</v>
      </c>
      <c r="K4" s="211" t="n">
        <v>46191.375</v>
      </c>
      <c r="L4" s="210"/>
      <c r="M4" s="219"/>
      <c r="N4" s="211"/>
      <c r="O4" s="209"/>
      <c r="P4" s="209" t="n">
        <v>1</v>
      </c>
      <c r="Q4" s="209"/>
      <c r="R4" s="212" t="str">
        <f aca="true" t="array" ref="R4:R4">IF(AND(ISNUMBER(SEARCH("new",J4)),(NOW()-N(B4))*24&gt;slaFB_classify_hours),INDEX('CH4. Thông điệp nhắc việc'!$G:$G,MATCH("NA091",'CH4. Thông điệp nhắc việc'!$A:$A,0)),IF(ISNUMBER(SEARCH("new",J4)),INDEX('CH4. Thông điệp nhắc việc'!$G:$G,MATCH("NA092",'CH4. Thông điệp nhắc việc'!$A:$A,0)),IF(AND(ISNUMBER(SEARCH("negative",F4)),NOT(ISNUMBER(SEARCH("resolved",J4)))),INDEX('CH4. Thông điệp nhắc việc'!$G:$G,MATCH("NA093",'CH4. Thông điệp nhắc việc'!$A:$A,0)),IF(ISNUMBER(SEARCH("resolved",J4)),INDEX('CH4. Thông điệp nhắc việc'!$G:$G,MATCH("NA094",'CH4. Thông điệp nhắc việc'!$A:$A,0)),""))))</f>
        <v>Đã xử lý xong phản hồi. Không cần làm gì thêm.</v>
      </c>
      <c r="S4" s="224" t="str">
        <f aca="false">IFERROR(VLOOKUP(C4,'DL09. Học viên'!$A:$B,2,FALSE()),"")</f>
        <v>Lê Thị Bích Ngọc</v>
      </c>
      <c r="T4" s="224" t="str">
        <f aca="false">IFERROR(VLOOKUP(D4,'DL10. Lớp học'!$A:$B,2,FALSE()),"")</f>
        <v>IELTS 6.5 Tối T2-T4-T6 (10/2025)</v>
      </c>
    </row>
    <row r="5" customFormat="false" ht="40.5" hidden="false" customHeight="true" outlineLevel="0" collapsed="false">
      <c r="A5" s="219" t="s">
        <v>3556</v>
      </c>
      <c r="B5" s="211" t="n">
        <v>46202.375</v>
      </c>
      <c r="C5" s="210" t="str">
        <f aca="false">IFERROR(HYPERLINK("#'DL09. Học viên'!A"&amp;MATCH("HV005",'DL09. Học viên'!A:A,0),"HV005"),"HV005")</f>
        <v>HV005</v>
      </c>
      <c r="D5" s="210" t="str">
        <f aca="false">IFERROR(HYPERLINK("#'DL09. Học viên'!A"&amp;MATCH("LOP-IELTS-6.5-03",'DL10. Lớp học'!A:A,0),"LOP-IELTS-6.5-03"),"LOP-IELTS-6.5-03")</f>
        <v>LOP-IELTS-6.5-03</v>
      </c>
      <c r="E5" s="219" t="s">
        <v>1262</v>
      </c>
      <c r="F5" s="219" t="s">
        <v>1269</v>
      </c>
      <c r="G5" s="219" t="s">
        <v>1272</v>
      </c>
      <c r="H5" s="219" t="n">
        <v>2</v>
      </c>
      <c r="I5" s="219" t="s">
        <v>3557</v>
      </c>
      <c r="J5" s="219" t="s">
        <v>1283</v>
      </c>
      <c r="K5" s="211" t="n">
        <v>46203.375</v>
      </c>
      <c r="L5" s="210"/>
      <c r="M5" s="219"/>
      <c r="N5" s="211"/>
      <c r="O5" s="209" t="s">
        <v>3558</v>
      </c>
      <c r="P5" s="209" t="n">
        <v>0</v>
      </c>
      <c r="Q5" s="209"/>
      <c r="R5" s="212" t="str">
        <f aca="true" t="array" ref="R5:R5">IF(AND(ISNUMBER(SEARCH("new",J5)),(NOW()-N(B5))*24&gt;slaFB_classify_hours),INDEX('CH4. Thông điệp nhắc việc'!$G:$G,MATCH("NA091",'CH4. Thông điệp nhắc việc'!$A:$A,0)),IF(ISNUMBER(SEARCH("new",J5)),INDEX('CH4. Thông điệp nhắc việc'!$G:$G,MATCH("NA092",'CH4. Thông điệp nhắc việc'!$A:$A,0)),IF(AND(ISNUMBER(SEARCH("negative",F5)),NOT(ISNUMBER(SEARCH("resolved",J5)))),INDEX('CH4. Thông điệp nhắc việc'!$G:$G,MATCH("NA093",'CH4. Thông điệp nhắc việc'!$A:$A,0)),IF(ISNUMBER(SEARCH("resolved",J5)),INDEX('CH4. Thông điệp nhắc việc'!$G:$G,MATCH("NA094",'CH4. Thông điệp nhắc việc'!$A:$A,0)),""))))</f>
        <v>Phản hồi tiêu cực chưa xử lý xong. Việc cần làm: xử lý ngay và cân nhắc tạo khiếu nại (sheet DL17).</v>
      </c>
      <c r="S5" s="224" t="str">
        <f aca="false">IFERROR(VLOOKUP(C5,'DL09. Học viên'!$A:$B,2,FALSE()),"")</f>
        <v>Võ Hoàng Em</v>
      </c>
      <c r="T5" s="224" t="str">
        <f aca="false">IFERROR(VLOOKUP(D5,'DL10. Lớp học'!$A:$B,2,FALSE()),"")</f>
        <v>IELTS 6.5 Tối (05/2025)</v>
      </c>
    </row>
    <row r="6" customFormat="false" ht="40.5" hidden="false" customHeight="true" outlineLevel="0" collapsed="false">
      <c r="A6" s="219" t="s">
        <v>3559</v>
      </c>
      <c r="B6" s="211" t="n">
        <v>46207.7385532407</v>
      </c>
      <c r="C6" s="210" t="str">
        <f aca="false">IFERROR(HYPERLINK("#'DL09. Học viên'!A"&amp;MATCH("HV003",'DL09. Học viên'!A:A,0),"HV003"),"HV003")</f>
        <v>HV003</v>
      </c>
      <c r="D6" s="210" t="str">
        <f aca="false">IFERROR(HYPERLINK("#'DL09. Học viên'!A"&amp;MATCH("LOP-IELTS-6.0-12",'DL10. Lớp học'!A:A,0),"LOP-IELTS-6.0-12"),"LOP-IELTS-6.0-12")</f>
        <v>LOP-IELTS-6.0-12</v>
      </c>
      <c r="E6" s="219" t="s">
        <v>1260</v>
      </c>
      <c r="F6" s="219" t="s">
        <v>1267</v>
      </c>
      <c r="G6" s="219" t="s">
        <v>1276</v>
      </c>
      <c r="H6" s="219" t="n">
        <v>3</v>
      </c>
      <c r="I6" s="219" t="s">
        <v>3560</v>
      </c>
      <c r="J6" s="219" t="s">
        <v>1282</v>
      </c>
      <c r="K6" s="211"/>
      <c r="L6" s="210"/>
      <c r="M6" s="219"/>
      <c r="N6" s="211"/>
      <c r="O6" s="209"/>
      <c r="P6" s="209" t="n">
        <v>0</v>
      </c>
      <c r="Q6" s="209"/>
      <c r="R6" s="212" t="str">
        <f aca="true" t="array" ref="R6:R6">IF(AND(ISNUMBER(SEARCH("new",J6)),(NOW()-N(B6))*24&gt;slaFB_classify_hours),INDEX('CH4. Thông điệp nhắc việc'!$G:$G,MATCH("NA091",'CH4. Thông điệp nhắc việc'!$A:$A,0)),IF(ISNUMBER(SEARCH("new",J6)),INDEX('CH4. Thông điệp nhắc việc'!$G:$G,MATCH("NA092",'CH4. Thông điệp nhắc việc'!$A:$A,0)),IF(AND(ISNUMBER(SEARCH("negative",F6)),NOT(ISNUMBER(SEARCH("resolved",J6)))),INDEX('CH4. Thông điệp nhắc việc'!$G:$G,MATCH("NA093",'CH4. Thông điệp nhắc việc'!$A:$A,0)),IF(ISNUMBER(SEARCH("resolved",J6)),INDEX('CH4. Thông điệp nhắc việc'!$G:$G,MATCH("NA094",'CH4. Thông điệp nhắc việc'!$A:$A,0)),""))))</f>
        <v>Phản hồi mới đã quá 24 giờ (cấu hình slaFB_classify_hours) chưa phân loại. Việc cần làm: phân loại ngay.</v>
      </c>
      <c r="S6" s="224" t="str">
        <f aca="false">IFERROR(VLOOKUP(C6,'DL09. Học viên'!$A:$B,2,FALSE()),"")</f>
        <v>Phạm Quốc Cường</v>
      </c>
      <c r="T6" s="224" t="str">
        <f aca="false">IFERROR(VLOOKUP(D6,'DL10. Lớp học'!$A:$B,2,FALSE()),"")</f>
        <v>IELTS 6.0 Cuối tuần (01/2026)</v>
      </c>
    </row>
    <row r="7" customFormat="false" ht="40.5" hidden="false" customHeight="true" outlineLevel="0" collapsed="false">
      <c r="A7" s="219" t="s">
        <v>3561</v>
      </c>
      <c r="B7" s="211" t="n">
        <v>46206.375</v>
      </c>
      <c r="C7" s="210" t="str">
        <f aca="false">IFERROR(HYPERLINK("#'DL09. Học viên'!A"&amp;MATCH("HV004",'DL09. Học viên'!A:A,0),"HV004"),"HV004")</f>
        <v>HV004</v>
      </c>
      <c r="D7" s="210" t="str">
        <f aca="false">IFERROR(HYPERLINK("#'DL09. Học viên'!A"&amp;MATCH("LOP-IELTS-7.0-02",'DL10. Lớp học'!A:A,0),"LOP-IELTS-7.0-02"),"LOP-IELTS-7.0-02")</f>
        <v>LOP-IELTS-7.0-02</v>
      </c>
      <c r="E7" s="219" t="s">
        <v>967</v>
      </c>
      <c r="F7" s="219" t="s">
        <v>1269</v>
      </c>
      <c r="G7" s="219" t="s">
        <v>1280</v>
      </c>
      <c r="H7" s="219" t="n">
        <v>2</v>
      </c>
      <c r="I7" s="219" t="s">
        <v>3562</v>
      </c>
      <c r="J7" s="219" t="s">
        <v>1282</v>
      </c>
      <c r="K7" s="211"/>
      <c r="L7" s="210"/>
      <c r="M7" s="219"/>
      <c r="N7" s="211"/>
      <c r="O7" s="209"/>
      <c r="P7" s="209" t="n">
        <v>0</v>
      </c>
      <c r="Q7" s="209"/>
      <c r="R7" s="212" t="str">
        <f aca="true" t="array" ref="R7:R7">IF(AND(ISNUMBER(SEARCH("new",J7)),(NOW()-N(B7))*24&gt;slaFB_classify_hours),INDEX('CH4. Thông điệp nhắc việc'!$G:$G,MATCH("NA091",'CH4. Thông điệp nhắc việc'!$A:$A,0)),IF(ISNUMBER(SEARCH("new",J7)),INDEX('CH4. Thông điệp nhắc việc'!$G:$G,MATCH("NA092",'CH4. Thông điệp nhắc việc'!$A:$A,0)),IF(AND(ISNUMBER(SEARCH("negative",F7)),NOT(ISNUMBER(SEARCH("resolved",J7)))),INDEX('CH4. Thông điệp nhắc việc'!$G:$G,MATCH("NA093",'CH4. Thông điệp nhắc việc'!$A:$A,0)),IF(ISNUMBER(SEARCH("resolved",J7)),INDEX('CH4. Thông điệp nhắc việc'!$G:$G,MATCH("NA094",'CH4. Thông điệp nhắc việc'!$A:$A,0)),""))))</f>
        <v>Phản hồi mới đã quá 24 giờ (cấu hình slaFB_classify_hours) chưa phân loại. Việc cần làm: phân loại ngay.</v>
      </c>
      <c r="S7" s="224" t="str">
        <f aca="false">IFERROR(VLOOKUP(C7,'DL09. Học viên'!$A:$B,2,FALSE()),"")</f>
        <v>Nguyễn Thị Dung</v>
      </c>
      <c r="T7" s="224" t="str">
        <f aca="false">IFERROR(VLOOKUP(D7,'DL10. Lớp học'!$A:$B,2,FALSE()),"")</f>
        <v>IELTS 7.0+ Tối T3-T5 (02/2026)</v>
      </c>
    </row>
    <row r="8" customFormat="false" ht="40.5" hidden="false" customHeight="true" outlineLevel="0" collapsed="false">
      <c r="A8" s="219" t="s">
        <v>3563</v>
      </c>
      <c r="B8" s="211" t="n">
        <v>46199.375</v>
      </c>
      <c r="C8" s="210" t="str">
        <f aca="false">IFERROR(HYPERLINK("#'DL09. Học viên'!A"&amp;MATCH("HV001",'DL09. Học viên'!A:A,0),"HV001"),"HV001")</f>
        <v>HV001</v>
      </c>
      <c r="D8" s="210" t="str">
        <f aca="false">IFERROR(HYPERLINK("#'DL09. Học viên'!A"&amp;MATCH("LOP-FOUND-PLA-01",'DL10. Lớp học'!A:A,0),"LOP-FOUND-PLA-01"),"LOP-FOUND-PLA-01")</f>
        <v>LOP-FOUND-PLA-01</v>
      </c>
      <c r="E8" s="219" t="s">
        <v>1260</v>
      </c>
      <c r="F8" s="219" t="s">
        <v>1265</v>
      </c>
      <c r="G8" s="219" t="s">
        <v>1278</v>
      </c>
      <c r="H8" s="219" t="n">
        <v>4</v>
      </c>
      <c r="I8" s="219" t="s">
        <v>3564</v>
      </c>
      <c r="J8" s="219" t="s">
        <v>1285</v>
      </c>
      <c r="K8" s="211" t="n">
        <v>46200.375</v>
      </c>
      <c r="L8" s="210"/>
      <c r="M8" s="219"/>
      <c r="N8" s="211"/>
      <c r="O8" s="209"/>
      <c r="P8" s="209" t="n">
        <v>0</v>
      </c>
      <c r="Q8" s="209"/>
      <c r="R8" s="212" t="str">
        <f aca="true" t="array" ref="R8:R8">IF(AND(ISNUMBER(SEARCH("new",J8)),(NOW()-N(B8))*24&gt;slaFB_classify_hours),INDEX('CH4. Thông điệp nhắc việc'!$G:$G,MATCH("NA091",'CH4. Thông điệp nhắc việc'!$A:$A,0)),IF(ISNUMBER(SEARCH("new",J8)),INDEX('CH4. Thông điệp nhắc việc'!$G:$G,MATCH("NA092",'CH4. Thông điệp nhắc việc'!$A:$A,0)),IF(AND(ISNUMBER(SEARCH("negative",F8)),NOT(ISNUMBER(SEARCH("resolved",J8)))),INDEX('CH4. Thông điệp nhắc việc'!$G:$G,MATCH("NA093",'CH4. Thông điệp nhắc việc'!$A:$A,0)),IF(ISNUMBER(SEARCH("resolved",J8)),INDEX('CH4. Thông điệp nhắc việc'!$G:$G,MATCH("NA094",'CH4. Thông điệp nhắc việc'!$A:$A,0)),""))))</f>
        <v>Đã xử lý xong phản hồi. Không cần làm gì thêm.</v>
      </c>
      <c r="S8" s="224" t="str">
        <f aca="false">IFERROR(VLOOKUP(C8,'DL09. Học viên'!$A:$B,2,FALSE()),"")</f>
        <v>Trần Minh Anh</v>
      </c>
      <c r="T8" s="224" t="str">
        <f aca="false">IFERROR(VLOOKUP(D8,'DL10. Lớp học'!$A:$B,2,FALSE()),"")</f>
        <v>Foundation PLA T7-CN sáng (06/2026)</v>
      </c>
    </row>
    <row r="9" customFormat="false" ht="40.5" hidden="false" customHeight="true" outlineLevel="0" collapsed="false">
      <c r="A9" s="219" t="s">
        <v>3565</v>
      </c>
      <c r="B9" s="211" t="n">
        <v>46207.375</v>
      </c>
      <c r="C9" s="210" t="str">
        <f aca="false">IFERROR(HYPERLINK("#'DL09. Học viên'!A"&amp;MATCH("HV003",'DL09. Học viên'!A:A,0),"HV003"),"HV003")</f>
        <v>HV003</v>
      </c>
      <c r="D9" s="210" t="str">
        <f aca="false">IFERROR(HYPERLINK("#'DL09. Học viên'!A"&amp;MATCH("LOP-IELTS-6.0-12",'DL10. Lớp học'!A:A,0),"LOP-IELTS-6.0-12"),"LOP-IELTS-6.0-12")</f>
        <v>LOP-IELTS-6.0-12</v>
      </c>
      <c r="E9" s="219" t="s">
        <v>1260</v>
      </c>
      <c r="F9" s="219" t="s">
        <v>1265</v>
      </c>
      <c r="G9" s="219" t="s">
        <v>1272</v>
      </c>
      <c r="H9" s="219" t="n">
        <v>5</v>
      </c>
      <c r="I9" s="219" t="s">
        <v>3566</v>
      </c>
      <c r="J9" s="219" t="s">
        <v>1285</v>
      </c>
      <c r="K9" s="211" t="n">
        <v>46208.375</v>
      </c>
      <c r="L9" s="210"/>
      <c r="M9" s="219"/>
      <c r="N9" s="211"/>
      <c r="O9" s="209"/>
      <c r="P9" s="209" t="n">
        <v>1</v>
      </c>
      <c r="Q9" s="209"/>
      <c r="R9" s="212" t="str">
        <f aca="true" t="array" ref="R9:R9">IF(AND(ISNUMBER(SEARCH("new",J9)),(NOW()-N(B9))*24&gt;slaFB_classify_hours),INDEX('CH4. Thông điệp nhắc việc'!$G:$G,MATCH("NA091",'CH4. Thông điệp nhắc việc'!$A:$A,0)),IF(ISNUMBER(SEARCH("new",J9)),INDEX('CH4. Thông điệp nhắc việc'!$G:$G,MATCH("NA092",'CH4. Thông điệp nhắc việc'!$A:$A,0)),IF(AND(ISNUMBER(SEARCH("negative",F9)),NOT(ISNUMBER(SEARCH("resolved",J9)))),INDEX('CH4. Thông điệp nhắc việc'!$G:$G,MATCH("NA093",'CH4. Thông điệp nhắc việc'!$A:$A,0)),IF(ISNUMBER(SEARCH("resolved",J9)),INDEX('CH4. Thông điệp nhắc việc'!$G:$G,MATCH("NA094",'CH4. Thông điệp nhắc việc'!$A:$A,0)),""))))</f>
        <v>Đã xử lý xong phản hồi. Không cần làm gì thêm.</v>
      </c>
      <c r="S9" s="224" t="str">
        <f aca="false">IFERROR(VLOOKUP(C9,'DL09. Học viên'!$A:$B,2,FALSE()),"")</f>
        <v>Phạm Quốc Cường</v>
      </c>
      <c r="T9" s="224" t="str">
        <f aca="false">IFERROR(VLOOKUP(D9,'DL10. Lớp học'!$A:$B,2,FALSE()),"")</f>
        <v>IELTS 6.0 Cuối tuần (01/2026)</v>
      </c>
    </row>
    <row r="10" customFormat="false" ht="40.5" hidden="false" customHeight="true" outlineLevel="0" collapsed="false">
      <c r="A10" s="219" t="s">
        <v>3567</v>
      </c>
      <c r="B10" s="211" t="n">
        <v>46204.375</v>
      </c>
      <c r="C10" s="210" t="str">
        <f aca="false">IFERROR(HYPERLINK("#'DL09. Học viên'!A"&amp;MATCH("HV009",'DL09. Học viên'!A:A,0),"HV009"),"HV009")</f>
        <v>HV009</v>
      </c>
      <c r="D10" s="210" t="str">
        <f aca="false">IFERROR(HYPERLINK("#'DL09. Học viên'!A"&amp;MATCH("LOP-FOUND-PLA-01",'DL10. Lớp học'!A:A,0),"LOP-FOUND-PLA-01"),"LOP-FOUND-PLA-01")</f>
        <v>LOP-FOUND-PLA-01</v>
      </c>
      <c r="E10" s="219" t="s">
        <v>1260</v>
      </c>
      <c r="F10" s="219" t="s">
        <v>1265</v>
      </c>
      <c r="G10" s="219" t="s">
        <v>1272</v>
      </c>
      <c r="H10" s="219" t="n">
        <v>5</v>
      </c>
      <c r="I10" s="219" t="s">
        <v>3568</v>
      </c>
      <c r="J10" s="219" t="s">
        <v>1285</v>
      </c>
      <c r="K10" s="211" t="n">
        <v>46204.5</v>
      </c>
      <c r="L10" s="210"/>
      <c r="M10" s="219"/>
      <c r="N10" s="211"/>
      <c r="O10" s="209"/>
      <c r="P10" s="209" t="n">
        <v>1</v>
      </c>
      <c r="Q10" s="209"/>
      <c r="R10" s="212" t="str">
        <f aca="true" t="array" ref="R10:R10">IF(AND(ISNUMBER(SEARCH("new",J10)),(NOW()-N(B10))*24&gt;slaFB_classify_hours),INDEX('CH4. Thông điệp nhắc việc'!$G:$G,MATCH("NA091",'CH4. Thông điệp nhắc việc'!$A:$A,0)),IF(ISNUMBER(SEARCH("new",J10)),INDEX('CH4. Thông điệp nhắc việc'!$G:$G,MATCH("NA092",'CH4. Thông điệp nhắc việc'!$A:$A,0)),IF(AND(ISNUMBER(SEARCH("negative",F10)),NOT(ISNUMBER(SEARCH("resolved",J10)))),INDEX('CH4. Thông điệp nhắc việc'!$G:$G,MATCH("NA093",'CH4. Thông điệp nhắc việc'!$A:$A,0)),IF(ISNUMBER(SEARCH("resolved",J10)),INDEX('CH4. Thông điệp nhắc việc'!$G:$G,MATCH("NA094",'CH4. Thông điệp nhắc việc'!$A:$A,0)),""))))</f>
        <v>Đã xử lý xong phản hồi. Không cần làm gì thêm.</v>
      </c>
      <c r="S10" s="224" t="str">
        <f aca="false">IFERROR(VLOOKUP(C10,'DL09. Học viên'!$A:$B,2,FALSE()),"")</f>
        <v>Lý Gia Khang</v>
      </c>
      <c r="T10" s="224" t="str">
        <f aca="false">IFERROR(VLOOKUP(D10,'DL10. Lớp học'!$A:$B,2,FALSE()),"")</f>
        <v>Foundation PLA T7-CN sáng (06/2026)</v>
      </c>
    </row>
    <row r="11" customFormat="false" ht="40.5" hidden="false" customHeight="true" outlineLevel="0" collapsed="false">
      <c r="A11" s="219" t="s">
        <v>3569</v>
      </c>
      <c r="B11" s="211" t="n">
        <v>46207.375</v>
      </c>
      <c r="C11" s="210" t="str">
        <f aca="false">IFERROR(HYPERLINK("#'DL09. Học viên'!A"&amp;MATCH("HV011",'DL09. Học viên'!A:A,0),"HV011"),"HV011")</f>
        <v>HV011</v>
      </c>
      <c r="D11" s="210" t="str">
        <f aca="false">IFERROR(HYPERLINK("#'DL09. Học viên'!A"&amp;MATCH("LOP-IELTS-6.5-04",'DL10. Lớp học'!A:A,0),"LOP-IELTS-6.5-04"),"LOP-IELTS-6.5-04")</f>
        <v>LOP-IELTS-6.5-04</v>
      </c>
      <c r="E11" s="219" t="s">
        <v>1260</v>
      </c>
      <c r="F11" s="219" t="s">
        <v>1265</v>
      </c>
      <c r="G11" s="219" t="s">
        <v>1280</v>
      </c>
      <c r="H11" s="219" t="n">
        <v>4</v>
      </c>
      <c r="I11" s="219" t="s">
        <v>3570</v>
      </c>
      <c r="J11" s="219" t="s">
        <v>1285</v>
      </c>
      <c r="K11" s="211" t="n">
        <v>46208.375</v>
      </c>
      <c r="L11" s="210"/>
      <c r="M11" s="219"/>
      <c r="N11" s="211"/>
      <c r="O11" s="209"/>
      <c r="P11" s="209" t="n">
        <v>0</v>
      </c>
      <c r="Q11" s="209"/>
      <c r="R11" s="212" t="str">
        <f aca="true" t="array" ref="R11:R11">IF(AND(ISNUMBER(SEARCH("new",J11)),(NOW()-N(B11))*24&gt;slaFB_classify_hours),INDEX('CH4. Thông điệp nhắc việc'!$G:$G,MATCH("NA091",'CH4. Thông điệp nhắc việc'!$A:$A,0)),IF(ISNUMBER(SEARCH("new",J11)),INDEX('CH4. Thông điệp nhắc việc'!$G:$G,MATCH("NA092",'CH4. Thông điệp nhắc việc'!$A:$A,0)),IF(AND(ISNUMBER(SEARCH("negative",F11)),NOT(ISNUMBER(SEARCH("resolved",J11)))),INDEX('CH4. Thông điệp nhắc việc'!$G:$G,MATCH("NA093",'CH4. Thông điệp nhắc việc'!$A:$A,0)),IF(ISNUMBER(SEARCH("resolved",J11)),INDEX('CH4. Thông điệp nhắc việc'!$G:$G,MATCH("NA094",'CH4. Thông điệp nhắc việc'!$A:$A,0)),""))))</f>
        <v>Đã xử lý xong phản hồi. Không cần làm gì thêm.</v>
      </c>
      <c r="S11" s="224" t="str">
        <f aca="false">IFERROR(VLOOKUP(C11,'DL09. Học viên'!$A:$B,2,FALSE()),"")</f>
        <v>Phan Đức Minh</v>
      </c>
      <c r="T11" s="224" t="str">
        <f aca="false">IFERROR(VLOOKUP(D11,'DL10. Lớp học'!$A:$B,2,FALSE()),"")</f>
        <v>IELTS 6.5 Tối T2-T4-T6 (10/2025)</v>
      </c>
    </row>
    <row r="12" customFormat="false" ht="23.25" hidden="false" customHeight="true" outlineLevel="0" collapsed="false">
      <c r="A12" s="243"/>
      <c r="B12" s="206"/>
      <c r="C12" s="204"/>
      <c r="D12" s="204"/>
      <c r="E12" s="243"/>
      <c r="F12" s="243"/>
      <c r="G12" s="243"/>
      <c r="H12" s="243"/>
      <c r="I12" s="243"/>
      <c r="J12" s="243"/>
      <c r="K12" s="206"/>
      <c r="L12" s="204"/>
      <c r="M12" s="243"/>
      <c r="N12" s="206"/>
      <c r="O12" s="203"/>
      <c r="P12" s="203"/>
      <c r="Q12" s="203"/>
      <c r="R12" s="244"/>
      <c r="S12" s="208"/>
      <c r="T12" s="208"/>
    </row>
    <row r="13" customFormat="false" ht="15" hidden="false" customHeight="true" outlineLevel="0" collapsed="false">
      <c r="A13" s="229"/>
      <c r="B13" s="189"/>
      <c r="C13" s="135"/>
      <c r="D13" s="135"/>
      <c r="E13" s="229"/>
      <c r="F13" s="229"/>
      <c r="G13" s="229"/>
      <c r="H13" s="229"/>
      <c r="I13" s="229"/>
      <c r="J13" s="229"/>
      <c r="K13" s="189"/>
      <c r="L13" s="135"/>
      <c r="M13" s="229"/>
      <c r="N13" s="189"/>
      <c r="O13" s="135"/>
      <c r="P13" s="135"/>
      <c r="Q13" s="135"/>
      <c r="R13" s="135"/>
      <c r="S13" s="135"/>
      <c r="T13" s="135"/>
    </row>
    <row r="14" customFormat="false" ht="15" hidden="false" customHeight="true" outlineLevel="0" collapsed="false">
      <c r="A14" s="229"/>
      <c r="B14" s="189"/>
      <c r="C14" s="135"/>
      <c r="D14" s="135"/>
      <c r="E14" s="229"/>
      <c r="F14" s="229"/>
      <c r="G14" s="229"/>
      <c r="H14" s="229"/>
      <c r="I14" s="229"/>
      <c r="J14" s="229"/>
      <c r="K14" s="189"/>
      <c r="L14" s="135"/>
      <c r="M14" s="229"/>
      <c r="N14" s="189"/>
      <c r="O14" s="135"/>
      <c r="P14" s="135"/>
      <c r="Q14" s="135"/>
      <c r="R14" s="135"/>
      <c r="S14" s="135"/>
      <c r="T14" s="135"/>
    </row>
    <row r="15" customFormat="false" ht="15" hidden="false" customHeight="true" outlineLevel="0" collapsed="false">
      <c r="A15" s="229"/>
      <c r="B15" s="189"/>
      <c r="C15" s="135"/>
      <c r="D15" s="135"/>
      <c r="E15" s="229"/>
      <c r="F15" s="229"/>
      <c r="G15" s="229"/>
      <c r="H15" s="229"/>
      <c r="I15" s="229"/>
      <c r="J15" s="229"/>
      <c r="K15" s="189"/>
      <c r="L15" s="135"/>
      <c r="M15" s="229"/>
      <c r="N15" s="189"/>
      <c r="O15" s="135"/>
      <c r="P15" s="135"/>
      <c r="Q15" s="135"/>
      <c r="R15" s="135"/>
      <c r="S15" s="135"/>
      <c r="T15" s="135"/>
    </row>
    <row r="16" customFormat="false" ht="15" hidden="false" customHeight="true" outlineLevel="0" collapsed="false">
      <c r="A16" s="229"/>
      <c r="B16" s="189"/>
      <c r="C16" s="135"/>
      <c r="D16" s="135"/>
      <c r="E16" s="229"/>
      <c r="F16" s="229"/>
      <c r="G16" s="229"/>
      <c r="H16" s="229"/>
      <c r="I16" s="229"/>
      <c r="J16" s="229"/>
      <c r="K16" s="189"/>
      <c r="L16" s="135"/>
      <c r="M16" s="229"/>
      <c r="N16" s="189"/>
      <c r="O16" s="135"/>
      <c r="P16" s="135"/>
      <c r="Q16" s="135"/>
      <c r="R16" s="135"/>
      <c r="S16" s="135"/>
      <c r="T16" s="135"/>
    </row>
    <row r="17" customFormat="false" ht="15" hidden="false" customHeight="true" outlineLevel="0" collapsed="false">
      <c r="A17" s="229"/>
      <c r="B17" s="189"/>
      <c r="C17" s="135"/>
      <c r="D17" s="135"/>
      <c r="E17" s="229"/>
      <c r="F17" s="229"/>
      <c r="G17" s="229"/>
      <c r="H17" s="229"/>
      <c r="I17" s="229"/>
      <c r="J17" s="229"/>
      <c r="K17" s="189"/>
      <c r="L17" s="135"/>
      <c r="M17" s="229"/>
      <c r="N17" s="189"/>
      <c r="O17" s="135"/>
      <c r="P17" s="135"/>
      <c r="Q17" s="135"/>
      <c r="R17" s="135"/>
      <c r="S17" s="135"/>
      <c r="T17" s="135"/>
    </row>
    <row r="18" customFormat="false" ht="15" hidden="false" customHeight="true" outlineLevel="0" collapsed="false">
      <c r="A18" s="229"/>
      <c r="B18" s="189"/>
      <c r="C18" s="135"/>
      <c r="D18" s="135"/>
      <c r="E18" s="229"/>
      <c r="F18" s="229"/>
      <c r="G18" s="229"/>
      <c r="H18" s="229"/>
      <c r="I18" s="229"/>
      <c r="J18" s="229"/>
      <c r="K18" s="189"/>
      <c r="L18" s="135"/>
      <c r="M18" s="229"/>
      <c r="N18" s="189"/>
      <c r="O18" s="135"/>
      <c r="P18" s="135"/>
      <c r="Q18" s="135"/>
      <c r="R18" s="135"/>
      <c r="S18" s="135"/>
      <c r="T18" s="135"/>
    </row>
    <row r="19" customFormat="false" ht="15" hidden="false" customHeight="true" outlineLevel="0" collapsed="false">
      <c r="A19" s="229"/>
      <c r="B19" s="189"/>
      <c r="C19" s="135"/>
      <c r="D19" s="135"/>
      <c r="E19" s="229"/>
      <c r="F19" s="229"/>
      <c r="G19" s="229"/>
      <c r="H19" s="229"/>
      <c r="I19" s="229"/>
      <c r="J19" s="229"/>
      <c r="K19" s="189"/>
      <c r="L19" s="135"/>
      <c r="M19" s="229"/>
      <c r="N19" s="189"/>
      <c r="O19" s="135"/>
      <c r="P19" s="135"/>
      <c r="Q19" s="135"/>
      <c r="R19" s="135"/>
      <c r="S19" s="135"/>
      <c r="T19" s="135"/>
    </row>
    <row r="20" customFormat="false" ht="15" hidden="false" customHeight="true" outlineLevel="0" collapsed="false">
      <c r="A20" s="229"/>
      <c r="B20" s="189"/>
      <c r="C20" s="135"/>
      <c r="D20" s="135"/>
      <c r="E20" s="229"/>
      <c r="F20" s="229"/>
      <c r="G20" s="229"/>
      <c r="H20" s="229"/>
      <c r="I20" s="229"/>
      <c r="J20" s="229"/>
      <c r="K20" s="189"/>
      <c r="L20" s="135"/>
      <c r="M20" s="229"/>
      <c r="N20" s="189"/>
      <c r="O20" s="135"/>
      <c r="P20" s="135"/>
      <c r="Q20" s="135"/>
      <c r="R20" s="135"/>
      <c r="S20" s="135"/>
      <c r="T20" s="135"/>
    </row>
    <row r="21" customFormat="false" ht="15.75" hidden="false" customHeight="true" outlineLevel="0" collapsed="false">
      <c r="A21" s="229"/>
      <c r="B21" s="189"/>
      <c r="C21" s="135"/>
      <c r="D21" s="135"/>
      <c r="E21" s="229"/>
      <c r="F21" s="229"/>
      <c r="G21" s="229"/>
      <c r="H21" s="229"/>
      <c r="I21" s="229"/>
      <c r="J21" s="229"/>
      <c r="K21" s="189"/>
      <c r="L21" s="135"/>
      <c r="M21" s="229"/>
      <c r="N21" s="189"/>
      <c r="O21" s="135"/>
      <c r="P21" s="135"/>
      <c r="Q21" s="135"/>
      <c r="R21" s="135"/>
      <c r="S21" s="135"/>
      <c r="T21" s="135"/>
    </row>
    <row r="22" customFormat="false" ht="15.75" hidden="false" customHeight="true" outlineLevel="0" collapsed="false">
      <c r="A22" s="229"/>
      <c r="B22" s="189"/>
      <c r="C22" s="135"/>
      <c r="D22" s="135"/>
      <c r="E22" s="229"/>
      <c r="F22" s="229"/>
      <c r="G22" s="229"/>
      <c r="H22" s="229"/>
      <c r="I22" s="229"/>
      <c r="J22" s="229"/>
      <c r="K22" s="189"/>
      <c r="L22" s="135"/>
      <c r="M22" s="229"/>
      <c r="N22" s="189"/>
      <c r="O22" s="135"/>
      <c r="P22" s="135"/>
      <c r="Q22" s="135"/>
      <c r="R22" s="135"/>
      <c r="S22" s="135"/>
      <c r="T22" s="135"/>
    </row>
    <row r="23" customFormat="false" ht="15.75" hidden="false" customHeight="true" outlineLevel="0" collapsed="false">
      <c r="A23" s="229"/>
      <c r="B23" s="189"/>
      <c r="C23" s="135"/>
      <c r="D23" s="135"/>
      <c r="E23" s="229"/>
      <c r="F23" s="229"/>
      <c r="G23" s="229"/>
      <c r="H23" s="229"/>
      <c r="I23" s="229"/>
      <c r="J23" s="229"/>
      <c r="K23" s="189"/>
      <c r="L23" s="135"/>
      <c r="M23" s="229"/>
      <c r="N23" s="189"/>
      <c r="O23" s="135"/>
      <c r="P23" s="135"/>
      <c r="Q23" s="135"/>
      <c r="R23" s="135"/>
      <c r="S23" s="135"/>
      <c r="T23" s="135"/>
    </row>
    <row r="24" customFormat="false" ht="15.75" hidden="false" customHeight="true" outlineLevel="0" collapsed="false">
      <c r="A24" s="229"/>
      <c r="B24" s="189"/>
      <c r="C24" s="135"/>
      <c r="D24" s="135"/>
      <c r="E24" s="229"/>
      <c r="F24" s="229"/>
      <c r="G24" s="229"/>
      <c r="H24" s="229"/>
      <c r="I24" s="229"/>
      <c r="J24" s="229"/>
      <c r="K24" s="189"/>
      <c r="L24" s="135"/>
      <c r="M24" s="229"/>
      <c r="N24" s="189"/>
      <c r="O24" s="135"/>
      <c r="P24" s="135"/>
      <c r="Q24" s="135"/>
      <c r="R24" s="135"/>
      <c r="S24" s="135"/>
      <c r="T24" s="135"/>
    </row>
    <row r="25" customFormat="false" ht="15.75" hidden="false" customHeight="true" outlineLevel="0" collapsed="false">
      <c r="A25" s="229"/>
      <c r="B25" s="189"/>
      <c r="C25" s="135"/>
      <c r="D25" s="135"/>
      <c r="E25" s="229"/>
      <c r="F25" s="229"/>
      <c r="G25" s="229"/>
      <c r="H25" s="229"/>
      <c r="I25" s="229"/>
      <c r="J25" s="229"/>
      <c r="K25" s="189"/>
      <c r="L25" s="135"/>
      <c r="M25" s="229"/>
      <c r="N25" s="189"/>
      <c r="O25" s="135"/>
      <c r="P25" s="135"/>
      <c r="Q25" s="135"/>
      <c r="R25" s="135"/>
      <c r="S25" s="135"/>
      <c r="T25" s="135"/>
    </row>
    <row r="26" customFormat="false" ht="15.75" hidden="false" customHeight="true" outlineLevel="0" collapsed="false">
      <c r="A26" s="229"/>
      <c r="B26" s="189"/>
      <c r="C26" s="135"/>
      <c r="D26" s="135"/>
      <c r="E26" s="229"/>
      <c r="F26" s="229"/>
      <c r="G26" s="229"/>
      <c r="H26" s="229"/>
      <c r="I26" s="229"/>
      <c r="J26" s="229"/>
      <c r="K26" s="189"/>
      <c r="L26" s="135"/>
      <c r="M26" s="229"/>
      <c r="N26" s="189"/>
      <c r="O26" s="135"/>
      <c r="P26" s="135"/>
      <c r="Q26" s="135"/>
      <c r="R26" s="135"/>
      <c r="S26" s="135"/>
      <c r="T26" s="135"/>
    </row>
    <row r="27" customFormat="false" ht="15.75" hidden="false" customHeight="true" outlineLevel="0" collapsed="false">
      <c r="A27" s="229"/>
      <c r="B27" s="189"/>
      <c r="C27" s="135"/>
      <c r="D27" s="135"/>
      <c r="E27" s="229"/>
      <c r="F27" s="229"/>
      <c r="G27" s="229"/>
      <c r="H27" s="229"/>
      <c r="I27" s="229"/>
      <c r="J27" s="229"/>
      <c r="K27" s="189"/>
      <c r="L27" s="135"/>
      <c r="M27" s="229"/>
      <c r="N27" s="189"/>
      <c r="O27" s="135"/>
      <c r="P27" s="135"/>
      <c r="Q27" s="135"/>
      <c r="R27" s="135"/>
      <c r="S27" s="135"/>
      <c r="T27" s="135"/>
    </row>
    <row r="28" customFormat="false" ht="15.75" hidden="false" customHeight="true" outlineLevel="0" collapsed="false">
      <c r="A28" s="229"/>
      <c r="B28" s="189"/>
      <c r="C28" s="135"/>
      <c r="D28" s="135"/>
      <c r="E28" s="229"/>
      <c r="F28" s="229"/>
      <c r="G28" s="229"/>
      <c r="H28" s="229"/>
      <c r="I28" s="229"/>
      <c r="J28" s="229"/>
      <c r="K28" s="189"/>
      <c r="L28" s="135"/>
      <c r="M28" s="229"/>
      <c r="N28" s="189"/>
      <c r="O28" s="135"/>
      <c r="P28" s="135"/>
      <c r="Q28" s="135"/>
      <c r="R28" s="135"/>
      <c r="S28" s="135"/>
      <c r="T28" s="135"/>
    </row>
    <row r="29" customFormat="false" ht="15.75" hidden="false" customHeight="true" outlineLevel="0" collapsed="false">
      <c r="A29" s="229"/>
      <c r="B29" s="189"/>
      <c r="C29" s="135"/>
      <c r="D29" s="135"/>
      <c r="E29" s="229"/>
      <c r="F29" s="229"/>
      <c r="G29" s="229"/>
      <c r="H29" s="229"/>
      <c r="I29" s="229"/>
      <c r="J29" s="229"/>
      <c r="K29" s="189"/>
      <c r="L29" s="135"/>
      <c r="M29" s="229"/>
      <c r="N29" s="189"/>
      <c r="O29" s="135"/>
      <c r="P29" s="135"/>
      <c r="Q29" s="135"/>
      <c r="R29" s="135"/>
      <c r="S29" s="135"/>
      <c r="T29" s="135"/>
    </row>
    <row r="30" customFormat="false" ht="15.75" hidden="false" customHeight="true" outlineLevel="0" collapsed="false">
      <c r="A30" s="229"/>
      <c r="B30" s="189"/>
      <c r="C30" s="135"/>
      <c r="D30" s="135"/>
      <c r="E30" s="229"/>
      <c r="F30" s="229"/>
      <c r="G30" s="229"/>
      <c r="H30" s="229"/>
      <c r="I30" s="229"/>
      <c r="J30" s="229"/>
      <c r="K30" s="189"/>
      <c r="L30" s="135"/>
      <c r="M30" s="229"/>
      <c r="N30" s="189"/>
      <c r="O30" s="135"/>
      <c r="P30" s="135"/>
      <c r="Q30" s="135"/>
      <c r="R30" s="135"/>
      <c r="S30" s="135"/>
      <c r="T30" s="135"/>
    </row>
    <row r="31" customFormat="false" ht="15.75" hidden="false" customHeight="true" outlineLevel="0" collapsed="false">
      <c r="A31" s="229"/>
      <c r="B31" s="189"/>
      <c r="C31" s="135"/>
      <c r="D31" s="135"/>
      <c r="E31" s="229"/>
      <c r="F31" s="229"/>
      <c r="G31" s="229"/>
      <c r="H31" s="229"/>
      <c r="I31" s="229"/>
      <c r="J31" s="229"/>
      <c r="K31" s="189"/>
      <c r="L31" s="135"/>
      <c r="M31" s="229"/>
      <c r="N31" s="189"/>
      <c r="O31" s="135"/>
      <c r="P31" s="135"/>
      <c r="Q31" s="135"/>
      <c r="R31" s="135"/>
      <c r="S31" s="135"/>
      <c r="T31" s="135"/>
    </row>
    <row r="32" customFormat="false" ht="15.75" hidden="false" customHeight="true" outlineLevel="0" collapsed="false">
      <c r="A32" s="229"/>
      <c r="B32" s="189"/>
      <c r="C32" s="135"/>
      <c r="D32" s="135"/>
      <c r="E32" s="229"/>
      <c r="F32" s="229"/>
      <c r="G32" s="229"/>
      <c r="H32" s="229"/>
      <c r="I32" s="229"/>
      <c r="J32" s="229"/>
      <c r="K32" s="189"/>
      <c r="L32" s="135"/>
      <c r="M32" s="229"/>
      <c r="N32" s="189"/>
      <c r="O32" s="135"/>
      <c r="P32" s="135"/>
      <c r="Q32" s="135"/>
      <c r="R32" s="135"/>
      <c r="S32" s="135"/>
      <c r="T32" s="135"/>
    </row>
    <row r="33" customFormat="false" ht="15.75" hidden="false" customHeight="true" outlineLevel="0" collapsed="false">
      <c r="A33" s="229"/>
      <c r="B33" s="189"/>
      <c r="C33" s="135"/>
      <c r="D33" s="135"/>
      <c r="E33" s="229"/>
      <c r="F33" s="229"/>
      <c r="G33" s="229"/>
      <c r="H33" s="229"/>
      <c r="I33" s="229"/>
      <c r="J33" s="229"/>
      <c r="K33" s="189"/>
      <c r="L33" s="135"/>
      <c r="M33" s="229"/>
      <c r="N33" s="189"/>
      <c r="O33" s="135"/>
      <c r="P33" s="135"/>
      <c r="Q33" s="135"/>
      <c r="R33" s="135"/>
      <c r="S33" s="135"/>
      <c r="T33" s="135"/>
    </row>
    <row r="34" customFormat="false" ht="15.75" hidden="false" customHeight="true" outlineLevel="0" collapsed="false">
      <c r="A34" s="229"/>
      <c r="B34" s="189"/>
      <c r="C34" s="135"/>
      <c r="D34" s="135"/>
      <c r="E34" s="229"/>
      <c r="F34" s="229"/>
      <c r="G34" s="229"/>
      <c r="H34" s="229"/>
      <c r="I34" s="229"/>
      <c r="J34" s="229"/>
      <c r="K34" s="189"/>
      <c r="L34" s="135"/>
      <c r="M34" s="229"/>
      <c r="N34" s="189"/>
      <c r="O34" s="135"/>
      <c r="P34" s="135"/>
      <c r="Q34" s="135"/>
      <c r="R34" s="135"/>
      <c r="S34" s="135"/>
      <c r="T34" s="135"/>
    </row>
    <row r="35" customFormat="false" ht="15.75" hidden="false" customHeight="true" outlineLevel="0" collapsed="false">
      <c r="A35" s="229"/>
      <c r="B35" s="189"/>
      <c r="C35" s="135"/>
      <c r="D35" s="135"/>
      <c r="E35" s="229"/>
      <c r="F35" s="229"/>
      <c r="G35" s="229"/>
      <c r="H35" s="229"/>
      <c r="I35" s="229"/>
      <c r="J35" s="229"/>
      <c r="K35" s="189"/>
      <c r="L35" s="135"/>
      <c r="M35" s="229"/>
      <c r="N35" s="189"/>
      <c r="O35" s="135"/>
      <c r="P35" s="135"/>
      <c r="Q35" s="135"/>
      <c r="R35" s="135"/>
      <c r="S35" s="135"/>
      <c r="T35" s="135"/>
    </row>
    <row r="36" customFormat="false" ht="15.75" hidden="false" customHeight="true" outlineLevel="0" collapsed="false">
      <c r="A36" s="229"/>
      <c r="B36" s="189"/>
      <c r="C36" s="135"/>
      <c r="D36" s="135"/>
      <c r="E36" s="229"/>
      <c r="F36" s="229"/>
      <c r="G36" s="229"/>
      <c r="H36" s="229"/>
      <c r="I36" s="229"/>
      <c r="J36" s="229"/>
      <c r="K36" s="189"/>
      <c r="L36" s="135"/>
      <c r="M36" s="229"/>
      <c r="N36" s="189"/>
      <c r="O36" s="135"/>
      <c r="P36" s="135"/>
      <c r="Q36" s="135"/>
      <c r="R36" s="135"/>
      <c r="S36" s="135"/>
      <c r="T36" s="135"/>
    </row>
    <row r="37" customFormat="false" ht="15.75" hidden="false" customHeight="true" outlineLevel="0" collapsed="false">
      <c r="A37" s="229"/>
      <c r="B37" s="189"/>
      <c r="C37" s="135"/>
      <c r="D37" s="135"/>
      <c r="E37" s="229"/>
      <c r="F37" s="229"/>
      <c r="G37" s="229"/>
      <c r="H37" s="229"/>
      <c r="I37" s="229"/>
      <c r="J37" s="229"/>
      <c r="K37" s="189"/>
      <c r="L37" s="135"/>
      <c r="M37" s="229"/>
      <c r="N37" s="189"/>
      <c r="O37" s="135"/>
      <c r="P37" s="135"/>
      <c r="Q37" s="135"/>
      <c r="R37" s="135"/>
      <c r="S37" s="135"/>
      <c r="T37" s="135"/>
    </row>
    <row r="38" customFormat="false" ht="15.75" hidden="false" customHeight="true" outlineLevel="0" collapsed="false">
      <c r="A38" s="229"/>
      <c r="B38" s="189"/>
      <c r="C38" s="135"/>
      <c r="D38" s="135"/>
      <c r="E38" s="229"/>
      <c r="F38" s="229"/>
      <c r="G38" s="229"/>
      <c r="H38" s="229"/>
      <c r="I38" s="229"/>
      <c r="J38" s="229"/>
      <c r="K38" s="189"/>
      <c r="L38" s="135"/>
      <c r="M38" s="229"/>
      <c r="N38" s="189"/>
      <c r="O38" s="135"/>
      <c r="P38" s="135"/>
      <c r="Q38" s="135"/>
      <c r="R38" s="135"/>
      <c r="S38" s="135"/>
      <c r="T38" s="135"/>
    </row>
    <row r="39" customFormat="false" ht="15.75" hidden="false" customHeight="true" outlineLevel="0" collapsed="false">
      <c r="A39" s="229"/>
      <c r="B39" s="189"/>
      <c r="C39" s="135"/>
      <c r="D39" s="135"/>
      <c r="E39" s="229"/>
      <c r="F39" s="229"/>
      <c r="G39" s="229"/>
      <c r="H39" s="229"/>
      <c r="I39" s="229"/>
      <c r="J39" s="229"/>
      <c r="K39" s="189"/>
      <c r="L39" s="135"/>
      <c r="M39" s="229"/>
      <c r="N39" s="189"/>
      <c r="O39" s="135"/>
      <c r="P39" s="135"/>
      <c r="Q39" s="135"/>
      <c r="R39" s="135"/>
      <c r="S39" s="135"/>
      <c r="T39" s="135"/>
    </row>
    <row r="40" customFormat="false" ht="15.75" hidden="false" customHeight="true" outlineLevel="0" collapsed="false">
      <c r="A40" s="229"/>
      <c r="B40" s="189"/>
      <c r="C40" s="135"/>
      <c r="D40" s="135"/>
      <c r="E40" s="229"/>
      <c r="F40" s="229"/>
      <c r="G40" s="229"/>
      <c r="H40" s="229"/>
      <c r="I40" s="229"/>
      <c r="J40" s="229"/>
      <c r="K40" s="189"/>
      <c r="L40" s="135"/>
      <c r="M40" s="229"/>
      <c r="N40" s="189"/>
      <c r="O40" s="135"/>
      <c r="P40" s="135"/>
      <c r="Q40" s="135"/>
      <c r="R40" s="135"/>
      <c r="S40" s="135"/>
      <c r="T40" s="135"/>
    </row>
    <row r="41" customFormat="false" ht="15.75" hidden="false" customHeight="true" outlineLevel="0" collapsed="false">
      <c r="A41" s="229"/>
      <c r="B41" s="189"/>
      <c r="C41" s="135"/>
      <c r="D41" s="135"/>
      <c r="E41" s="229"/>
      <c r="F41" s="229"/>
      <c r="G41" s="229"/>
      <c r="H41" s="229"/>
      <c r="I41" s="229"/>
      <c r="J41" s="229"/>
      <c r="K41" s="189"/>
      <c r="L41" s="135"/>
      <c r="M41" s="229"/>
      <c r="N41" s="189"/>
      <c r="O41" s="135"/>
      <c r="P41" s="135"/>
      <c r="Q41" s="135"/>
      <c r="R41" s="135"/>
      <c r="S41" s="135"/>
      <c r="T41" s="135"/>
    </row>
    <row r="42" customFormat="false" ht="15.75" hidden="false" customHeight="true" outlineLevel="0" collapsed="false">
      <c r="A42" s="229"/>
      <c r="B42" s="189"/>
      <c r="C42" s="135"/>
      <c r="D42" s="135"/>
      <c r="E42" s="229"/>
      <c r="F42" s="229"/>
      <c r="G42" s="229"/>
      <c r="H42" s="229"/>
      <c r="I42" s="229"/>
      <c r="J42" s="229"/>
      <c r="K42" s="189"/>
      <c r="L42" s="135"/>
      <c r="M42" s="229"/>
      <c r="N42" s="189"/>
      <c r="O42" s="135"/>
      <c r="P42" s="135"/>
      <c r="Q42" s="135"/>
      <c r="R42" s="135"/>
      <c r="S42" s="135"/>
      <c r="T42" s="135"/>
    </row>
    <row r="43" customFormat="false" ht="15.75" hidden="false" customHeight="true" outlineLevel="0" collapsed="false">
      <c r="A43" s="229"/>
      <c r="B43" s="189"/>
      <c r="C43" s="135"/>
      <c r="D43" s="135"/>
      <c r="E43" s="229"/>
      <c r="F43" s="229"/>
      <c r="G43" s="229"/>
      <c r="H43" s="229"/>
      <c r="I43" s="229"/>
      <c r="J43" s="229"/>
      <c r="K43" s="189"/>
      <c r="L43" s="135"/>
      <c r="M43" s="229"/>
      <c r="N43" s="189"/>
      <c r="O43" s="135"/>
      <c r="P43" s="135"/>
      <c r="Q43" s="135"/>
      <c r="R43" s="135"/>
      <c r="S43" s="135"/>
      <c r="T43" s="135"/>
    </row>
    <row r="44" customFormat="false" ht="15.75" hidden="false" customHeight="true" outlineLevel="0" collapsed="false">
      <c r="A44" s="229"/>
      <c r="B44" s="189"/>
      <c r="C44" s="135"/>
      <c r="D44" s="135"/>
      <c r="E44" s="229"/>
      <c r="F44" s="229"/>
      <c r="G44" s="229"/>
      <c r="H44" s="229"/>
      <c r="I44" s="229"/>
      <c r="J44" s="229"/>
      <c r="K44" s="189"/>
      <c r="L44" s="135"/>
      <c r="M44" s="229"/>
      <c r="N44" s="189"/>
      <c r="O44" s="135"/>
      <c r="P44" s="135"/>
      <c r="Q44" s="135"/>
      <c r="R44" s="135"/>
      <c r="S44" s="135"/>
      <c r="T44" s="135"/>
    </row>
    <row r="45" customFormat="false" ht="15.75" hidden="false" customHeight="true" outlineLevel="0" collapsed="false">
      <c r="A45" s="229"/>
      <c r="B45" s="189"/>
      <c r="C45" s="135"/>
      <c r="D45" s="135"/>
      <c r="E45" s="229"/>
      <c r="F45" s="229"/>
      <c r="G45" s="229"/>
      <c r="H45" s="229"/>
      <c r="I45" s="229"/>
      <c r="J45" s="229"/>
      <c r="K45" s="189"/>
      <c r="L45" s="135"/>
      <c r="M45" s="229"/>
      <c r="N45" s="189"/>
      <c r="O45" s="135"/>
      <c r="P45" s="135"/>
      <c r="Q45" s="135"/>
      <c r="R45" s="135"/>
      <c r="S45" s="135"/>
      <c r="T45" s="135"/>
    </row>
    <row r="46" customFormat="false" ht="15.75" hidden="false" customHeight="true" outlineLevel="0" collapsed="false">
      <c r="A46" s="229"/>
      <c r="B46" s="189"/>
      <c r="C46" s="135"/>
      <c r="D46" s="135"/>
      <c r="E46" s="229"/>
      <c r="F46" s="229"/>
      <c r="G46" s="229"/>
      <c r="H46" s="229"/>
      <c r="I46" s="229"/>
      <c r="J46" s="229"/>
      <c r="K46" s="189"/>
      <c r="L46" s="135"/>
      <c r="M46" s="229"/>
      <c r="N46" s="189"/>
      <c r="O46" s="135"/>
      <c r="P46" s="135"/>
      <c r="Q46" s="135"/>
      <c r="R46" s="135"/>
      <c r="S46" s="135"/>
      <c r="T46" s="135"/>
    </row>
    <row r="47" customFormat="false" ht="15.75" hidden="false" customHeight="true" outlineLevel="0" collapsed="false">
      <c r="A47" s="229"/>
      <c r="B47" s="189"/>
      <c r="C47" s="135"/>
      <c r="D47" s="135"/>
      <c r="E47" s="229"/>
      <c r="F47" s="229"/>
      <c r="G47" s="229"/>
      <c r="H47" s="229"/>
      <c r="I47" s="229"/>
      <c r="J47" s="229"/>
      <c r="K47" s="189"/>
      <c r="L47" s="135"/>
      <c r="M47" s="229"/>
      <c r="N47" s="189"/>
      <c r="O47" s="135"/>
      <c r="P47" s="135"/>
      <c r="Q47" s="135"/>
      <c r="R47" s="135"/>
      <c r="S47" s="135"/>
      <c r="T47" s="135"/>
    </row>
    <row r="48" customFormat="false" ht="15.75" hidden="false" customHeight="true" outlineLevel="0" collapsed="false">
      <c r="A48" s="229"/>
      <c r="B48" s="189"/>
      <c r="C48" s="135"/>
      <c r="D48" s="135"/>
      <c r="E48" s="229"/>
      <c r="F48" s="229"/>
      <c r="G48" s="229"/>
      <c r="H48" s="229"/>
      <c r="I48" s="229"/>
      <c r="J48" s="229"/>
      <c r="K48" s="189"/>
      <c r="L48" s="135"/>
      <c r="M48" s="229"/>
      <c r="N48" s="189"/>
      <c r="O48" s="135"/>
      <c r="P48" s="135"/>
      <c r="Q48" s="135"/>
      <c r="R48" s="135"/>
      <c r="S48" s="135"/>
      <c r="T48" s="135"/>
    </row>
    <row r="49" customFormat="false" ht="15.75" hidden="false" customHeight="true" outlineLevel="0" collapsed="false">
      <c r="A49" s="229"/>
      <c r="B49" s="189"/>
      <c r="C49" s="135"/>
      <c r="D49" s="135"/>
      <c r="E49" s="229"/>
      <c r="F49" s="229"/>
      <c r="G49" s="229"/>
      <c r="H49" s="229"/>
      <c r="I49" s="229"/>
      <c r="J49" s="229"/>
      <c r="K49" s="189"/>
      <c r="L49" s="135"/>
      <c r="M49" s="229"/>
      <c r="N49" s="189"/>
      <c r="O49" s="135"/>
      <c r="P49" s="135"/>
      <c r="Q49" s="135"/>
      <c r="R49" s="135"/>
      <c r="S49" s="135"/>
      <c r="T49" s="135"/>
    </row>
    <row r="50" customFormat="false" ht="15.75" hidden="false" customHeight="true" outlineLevel="0" collapsed="false">
      <c r="A50" s="229"/>
      <c r="B50" s="189"/>
      <c r="C50" s="135"/>
      <c r="D50" s="135"/>
      <c r="E50" s="229"/>
      <c r="F50" s="229"/>
      <c r="G50" s="229"/>
      <c r="H50" s="229"/>
      <c r="I50" s="229"/>
      <c r="J50" s="229"/>
      <c r="K50" s="189"/>
      <c r="L50" s="135"/>
      <c r="M50" s="229"/>
      <c r="N50" s="189"/>
      <c r="O50" s="135"/>
      <c r="P50" s="135"/>
      <c r="Q50" s="135"/>
      <c r="R50" s="135"/>
      <c r="S50" s="135"/>
      <c r="T50" s="135"/>
    </row>
    <row r="51" customFormat="false" ht="15.75" hidden="false" customHeight="true" outlineLevel="0" collapsed="false">
      <c r="A51" s="229"/>
      <c r="B51" s="189"/>
      <c r="C51" s="135"/>
      <c r="D51" s="135"/>
      <c r="E51" s="229"/>
      <c r="F51" s="229"/>
      <c r="G51" s="229"/>
      <c r="H51" s="229"/>
      <c r="I51" s="229"/>
      <c r="J51" s="229"/>
      <c r="K51" s="189"/>
      <c r="L51" s="135"/>
      <c r="M51" s="229"/>
      <c r="N51" s="189"/>
      <c r="O51" s="135"/>
      <c r="P51" s="135"/>
      <c r="Q51" s="135"/>
      <c r="R51" s="135"/>
      <c r="S51" s="135"/>
      <c r="T51" s="135"/>
    </row>
    <row r="52" customFormat="false" ht="15.75" hidden="false" customHeight="true" outlineLevel="0" collapsed="false">
      <c r="A52" s="229"/>
      <c r="B52" s="189"/>
      <c r="C52" s="135"/>
      <c r="D52" s="135"/>
      <c r="E52" s="229"/>
      <c r="F52" s="229"/>
      <c r="G52" s="229"/>
      <c r="H52" s="229"/>
      <c r="I52" s="229"/>
      <c r="J52" s="229"/>
      <c r="K52" s="189"/>
      <c r="L52" s="135"/>
      <c r="M52" s="229"/>
      <c r="N52" s="189"/>
      <c r="O52" s="135"/>
      <c r="P52" s="135"/>
      <c r="Q52" s="135"/>
      <c r="R52" s="135"/>
      <c r="S52" s="135"/>
      <c r="T52" s="135"/>
    </row>
    <row r="53" customFormat="false" ht="15.75" hidden="false" customHeight="true" outlineLevel="0" collapsed="false">
      <c r="A53" s="229"/>
      <c r="B53" s="189"/>
      <c r="C53" s="135"/>
      <c r="D53" s="135"/>
      <c r="E53" s="229"/>
      <c r="F53" s="229"/>
      <c r="G53" s="229"/>
      <c r="H53" s="229"/>
      <c r="I53" s="229"/>
      <c r="J53" s="229"/>
      <c r="K53" s="189"/>
      <c r="L53" s="135"/>
      <c r="M53" s="229"/>
      <c r="N53" s="189"/>
      <c r="O53" s="135"/>
      <c r="P53" s="135"/>
      <c r="Q53" s="135"/>
      <c r="R53" s="135"/>
      <c r="S53" s="135"/>
      <c r="T53" s="135"/>
    </row>
    <row r="54" customFormat="false" ht="15.75" hidden="false" customHeight="true" outlineLevel="0" collapsed="false">
      <c r="A54" s="229"/>
      <c r="B54" s="189"/>
      <c r="C54" s="135"/>
      <c r="D54" s="135"/>
      <c r="E54" s="229"/>
      <c r="F54" s="229"/>
      <c r="G54" s="229"/>
      <c r="H54" s="229"/>
      <c r="I54" s="229"/>
      <c r="J54" s="229"/>
      <c r="K54" s="189"/>
      <c r="L54" s="135"/>
      <c r="M54" s="229"/>
      <c r="N54" s="189"/>
      <c r="O54" s="135"/>
      <c r="P54" s="135"/>
      <c r="Q54" s="135"/>
      <c r="R54" s="135"/>
      <c r="S54" s="135"/>
      <c r="T54" s="135"/>
    </row>
    <row r="55" customFormat="false" ht="15.75" hidden="false" customHeight="true" outlineLevel="0" collapsed="false">
      <c r="A55" s="229"/>
      <c r="B55" s="189"/>
      <c r="C55" s="135"/>
      <c r="D55" s="135"/>
      <c r="E55" s="229"/>
      <c r="F55" s="229"/>
      <c r="G55" s="229"/>
      <c r="H55" s="229"/>
      <c r="I55" s="229"/>
      <c r="J55" s="229"/>
      <c r="K55" s="189"/>
      <c r="L55" s="135"/>
      <c r="M55" s="229"/>
      <c r="N55" s="189"/>
      <c r="O55" s="135"/>
      <c r="P55" s="135"/>
      <c r="Q55" s="135"/>
      <c r="R55" s="135"/>
      <c r="S55" s="135"/>
      <c r="T55" s="135"/>
    </row>
    <row r="56" customFormat="false" ht="15.75" hidden="false" customHeight="true" outlineLevel="0" collapsed="false">
      <c r="A56" s="229"/>
      <c r="B56" s="189"/>
      <c r="C56" s="135"/>
      <c r="D56" s="135"/>
      <c r="E56" s="229"/>
      <c r="F56" s="229"/>
      <c r="G56" s="229"/>
      <c r="H56" s="229"/>
      <c r="I56" s="229"/>
      <c r="J56" s="229"/>
      <c r="K56" s="189"/>
      <c r="L56" s="135"/>
      <c r="M56" s="229"/>
      <c r="N56" s="189"/>
      <c r="O56" s="135"/>
      <c r="P56" s="135"/>
      <c r="Q56" s="135"/>
      <c r="R56" s="135"/>
      <c r="S56" s="135"/>
      <c r="T56" s="135"/>
    </row>
    <row r="57" customFormat="false" ht="15.75" hidden="false" customHeight="true" outlineLevel="0" collapsed="false">
      <c r="A57" s="229"/>
      <c r="B57" s="189"/>
      <c r="C57" s="135"/>
      <c r="D57" s="135"/>
      <c r="E57" s="229"/>
      <c r="F57" s="229"/>
      <c r="G57" s="229"/>
      <c r="H57" s="229"/>
      <c r="I57" s="229"/>
      <c r="J57" s="229"/>
      <c r="K57" s="189"/>
      <c r="L57" s="135"/>
      <c r="M57" s="229"/>
      <c r="N57" s="189"/>
      <c r="O57" s="135"/>
      <c r="P57" s="135"/>
      <c r="Q57" s="135"/>
      <c r="R57" s="135"/>
      <c r="S57" s="135"/>
      <c r="T57" s="135"/>
    </row>
    <row r="58" customFormat="false" ht="15.75" hidden="false" customHeight="true" outlineLevel="0" collapsed="false">
      <c r="A58" s="229"/>
      <c r="B58" s="189"/>
      <c r="C58" s="135"/>
      <c r="D58" s="135"/>
      <c r="E58" s="229"/>
      <c r="F58" s="229"/>
      <c r="G58" s="229"/>
      <c r="H58" s="229"/>
      <c r="I58" s="229"/>
      <c r="J58" s="229"/>
      <c r="K58" s="189"/>
      <c r="L58" s="135"/>
      <c r="M58" s="229"/>
      <c r="N58" s="189"/>
      <c r="O58" s="135"/>
      <c r="P58" s="135"/>
      <c r="Q58" s="135"/>
      <c r="R58" s="135"/>
      <c r="S58" s="135"/>
      <c r="T58" s="135"/>
    </row>
    <row r="59" customFormat="false" ht="15.75" hidden="false" customHeight="true" outlineLevel="0" collapsed="false">
      <c r="A59" s="229"/>
      <c r="B59" s="189"/>
      <c r="C59" s="135"/>
      <c r="D59" s="135"/>
      <c r="E59" s="229"/>
      <c r="F59" s="229"/>
      <c r="G59" s="229"/>
      <c r="H59" s="229"/>
      <c r="I59" s="229"/>
      <c r="J59" s="229"/>
      <c r="K59" s="189"/>
      <c r="L59" s="135"/>
      <c r="M59" s="229"/>
      <c r="N59" s="189"/>
      <c r="O59" s="135"/>
      <c r="P59" s="135"/>
      <c r="Q59" s="135"/>
      <c r="R59" s="135"/>
      <c r="S59" s="135"/>
      <c r="T59" s="135"/>
    </row>
    <row r="60" customFormat="false" ht="15.75" hidden="false" customHeight="true" outlineLevel="0" collapsed="false">
      <c r="A60" s="229"/>
      <c r="B60" s="189"/>
      <c r="C60" s="135"/>
      <c r="D60" s="135"/>
      <c r="E60" s="229"/>
      <c r="F60" s="229"/>
      <c r="G60" s="229"/>
      <c r="H60" s="229"/>
      <c r="I60" s="229"/>
      <c r="J60" s="229"/>
      <c r="K60" s="189"/>
      <c r="L60" s="135"/>
      <c r="M60" s="229"/>
      <c r="N60" s="189"/>
      <c r="O60" s="135"/>
      <c r="P60" s="135"/>
      <c r="Q60" s="135"/>
      <c r="R60" s="135"/>
      <c r="S60" s="135"/>
      <c r="T60" s="135"/>
    </row>
    <row r="61" customFormat="false" ht="15.75" hidden="false" customHeight="true" outlineLevel="0" collapsed="false">
      <c r="A61" s="229"/>
      <c r="B61" s="189"/>
      <c r="C61" s="135"/>
      <c r="D61" s="135"/>
      <c r="E61" s="229"/>
      <c r="F61" s="229"/>
      <c r="G61" s="229"/>
      <c r="H61" s="229"/>
      <c r="I61" s="229"/>
      <c r="J61" s="229"/>
      <c r="K61" s="189"/>
      <c r="L61" s="135"/>
      <c r="M61" s="229"/>
      <c r="N61" s="189"/>
      <c r="O61" s="135"/>
      <c r="P61" s="135"/>
      <c r="Q61" s="135"/>
      <c r="R61" s="135"/>
      <c r="S61" s="135"/>
      <c r="T61" s="135"/>
    </row>
    <row r="62" customFormat="false" ht="15.75" hidden="false" customHeight="true" outlineLevel="0" collapsed="false">
      <c r="A62" s="229"/>
      <c r="B62" s="189"/>
      <c r="C62" s="135"/>
      <c r="D62" s="135"/>
      <c r="E62" s="229"/>
      <c r="F62" s="229"/>
      <c r="G62" s="229"/>
      <c r="H62" s="229"/>
      <c r="I62" s="229"/>
      <c r="J62" s="229"/>
      <c r="K62" s="189"/>
      <c r="L62" s="135"/>
      <c r="M62" s="229"/>
      <c r="N62" s="189"/>
      <c r="O62" s="135"/>
      <c r="P62" s="135"/>
      <c r="Q62" s="135"/>
      <c r="R62" s="135"/>
      <c r="S62" s="135"/>
      <c r="T62" s="135"/>
    </row>
    <row r="63" customFormat="false" ht="15.75" hidden="false" customHeight="true" outlineLevel="0" collapsed="false">
      <c r="A63" s="229"/>
      <c r="B63" s="189"/>
      <c r="C63" s="135"/>
      <c r="D63" s="135"/>
      <c r="E63" s="229"/>
      <c r="F63" s="229"/>
      <c r="G63" s="229"/>
      <c r="H63" s="229"/>
      <c r="I63" s="229"/>
      <c r="J63" s="229"/>
      <c r="K63" s="189"/>
      <c r="L63" s="135"/>
      <c r="M63" s="229"/>
      <c r="N63" s="189"/>
      <c r="O63" s="135"/>
      <c r="P63" s="135"/>
      <c r="Q63" s="135"/>
      <c r="R63" s="135"/>
      <c r="S63" s="135"/>
      <c r="T63" s="135"/>
    </row>
    <row r="64" customFormat="false" ht="15.75" hidden="false" customHeight="true" outlineLevel="0" collapsed="false">
      <c r="A64" s="229"/>
      <c r="B64" s="189"/>
      <c r="C64" s="135"/>
      <c r="D64" s="135"/>
      <c r="E64" s="229"/>
      <c r="F64" s="229"/>
      <c r="G64" s="229"/>
      <c r="H64" s="229"/>
      <c r="I64" s="229"/>
      <c r="J64" s="229"/>
      <c r="K64" s="189"/>
      <c r="L64" s="135"/>
      <c r="M64" s="229"/>
      <c r="N64" s="189"/>
      <c r="O64" s="135"/>
      <c r="P64" s="135"/>
      <c r="Q64" s="135"/>
      <c r="R64" s="135"/>
      <c r="S64" s="135"/>
      <c r="T64" s="135"/>
    </row>
    <row r="65" customFormat="false" ht="15.75" hidden="false" customHeight="true" outlineLevel="0" collapsed="false">
      <c r="A65" s="229"/>
      <c r="B65" s="189"/>
      <c r="C65" s="135"/>
      <c r="D65" s="135"/>
      <c r="E65" s="229"/>
      <c r="F65" s="229"/>
      <c r="G65" s="229"/>
      <c r="H65" s="229"/>
      <c r="I65" s="229"/>
      <c r="J65" s="229"/>
      <c r="K65" s="189"/>
      <c r="L65" s="135"/>
      <c r="M65" s="229"/>
      <c r="N65" s="189"/>
      <c r="O65" s="135"/>
      <c r="P65" s="135"/>
      <c r="Q65" s="135"/>
      <c r="R65" s="135"/>
      <c r="S65" s="135"/>
      <c r="T65" s="135"/>
    </row>
    <row r="66" customFormat="false" ht="15.75" hidden="false" customHeight="true" outlineLevel="0" collapsed="false">
      <c r="A66" s="229"/>
      <c r="B66" s="189"/>
      <c r="C66" s="135"/>
      <c r="D66" s="135"/>
      <c r="E66" s="229"/>
      <c r="F66" s="229"/>
      <c r="G66" s="229"/>
      <c r="H66" s="229"/>
      <c r="I66" s="229"/>
      <c r="J66" s="229"/>
      <c r="K66" s="189"/>
      <c r="L66" s="135"/>
      <c r="M66" s="229"/>
      <c r="N66" s="189"/>
      <c r="O66" s="135"/>
      <c r="P66" s="135"/>
      <c r="Q66" s="135"/>
      <c r="R66" s="135"/>
      <c r="S66" s="135"/>
      <c r="T66" s="135"/>
    </row>
    <row r="67" customFormat="false" ht="15.75" hidden="false" customHeight="true" outlineLevel="0" collapsed="false">
      <c r="A67" s="229"/>
      <c r="B67" s="189"/>
      <c r="C67" s="135"/>
      <c r="D67" s="135"/>
      <c r="E67" s="229"/>
      <c r="F67" s="229"/>
      <c r="G67" s="229"/>
      <c r="H67" s="229"/>
      <c r="I67" s="229"/>
      <c r="J67" s="229"/>
      <c r="K67" s="189"/>
      <c r="L67" s="135"/>
      <c r="M67" s="229"/>
      <c r="N67" s="189"/>
      <c r="O67" s="135"/>
      <c r="P67" s="135"/>
      <c r="Q67" s="135"/>
      <c r="R67" s="135"/>
      <c r="S67" s="135"/>
      <c r="T67" s="135"/>
    </row>
    <row r="68" customFormat="false" ht="15.75" hidden="false" customHeight="true" outlineLevel="0" collapsed="false">
      <c r="A68" s="229"/>
      <c r="B68" s="189"/>
      <c r="C68" s="135"/>
      <c r="D68" s="135"/>
      <c r="E68" s="229"/>
      <c r="F68" s="229"/>
      <c r="G68" s="229"/>
      <c r="H68" s="229"/>
      <c r="I68" s="229"/>
      <c r="J68" s="229"/>
      <c r="K68" s="189"/>
      <c r="L68" s="135"/>
      <c r="M68" s="229"/>
      <c r="N68" s="189"/>
      <c r="O68" s="135"/>
      <c r="P68" s="135"/>
      <c r="Q68" s="135"/>
      <c r="R68" s="135"/>
      <c r="S68" s="135"/>
      <c r="T68" s="135"/>
    </row>
    <row r="69" customFormat="false" ht="15.75" hidden="false" customHeight="true" outlineLevel="0" collapsed="false">
      <c r="A69" s="229"/>
      <c r="B69" s="189"/>
      <c r="C69" s="135"/>
      <c r="D69" s="135"/>
      <c r="E69" s="229"/>
      <c r="F69" s="229"/>
      <c r="G69" s="229"/>
      <c r="H69" s="229"/>
      <c r="I69" s="229"/>
      <c r="J69" s="229"/>
      <c r="K69" s="189"/>
      <c r="L69" s="135"/>
      <c r="M69" s="229"/>
      <c r="N69" s="189"/>
      <c r="O69" s="135"/>
      <c r="P69" s="135"/>
      <c r="Q69" s="135"/>
      <c r="R69" s="135"/>
      <c r="S69" s="135"/>
      <c r="T69" s="135"/>
    </row>
    <row r="70" customFormat="false" ht="15.75" hidden="false" customHeight="true" outlineLevel="0" collapsed="false">
      <c r="A70" s="229"/>
      <c r="B70" s="189"/>
      <c r="C70" s="135"/>
      <c r="D70" s="135"/>
      <c r="E70" s="229"/>
      <c r="F70" s="229"/>
      <c r="G70" s="229"/>
      <c r="H70" s="229"/>
      <c r="I70" s="229"/>
      <c r="J70" s="229"/>
      <c r="K70" s="189"/>
      <c r="L70" s="135"/>
      <c r="M70" s="229"/>
      <c r="N70" s="189"/>
      <c r="O70" s="135"/>
      <c r="P70" s="135"/>
      <c r="Q70" s="135"/>
      <c r="R70" s="135"/>
      <c r="S70" s="135"/>
      <c r="T70" s="135"/>
    </row>
    <row r="71" customFormat="false" ht="15.75" hidden="false" customHeight="true" outlineLevel="0" collapsed="false">
      <c r="A71" s="229"/>
      <c r="B71" s="189"/>
      <c r="C71" s="135"/>
      <c r="D71" s="135"/>
      <c r="E71" s="229"/>
      <c r="F71" s="229"/>
      <c r="G71" s="229"/>
      <c r="H71" s="229"/>
      <c r="I71" s="229"/>
      <c r="J71" s="229"/>
      <c r="K71" s="189"/>
      <c r="L71" s="135"/>
      <c r="M71" s="229"/>
      <c r="N71" s="189"/>
      <c r="O71" s="135"/>
      <c r="P71" s="135"/>
      <c r="Q71" s="135"/>
      <c r="R71" s="135"/>
      <c r="S71" s="135"/>
      <c r="T71" s="135"/>
    </row>
    <row r="72" customFormat="false" ht="15.75" hidden="false" customHeight="true" outlineLevel="0" collapsed="false">
      <c r="A72" s="229"/>
      <c r="B72" s="189"/>
      <c r="C72" s="135"/>
      <c r="D72" s="135"/>
      <c r="E72" s="229"/>
      <c r="F72" s="229"/>
      <c r="G72" s="229"/>
      <c r="H72" s="229"/>
      <c r="I72" s="229"/>
      <c r="J72" s="229"/>
      <c r="K72" s="189"/>
      <c r="L72" s="135"/>
      <c r="M72" s="229"/>
      <c r="N72" s="189"/>
      <c r="O72" s="135"/>
      <c r="P72" s="135"/>
      <c r="Q72" s="135"/>
      <c r="R72" s="135"/>
      <c r="S72" s="135"/>
      <c r="T72" s="135"/>
    </row>
    <row r="73" customFormat="false" ht="15.75" hidden="false" customHeight="true" outlineLevel="0" collapsed="false">
      <c r="A73" s="229"/>
      <c r="B73" s="189"/>
      <c r="C73" s="135"/>
      <c r="D73" s="135"/>
      <c r="E73" s="229"/>
      <c r="F73" s="229"/>
      <c r="G73" s="229"/>
      <c r="H73" s="229"/>
      <c r="I73" s="229"/>
      <c r="J73" s="229"/>
      <c r="K73" s="189"/>
      <c r="L73" s="135"/>
      <c r="M73" s="229"/>
      <c r="N73" s="189"/>
      <c r="O73" s="135"/>
      <c r="P73" s="135"/>
      <c r="Q73" s="135"/>
      <c r="R73" s="135"/>
      <c r="S73" s="135"/>
      <c r="T73" s="135"/>
    </row>
    <row r="74" customFormat="false" ht="15.75" hidden="false" customHeight="true" outlineLevel="0" collapsed="false">
      <c r="A74" s="229"/>
      <c r="B74" s="189"/>
      <c r="C74" s="135"/>
      <c r="D74" s="135"/>
      <c r="E74" s="229"/>
      <c r="F74" s="229"/>
      <c r="G74" s="229"/>
      <c r="H74" s="229"/>
      <c r="I74" s="229"/>
      <c r="J74" s="229"/>
      <c r="K74" s="189"/>
      <c r="L74" s="135"/>
      <c r="M74" s="229"/>
      <c r="N74" s="189"/>
      <c r="O74" s="135"/>
      <c r="P74" s="135"/>
      <c r="Q74" s="135"/>
      <c r="R74" s="135"/>
      <c r="S74" s="135"/>
      <c r="T74" s="135"/>
    </row>
    <row r="75" customFormat="false" ht="15.75" hidden="false" customHeight="true" outlineLevel="0" collapsed="false">
      <c r="A75" s="229"/>
      <c r="B75" s="189"/>
      <c r="C75" s="135"/>
      <c r="D75" s="135"/>
      <c r="E75" s="229"/>
      <c r="F75" s="229"/>
      <c r="G75" s="229"/>
      <c r="H75" s="229"/>
      <c r="I75" s="229"/>
      <c r="J75" s="229"/>
      <c r="K75" s="189"/>
      <c r="L75" s="135"/>
      <c r="M75" s="229"/>
      <c r="N75" s="189"/>
      <c r="O75" s="135"/>
      <c r="P75" s="135"/>
      <c r="Q75" s="135"/>
      <c r="R75" s="135"/>
      <c r="S75" s="135"/>
      <c r="T75" s="135"/>
    </row>
    <row r="76" customFormat="false" ht="15.75" hidden="false" customHeight="true" outlineLevel="0" collapsed="false">
      <c r="A76" s="229"/>
      <c r="B76" s="189"/>
      <c r="C76" s="135"/>
      <c r="D76" s="135"/>
      <c r="E76" s="229"/>
      <c r="F76" s="229"/>
      <c r="G76" s="229"/>
      <c r="H76" s="229"/>
      <c r="I76" s="229"/>
      <c r="J76" s="229"/>
      <c r="K76" s="189"/>
      <c r="L76" s="135"/>
      <c r="M76" s="229"/>
      <c r="N76" s="189"/>
      <c r="O76" s="135"/>
      <c r="P76" s="135"/>
      <c r="Q76" s="135"/>
      <c r="R76" s="135"/>
      <c r="S76" s="135"/>
      <c r="T76" s="135"/>
    </row>
    <row r="77" customFormat="false" ht="15.75" hidden="false" customHeight="true" outlineLevel="0" collapsed="false">
      <c r="A77" s="229"/>
      <c r="B77" s="189"/>
      <c r="C77" s="135"/>
      <c r="D77" s="135"/>
      <c r="E77" s="229"/>
      <c r="F77" s="229"/>
      <c r="G77" s="229"/>
      <c r="H77" s="229"/>
      <c r="I77" s="229"/>
      <c r="J77" s="229"/>
      <c r="K77" s="189"/>
      <c r="L77" s="135"/>
      <c r="M77" s="229"/>
      <c r="N77" s="189"/>
      <c r="O77" s="135"/>
      <c r="P77" s="135"/>
      <c r="Q77" s="135"/>
      <c r="R77" s="135"/>
      <c r="S77" s="135"/>
      <c r="T77" s="135"/>
    </row>
    <row r="78" customFormat="false" ht="15.75" hidden="false" customHeight="true" outlineLevel="0" collapsed="false">
      <c r="A78" s="229"/>
      <c r="B78" s="189"/>
      <c r="C78" s="135"/>
      <c r="D78" s="135"/>
      <c r="E78" s="229"/>
      <c r="F78" s="229"/>
      <c r="G78" s="229"/>
      <c r="H78" s="229"/>
      <c r="I78" s="229"/>
      <c r="J78" s="229"/>
      <c r="K78" s="189"/>
      <c r="L78" s="135"/>
      <c r="M78" s="229"/>
      <c r="N78" s="189"/>
      <c r="O78" s="135"/>
      <c r="P78" s="135"/>
      <c r="Q78" s="135"/>
      <c r="R78" s="135"/>
      <c r="S78" s="135"/>
      <c r="T78" s="135"/>
    </row>
    <row r="79" customFormat="false" ht="15.75" hidden="false" customHeight="true" outlineLevel="0" collapsed="false">
      <c r="A79" s="229"/>
      <c r="B79" s="189"/>
      <c r="C79" s="135"/>
      <c r="D79" s="135"/>
      <c r="E79" s="229"/>
      <c r="F79" s="229"/>
      <c r="G79" s="229"/>
      <c r="H79" s="229"/>
      <c r="I79" s="229"/>
      <c r="J79" s="229"/>
      <c r="K79" s="189"/>
      <c r="L79" s="135"/>
      <c r="M79" s="229"/>
      <c r="N79" s="189"/>
      <c r="O79" s="135"/>
      <c r="P79" s="135"/>
      <c r="Q79" s="135"/>
      <c r="R79" s="135"/>
      <c r="S79" s="135"/>
      <c r="T79" s="135"/>
    </row>
    <row r="80" customFormat="false" ht="15.75" hidden="false" customHeight="true" outlineLevel="0" collapsed="false">
      <c r="A80" s="229"/>
      <c r="B80" s="189"/>
      <c r="C80" s="135"/>
      <c r="D80" s="135"/>
      <c r="E80" s="229"/>
      <c r="F80" s="229"/>
      <c r="G80" s="229"/>
      <c r="H80" s="229"/>
      <c r="I80" s="229"/>
      <c r="J80" s="229"/>
      <c r="K80" s="189"/>
      <c r="L80" s="135"/>
      <c r="M80" s="229"/>
      <c r="N80" s="189"/>
      <c r="O80" s="135"/>
      <c r="P80" s="135"/>
      <c r="Q80" s="135"/>
      <c r="R80" s="135"/>
      <c r="S80" s="135"/>
      <c r="T80" s="135"/>
    </row>
    <row r="81" customFormat="false" ht="15.75" hidden="false" customHeight="true" outlineLevel="0" collapsed="false">
      <c r="A81" s="229"/>
      <c r="B81" s="189"/>
      <c r="C81" s="135"/>
      <c r="D81" s="135"/>
      <c r="E81" s="229"/>
      <c r="F81" s="229"/>
      <c r="G81" s="229"/>
      <c r="H81" s="229"/>
      <c r="I81" s="229"/>
      <c r="J81" s="229"/>
      <c r="K81" s="189"/>
      <c r="L81" s="135"/>
      <c r="M81" s="229"/>
      <c r="N81" s="189"/>
      <c r="O81" s="135"/>
      <c r="P81" s="135"/>
      <c r="Q81" s="135"/>
      <c r="R81" s="135"/>
      <c r="S81" s="135"/>
      <c r="T81" s="135"/>
    </row>
    <row r="82" customFormat="false" ht="15.75" hidden="false" customHeight="true" outlineLevel="0" collapsed="false">
      <c r="A82" s="229"/>
      <c r="B82" s="189"/>
      <c r="C82" s="135"/>
      <c r="D82" s="135"/>
      <c r="E82" s="229"/>
      <c r="F82" s="229"/>
      <c r="G82" s="229"/>
      <c r="H82" s="229"/>
      <c r="I82" s="229"/>
      <c r="J82" s="229"/>
      <c r="K82" s="189"/>
      <c r="L82" s="135"/>
      <c r="M82" s="229"/>
      <c r="N82" s="189"/>
      <c r="O82" s="135"/>
      <c r="P82" s="135"/>
      <c r="Q82" s="135"/>
      <c r="R82" s="135"/>
      <c r="S82" s="135"/>
      <c r="T82" s="135"/>
    </row>
    <row r="83" customFormat="false" ht="15.75" hidden="false" customHeight="true" outlineLevel="0" collapsed="false">
      <c r="A83" s="229"/>
      <c r="B83" s="189"/>
      <c r="C83" s="135"/>
      <c r="D83" s="135"/>
      <c r="E83" s="229"/>
      <c r="F83" s="229"/>
      <c r="G83" s="229"/>
      <c r="H83" s="229"/>
      <c r="I83" s="229"/>
      <c r="J83" s="229"/>
      <c r="K83" s="189"/>
      <c r="L83" s="135"/>
      <c r="M83" s="229"/>
      <c r="N83" s="189"/>
      <c r="O83" s="135"/>
      <c r="P83" s="135"/>
      <c r="Q83" s="135"/>
      <c r="R83" s="135"/>
      <c r="S83" s="135"/>
      <c r="T83" s="135"/>
    </row>
    <row r="84" customFormat="false" ht="15.75" hidden="false" customHeight="true" outlineLevel="0" collapsed="false">
      <c r="A84" s="229"/>
      <c r="B84" s="189"/>
      <c r="C84" s="135"/>
      <c r="D84" s="135"/>
      <c r="E84" s="229"/>
      <c r="F84" s="229"/>
      <c r="G84" s="229"/>
      <c r="H84" s="229"/>
      <c r="I84" s="229"/>
      <c r="J84" s="229"/>
      <c r="K84" s="189"/>
      <c r="L84" s="135"/>
      <c r="M84" s="229"/>
      <c r="N84" s="189"/>
      <c r="O84" s="135"/>
      <c r="P84" s="135"/>
      <c r="Q84" s="135"/>
      <c r="R84" s="135"/>
      <c r="S84" s="135"/>
      <c r="T84" s="135"/>
    </row>
    <row r="85" customFormat="false" ht="15.75" hidden="false" customHeight="true" outlineLevel="0" collapsed="false">
      <c r="A85" s="229"/>
      <c r="B85" s="189"/>
      <c r="C85" s="135"/>
      <c r="D85" s="135"/>
      <c r="E85" s="229"/>
      <c r="F85" s="229"/>
      <c r="G85" s="229"/>
      <c r="H85" s="229"/>
      <c r="I85" s="229"/>
      <c r="J85" s="229"/>
      <c r="K85" s="189"/>
      <c r="L85" s="135"/>
      <c r="M85" s="229"/>
      <c r="N85" s="189"/>
      <c r="O85" s="135"/>
      <c r="P85" s="135"/>
      <c r="Q85" s="135"/>
      <c r="R85" s="135"/>
      <c r="S85" s="135"/>
      <c r="T85" s="135"/>
    </row>
    <row r="86" customFormat="false" ht="15.75" hidden="false" customHeight="true" outlineLevel="0" collapsed="false">
      <c r="A86" s="229"/>
      <c r="B86" s="189"/>
      <c r="C86" s="135"/>
      <c r="D86" s="135"/>
      <c r="E86" s="229"/>
      <c r="F86" s="229"/>
      <c r="G86" s="229"/>
      <c r="H86" s="229"/>
      <c r="I86" s="229"/>
      <c r="J86" s="229"/>
      <c r="K86" s="189"/>
      <c r="L86" s="135"/>
      <c r="M86" s="229"/>
      <c r="N86" s="189"/>
      <c r="O86" s="135"/>
      <c r="P86" s="135"/>
      <c r="Q86" s="135"/>
      <c r="R86" s="135"/>
      <c r="S86" s="135"/>
      <c r="T86" s="135"/>
    </row>
    <row r="87" customFormat="false" ht="15.75" hidden="false" customHeight="true" outlineLevel="0" collapsed="false">
      <c r="A87" s="229"/>
      <c r="B87" s="189"/>
      <c r="C87" s="135"/>
      <c r="D87" s="135"/>
      <c r="E87" s="229"/>
      <c r="F87" s="229"/>
      <c r="G87" s="229"/>
      <c r="H87" s="229"/>
      <c r="I87" s="229"/>
      <c r="J87" s="229"/>
      <c r="K87" s="189"/>
      <c r="L87" s="135"/>
      <c r="M87" s="229"/>
      <c r="N87" s="189"/>
      <c r="O87" s="135"/>
      <c r="P87" s="135"/>
      <c r="Q87" s="135"/>
      <c r="R87" s="135"/>
      <c r="S87" s="135"/>
      <c r="T87" s="135"/>
    </row>
    <row r="88" customFormat="false" ht="15.75" hidden="false" customHeight="true" outlineLevel="0" collapsed="false">
      <c r="A88" s="229"/>
      <c r="B88" s="189"/>
      <c r="C88" s="135"/>
      <c r="D88" s="135"/>
      <c r="E88" s="229"/>
      <c r="F88" s="229"/>
      <c r="G88" s="229"/>
      <c r="H88" s="229"/>
      <c r="I88" s="229"/>
      <c r="J88" s="229"/>
      <c r="K88" s="189"/>
      <c r="L88" s="135"/>
      <c r="M88" s="229"/>
      <c r="N88" s="189"/>
      <c r="O88" s="135"/>
      <c r="P88" s="135"/>
      <c r="Q88" s="135"/>
      <c r="R88" s="135"/>
      <c r="S88" s="135"/>
      <c r="T88" s="135"/>
    </row>
    <row r="89" customFormat="false" ht="15.75" hidden="false" customHeight="true" outlineLevel="0" collapsed="false">
      <c r="A89" s="229"/>
      <c r="B89" s="189"/>
      <c r="C89" s="135"/>
      <c r="D89" s="135"/>
      <c r="E89" s="229"/>
      <c r="F89" s="229"/>
      <c r="G89" s="229"/>
      <c r="H89" s="229"/>
      <c r="I89" s="229"/>
      <c r="J89" s="229"/>
      <c r="K89" s="189"/>
      <c r="L89" s="135"/>
      <c r="M89" s="229"/>
      <c r="N89" s="189"/>
      <c r="O89" s="135"/>
      <c r="P89" s="135"/>
      <c r="Q89" s="135"/>
      <c r="R89" s="135"/>
      <c r="S89" s="135"/>
      <c r="T89" s="135"/>
    </row>
    <row r="90" customFormat="false" ht="15.75" hidden="false" customHeight="true" outlineLevel="0" collapsed="false">
      <c r="A90" s="229"/>
      <c r="B90" s="189"/>
      <c r="C90" s="135"/>
      <c r="D90" s="135"/>
      <c r="E90" s="229"/>
      <c r="F90" s="229"/>
      <c r="G90" s="229"/>
      <c r="H90" s="229"/>
      <c r="I90" s="229"/>
      <c r="J90" s="229"/>
      <c r="K90" s="189"/>
      <c r="L90" s="135"/>
      <c r="M90" s="229"/>
      <c r="N90" s="189"/>
      <c r="O90" s="135"/>
      <c r="P90" s="135"/>
      <c r="Q90" s="135"/>
      <c r="R90" s="135"/>
      <c r="S90" s="135"/>
      <c r="T90" s="135"/>
    </row>
    <row r="91" customFormat="false" ht="15.75" hidden="false" customHeight="true" outlineLevel="0" collapsed="false">
      <c r="A91" s="229"/>
      <c r="B91" s="189"/>
      <c r="C91" s="135"/>
      <c r="D91" s="135"/>
      <c r="E91" s="229"/>
      <c r="F91" s="229"/>
      <c r="G91" s="229"/>
      <c r="H91" s="229"/>
      <c r="I91" s="229"/>
      <c r="J91" s="229"/>
      <c r="K91" s="189"/>
      <c r="L91" s="135"/>
      <c r="M91" s="229"/>
      <c r="N91" s="189"/>
      <c r="O91" s="135"/>
      <c r="P91" s="135"/>
      <c r="Q91" s="135"/>
      <c r="R91" s="135"/>
      <c r="S91" s="135"/>
      <c r="T91" s="135"/>
    </row>
    <row r="92" customFormat="false" ht="15.75" hidden="false" customHeight="true" outlineLevel="0" collapsed="false">
      <c r="A92" s="229"/>
      <c r="B92" s="189"/>
      <c r="C92" s="135"/>
      <c r="D92" s="135"/>
      <c r="E92" s="229"/>
      <c r="F92" s="229"/>
      <c r="G92" s="229"/>
      <c r="H92" s="229"/>
      <c r="I92" s="229"/>
      <c r="J92" s="229"/>
      <c r="K92" s="189"/>
      <c r="L92" s="135"/>
      <c r="M92" s="229"/>
      <c r="N92" s="189"/>
      <c r="O92" s="135"/>
      <c r="P92" s="135"/>
      <c r="Q92" s="135"/>
      <c r="R92" s="135"/>
      <c r="S92" s="135"/>
      <c r="T92" s="135"/>
    </row>
    <row r="93" customFormat="false" ht="15.75" hidden="false" customHeight="true" outlineLevel="0" collapsed="false">
      <c r="A93" s="229"/>
      <c r="B93" s="189"/>
      <c r="C93" s="135"/>
      <c r="D93" s="135"/>
      <c r="E93" s="229"/>
      <c r="F93" s="229"/>
      <c r="G93" s="229"/>
      <c r="H93" s="229"/>
      <c r="I93" s="229"/>
      <c r="J93" s="229"/>
      <c r="K93" s="189"/>
      <c r="L93" s="135"/>
      <c r="M93" s="229"/>
      <c r="N93" s="189"/>
      <c r="O93" s="135"/>
      <c r="P93" s="135"/>
      <c r="Q93" s="135"/>
      <c r="R93" s="135"/>
      <c r="S93" s="135"/>
      <c r="T93" s="135"/>
    </row>
    <row r="94" customFormat="false" ht="15.75" hidden="false" customHeight="true" outlineLevel="0" collapsed="false">
      <c r="A94" s="229"/>
      <c r="B94" s="189"/>
      <c r="C94" s="135"/>
      <c r="D94" s="135"/>
      <c r="E94" s="229"/>
      <c r="F94" s="229"/>
      <c r="G94" s="229"/>
      <c r="H94" s="229"/>
      <c r="I94" s="229"/>
      <c r="J94" s="229"/>
      <c r="K94" s="189"/>
      <c r="L94" s="135"/>
      <c r="M94" s="229"/>
      <c r="N94" s="189"/>
      <c r="O94" s="135"/>
      <c r="P94" s="135"/>
      <c r="Q94" s="135"/>
      <c r="R94" s="135"/>
      <c r="S94" s="135"/>
      <c r="T94" s="135"/>
    </row>
    <row r="95" customFormat="false" ht="15.75" hidden="false" customHeight="true" outlineLevel="0" collapsed="false">
      <c r="A95" s="229"/>
      <c r="B95" s="189"/>
      <c r="C95" s="135"/>
      <c r="D95" s="135"/>
      <c r="E95" s="229"/>
      <c r="F95" s="229"/>
      <c r="G95" s="229"/>
      <c r="H95" s="229"/>
      <c r="I95" s="229"/>
      <c r="J95" s="229"/>
      <c r="K95" s="189"/>
      <c r="L95" s="135"/>
      <c r="M95" s="229"/>
      <c r="N95" s="189"/>
      <c r="O95" s="135"/>
      <c r="P95" s="135"/>
      <c r="Q95" s="135"/>
      <c r="R95" s="135"/>
      <c r="S95" s="135"/>
      <c r="T95" s="135"/>
    </row>
    <row r="96" customFormat="false" ht="15.75" hidden="false" customHeight="true" outlineLevel="0" collapsed="false">
      <c r="A96" s="229"/>
      <c r="B96" s="189"/>
      <c r="C96" s="135"/>
      <c r="D96" s="135"/>
      <c r="E96" s="229"/>
      <c r="F96" s="229"/>
      <c r="G96" s="229"/>
      <c r="H96" s="229"/>
      <c r="I96" s="229"/>
      <c r="J96" s="229"/>
      <c r="K96" s="189"/>
      <c r="L96" s="135"/>
      <c r="M96" s="229"/>
      <c r="N96" s="189"/>
      <c r="O96" s="135"/>
      <c r="P96" s="135"/>
      <c r="Q96" s="135"/>
      <c r="R96" s="135"/>
      <c r="S96" s="135"/>
      <c r="T96" s="135"/>
    </row>
    <row r="97" customFormat="false" ht="15.75" hidden="false" customHeight="true" outlineLevel="0" collapsed="false">
      <c r="A97" s="229"/>
      <c r="B97" s="189"/>
      <c r="C97" s="135"/>
      <c r="D97" s="135"/>
      <c r="E97" s="229"/>
      <c r="F97" s="229"/>
      <c r="G97" s="229"/>
      <c r="H97" s="229"/>
      <c r="I97" s="229"/>
      <c r="J97" s="229"/>
      <c r="K97" s="189"/>
      <c r="L97" s="135"/>
      <c r="M97" s="229"/>
      <c r="N97" s="189"/>
      <c r="O97" s="135"/>
      <c r="P97" s="135"/>
      <c r="Q97" s="135"/>
      <c r="R97" s="135"/>
      <c r="S97" s="135"/>
      <c r="T97" s="135"/>
    </row>
    <row r="98" customFormat="false" ht="15.75" hidden="false" customHeight="true" outlineLevel="0" collapsed="false">
      <c r="A98" s="229"/>
      <c r="B98" s="189"/>
      <c r="C98" s="135"/>
      <c r="D98" s="135"/>
      <c r="E98" s="229"/>
      <c r="F98" s="229"/>
      <c r="G98" s="229"/>
      <c r="H98" s="229"/>
      <c r="I98" s="229"/>
      <c r="J98" s="229"/>
      <c r="K98" s="189"/>
      <c r="L98" s="135"/>
      <c r="M98" s="229"/>
      <c r="N98" s="189"/>
      <c r="O98" s="135"/>
      <c r="P98" s="135"/>
      <c r="Q98" s="135"/>
      <c r="R98" s="135"/>
      <c r="S98" s="135"/>
      <c r="T98" s="135"/>
    </row>
    <row r="99" customFormat="false" ht="15.75" hidden="false" customHeight="true" outlineLevel="0" collapsed="false">
      <c r="A99" s="229"/>
      <c r="B99" s="189"/>
      <c r="C99" s="135"/>
      <c r="D99" s="135"/>
      <c r="E99" s="229"/>
      <c r="F99" s="229"/>
      <c r="G99" s="229"/>
      <c r="H99" s="229"/>
      <c r="I99" s="229"/>
      <c r="J99" s="229"/>
      <c r="K99" s="189"/>
      <c r="L99" s="135"/>
      <c r="M99" s="229"/>
      <c r="N99" s="189"/>
      <c r="O99" s="135"/>
      <c r="P99" s="135"/>
      <c r="Q99" s="135"/>
      <c r="R99" s="135"/>
      <c r="S99" s="135"/>
      <c r="T99" s="135"/>
    </row>
    <row r="100" customFormat="false" ht="15.75" hidden="false" customHeight="true" outlineLevel="0" collapsed="false">
      <c r="A100" s="229"/>
      <c r="B100" s="189"/>
      <c r="C100" s="135"/>
      <c r="D100" s="135"/>
      <c r="E100" s="229"/>
      <c r="F100" s="229"/>
      <c r="G100" s="229"/>
      <c r="H100" s="229"/>
      <c r="I100" s="229"/>
      <c r="J100" s="229"/>
      <c r="K100" s="189"/>
      <c r="L100" s="135"/>
      <c r="M100" s="229"/>
      <c r="N100" s="189"/>
      <c r="O100" s="135"/>
      <c r="P100" s="135"/>
      <c r="Q100" s="135"/>
      <c r="R100" s="135"/>
      <c r="S100" s="135"/>
      <c r="T100" s="135"/>
    </row>
    <row r="101" customFormat="false" ht="15.75" hidden="false" customHeight="true" outlineLevel="0" collapsed="false">
      <c r="A101" s="229"/>
      <c r="B101" s="189"/>
      <c r="C101" s="135"/>
      <c r="D101" s="135"/>
      <c r="E101" s="229"/>
      <c r="F101" s="229"/>
      <c r="G101" s="229"/>
      <c r="H101" s="229"/>
      <c r="I101" s="229"/>
      <c r="J101" s="229"/>
      <c r="K101" s="189"/>
      <c r="L101" s="135"/>
      <c r="M101" s="229"/>
      <c r="N101" s="189"/>
      <c r="O101" s="135"/>
      <c r="P101" s="135"/>
      <c r="Q101" s="135"/>
      <c r="R101" s="135"/>
      <c r="S101" s="135"/>
      <c r="T101" s="135"/>
    </row>
    <row r="102" customFormat="false" ht="15.75" hidden="false" customHeight="true" outlineLevel="0" collapsed="false">
      <c r="A102" s="229"/>
      <c r="B102" s="189"/>
      <c r="C102" s="135"/>
      <c r="D102" s="135"/>
      <c r="E102" s="229"/>
      <c r="F102" s="229"/>
      <c r="G102" s="229"/>
      <c r="H102" s="229"/>
      <c r="I102" s="229"/>
      <c r="J102" s="229"/>
      <c r="K102" s="189"/>
      <c r="L102" s="135"/>
      <c r="M102" s="229"/>
      <c r="N102" s="189"/>
      <c r="O102" s="135"/>
      <c r="P102" s="135"/>
      <c r="Q102" s="135"/>
      <c r="R102" s="135"/>
      <c r="S102" s="135"/>
      <c r="T102" s="135"/>
    </row>
    <row r="103" customFormat="false" ht="15.75" hidden="false" customHeight="true" outlineLevel="0" collapsed="false">
      <c r="A103" s="229"/>
      <c r="B103" s="189"/>
      <c r="C103" s="135"/>
      <c r="D103" s="135"/>
      <c r="E103" s="229"/>
      <c r="F103" s="229"/>
      <c r="G103" s="229"/>
      <c r="H103" s="229"/>
      <c r="I103" s="229"/>
      <c r="J103" s="229"/>
      <c r="K103" s="189"/>
      <c r="L103" s="135"/>
      <c r="M103" s="229"/>
      <c r="N103" s="189"/>
      <c r="O103" s="135"/>
      <c r="P103" s="135"/>
      <c r="Q103" s="135"/>
      <c r="R103" s="135"/>
      <c r="S103" s="135"/>
      <c r="T103" s="135"/>
    </row>
    <row r="104" customFormat="false" ht="15.75" hidden="false" customHeight="true" outlineLevel="0" collapsed="false">
      <c r="A104" s="229"/>
      <c r="B104" s="189"/>
      <c r="C104" s="135"/>
      <c r="D104" s="135"/>
      <c r="E104" s="229"/>
      <c r="F104" s="229"/>
      <c r="G104" s="229"/>
      <c r="H104" s="229"/>
      <c r="I104" s="229"/>
      <c r="J104" s="229"/>
      <c r="K104" s="189"/>
      <c r="L104" s="135"/>
      <c r="M104" s="229"/>
      <c r="N104" s="189"/>
      <c r="O104" s="135"/>
      <c r="P104" s="135"/>
      <c r="Q104" s="135"/>
      <c r="R104" s="135"/>
      <c r="S104" s="135"/>
      <c r="T104" s="135"/>
    </row>
    <row r="105" customFormat="false" ht="15.75" hidden="false" customHeight="true" outlineLevel="0" collapsed="false">
      <c r="A105" s="229"/>
      <c r="B105" s="189"/>
      <c r="C105" s="135"/>
      <c r="D105" s="135"/>
      <c r="E105" s="229"/>
      <c r="F105" s="229"/>
      <c r="G105" s="229"/>
      <c r="H105" s="229"/>
      <c r="I105" s="229"/>
      <c r="J105" s="229"/>
      <c r="K105" s="189"/>
      <c r="L105" s="135"/>
      <c r="M105" s="229"/>
      <c r="N105" s="189"/>
      <c r="O105" s="135"/>
      <c r="P105" s="135"/>
      <c r="Q105" s="135"/>
      <c r="R105" s="135"/>
      <c r="S105" s="135"/>
      <c r="T105" s="135"/>
    </row>
    <row r="106" customFormat="false" ht="15.75" hidden="false" customHeight="true" outlineLevel="0" collapsed="false">
      <c r="A106" s="229"/>
      <c r="B106" s="189"/>
      <c r="C106" s="135"/>
      <c r="D106" s="135"/>
      <c r="E106" s="229"/>
      <c r="F106" s="229"/>
      <c r="G106" s="229"/>
      <c r="H106" s="229"/>
      <c r="I106" s="229"/>
      <c r="J106" s="229"/>
      <c r="K106" s="189"/>
      <c r="L106" s="135"/>
      <c r="M106" s="229"/>
      <c r="N106" s="189"/>
      <c r="O106" s="135"/>
      <c r="P106" s="135"/>
      <c r="Q106" s="135"/>
      <c r="R106" s="135"/>
      <c r="S106" s="135"/>
      <c r="T106" s="135"/>
    </row>
    <row r="107" customFormat="false" ht="15.75" hidden="false" customHeight="true" outlineLevel="0" collapsed="false">
      <c r="A107" s="229"/>
      <c r="B107" s="189"/>
      <c r="C107" s="135"/>
      <c r="D107" s="135"/>
      <c r="E107" s="229"/>
      <c r="F107" s="229"/>
      <c r="G107" s="229"/>
      <c r="H107" s="229"/>
      <c r="I107" s="229"/>
      <c r="J107" s="229"/>
      <c r="K107" s="189"/>
      <c r="L107" s="135"/>
      <c r="M107" s="229"/>
      <c r="N107" s="189"/>
      <c r="O107" s="135"/>
      <c r="P107" s="135"/>
      <c r="Q107" s="135"/>
      <c r="R107" s="135"/>
      <c r="S107" s="135"/>
      <c r="T107" s="135"/>
    </row>
    <row r="108" customFormat="false" ht="15.75" hidden="false" customHeight="true" outlineLevel="0" collapsed="false">
      <c r="A108" s="229"/>
      <c r="B108" s="189"/>
      <c r="C108" s="135"/>
      <c r="D108" s="135"/>
      <c r="E108" s="229"/>
      <c r="F108" s="229"/>
      <c r="G108" s="229"/>
      <c r="H108" s="229"/>
      <c r="I108" s="229"/>
      <c r="J108" s="229"/>
      <c r="K108" s="189"/>
      <c r="L108" s="135"/>
      <c r="M108" s="229"/>
      <c r="N108" s="189"/>
      <c r="O108" s="135"/>
      <c r="P108" s="135"/>
      <c r="Q108" s="135"/>
      <c r="R108" s="135"/>
      <c r="S108" s="135"/>
      <c r="T108" s="135"/>
    </row>
    <row r="109" customFormat="false" ht="15.75" hidden="false" customHeight="true" outlineLevel="0" collapsed="false">
      <c r="A109" s="229"/>
      <c r="B109" s="189"/>
      <c r="C109" s="135"/>
      <c r="D109" s="135"/>
      <c r="E109" s="229"/>
      <c r="F109" s="229"/>
      <c r="G109" s="229"/>
      <c r="H109" s="229"/>
      <c r="I109" s="229"/>
      <c r="J109" s="229"/>
      <c r="K109" s="189"/>
      <c r="L109" s="135"/>
      <c r="M109" s="229"/>
      <c r="N109" s="189"/>
      <c r="O109" s="135"/>
      <c r="P109" s="135"/>
      <c r="Q109" s="135"/>
      <c r="R109" s="135"/>
      <c r="S109" s="135"/>
      <c r="T109" s="135"/>
    </row>
    <row r="110" customFormat="false" ht="15.75" hidden="false" customHeight="true" outlineLevel="0" collapsed="false">
      <c r="A110" s="229"/>
      <c r="B110" s="189"/>
      <c r="C110" s="135"/>
      <c r="D110" s="135"/>
      <c r="E110" s="229"/>
      <c r="F110" s="229"/>
      <c r="G110" s="229"/>
      <c r="H110" s="229"/>
      <c r="I110" s="229"/>
      <c r="J110" s="229"/>
      <c r="K110" s="189"/>
      <c r="L110" s="135"/>
      <c r="M110" s="229"/>
      <c r="N110" s="189"/>
      <c r="O110" s="135"/>
      <c r="P110" s="135"/>
      <c r="Q110" s="135"/>
      <c r="R110" s="135"/>
      <c r="S110" s="135"/>
      <c r="T110" s="135"/>
    </row>
    <row r="111" customFormat="false" ht="15.75" hidden="false" customHeight="true" outlineLevel="0" collapsed="false">
      <c r="A111" s="229"/>
      <c r="B111" s="189"/>
      <c r="C111" s="135"/>
      <c r="D111" s="135"/>
      <c r="E111" s="229"/>
      <c r="F111" s="229"/>
      <c r="G111" s="229"/>
      <c r="H111" s="229"/>
      <c r="I111" s="229"/>
      <c r="J111" s="229"/>
      <c r="K111" s="189"/>
      <c r="L111" s="135"/>
      <c r="M111" s="229"/>
      <c r="N111" s="189"/>
      <c r="O111" s="135"/>
      <c r="P111" s="135"/>
      <c r="Q111" s="135"/>
      <c r="R111" s="135"/>
      <c r="S111" s="135"/>
      <c r="T111" s="135"/>
    </row>
    <row r="112" customFormat="false" ht="15.75" hidden="false" customHeight="true" outlineLevel="0" collapsed="false">
      <c r="A112" s="229"/>
      <c r="B112" s="189"/>
      <c r="C112" s="135"/>
      <c r="D112" s="135"/>
      <c r="E112" s="229"/>
      <c r="F112" s="229"/>
      <c r="G112" s="229"/>
      <c r="H112" s="229"/>
      <c r="I112" s="229"/>
      <c r="J112" s="229"/>
      <c r="K112" s="189"/>
      <c r="L112" s="135"/>
      <c r="M112" s="229"/>
      <c r="N112" s="189"/>
      <c r="O112" s="135"/>
      <c r="P112" s="135"/>
      <c r="Q112" s="135"/>
      <c r="R112" s="135"/>
      <c r="S112" s="135"/>
      <c r="T112" s="135"/>
    </row>
    <row r="113" customFormat="false" ht="15.75" hidden="false" customHeight="true" outlineLevel="0" collapsed="false">
      <c r="A113" s="229"/>
      <c r="B113" s="189"/>
      <c r="C113" s="135"/>
      <c r="D113" s="135"/>
      <c r="E113" s="229"/>
      <c r="F113" s="229"/>
      <c r="G113" s="229"/>
      <c r="H113" s="229"/>
      <c r="I113" s="229"/>
      <c r="J113" s="229"/>
      <c r="K113" s="189"/>
      <c r="L113" s="135"/>
      <c r="M113" s="229"/>
      <c r="N113" s="189"/>
      <c r="O113" s="135"/>
      <c r="P113" s="135"/>
      <c r="Q113" s="135"/>
      <c r="R113" s="135"/>
      <c r="S113" s="135"/>
      <c r="T113" s="135"/>
    </row>
    <row r="114" customFormat="false" ht="15.75" hidden="false" customHeight="true" outlineLevel="0" collapsed="false">
      <c r="A114" s="229"/>
      <c r="B114" s="189"/>
      <c r="C114" s="135"/>
      <c r="D114" s="135"/>
      <c r="E114" s="229"/>
      <c r="F114" s="229"/>
      <c r="G114" s="229"/>
      <c r="H114" s="229"/>
      <c r="I114" s="229"/>
      <c r="J114" s="229"/>
      <c r="K114" s="189"/>
      <c r="L114" s="135"/>
      <c r="M114" s="229"/>
      <c r="N114" s="189"/>
      <c r="O114" s="135"/>
      <c r="P114" s="135"/>
      <c r="Q114" s="135"/>
      <c r="R114" s="135"/>
      <c r="S114" s="135"/>
      <c r="T114" s="135"/>
    </row>
    <row r="115" customFormat="false" ht="15.75" hidden="false" customHeight="true" outlineLevel="0" collapsed="false">
      <c r="A115" s="229"/>
      <c r="B115" s="189"/>
      <c r="C115" s="135"/>
      <c r="D115" s="135"/>
      <c r="E115" s="229"/>
      <c r="F115" s="229"/>
      <c r="G115" s="229"/>
      <c r="H115" s="229"/>
      <c r="I115" s="229"/>
      <c r="J115" s="229"/>
      <c r="K115" s="189"/>
      <c r="L115" s="135"/>
      <c r="M115" s="229"/>
      <c r="N115" s="189"/>
      <c r="O115" s="135"/>
      <c r="P115" s="135"/>
      <c r="Q115" s="135"/>
      <c r="R115" s="135"/>
      <c r="S115" s="135"/>
      <c r="T115" s="135"/>
    </row>
    <row r="116" customFormat="false" ht="15.75" hidden="false" customHeight="true" outlineLevel="0" collapsed="false">
      <c r="A116" s="229"/>
      <c r="B116" s="189"/>
      <c r="C116" s="135"/>
      <c r="D116" s="135"/>
      <c r="E116" s="229"/>
      <c r="F116" s="229"/>
      <c r="G116" s="229"/>
      <c r="H116" s="229"/>
      <c r="I116" s="229"/>
      <c r="J116" s="229"/>
      <c r="K116" s="189"/>
      <c r="L116" s="135"/>
      <c r="M116" s="229"/>
      <c r="N116" s="189"/>
      <c r="O116" s="135"/>
      <c r="P116" s="135"/>
      <c r="Q116" s="135"/>
      <c r="R116" s="135"/>
      <c r="S116" s="135"/>
      <c r="T116" s="135"/>
    </row>
    <row r="117" customFormat="false" ht="15.75" hidden="false" customHeight="true" outlineLevel="0" collapsed="false">
      <c r="A117" s="229"/>
      <c r="B117" s="189"/>
      <c r="C117" s="135"/>
      <c r="D117" s="135"/>
      <c r="E117" s="229"/>
      <c r="F117" s="229"/>
      <c r="G117" s="229"/>
      <c r="H117" s="229"/>
      <c r="I117" s="229"/>
      <c r="J117" s="229"/>
      <c r="K117" s="189"/>
      <c r="L117" s="135"/>
      <c r="M117" s="229"/>
      <c r="N117" s="189"/>
      <c r="O117" s="135"/>
      <c r="P117" s="135"/>
      <c r="Q117" s="135"/>
      <c r="R117" s="135"/>
      <c r="S117" s="135"/>
      <c r="T117" s="135"/>
    </row>
    <row r="118" customFormat="false" ht="15.75" hidden="false" customHeight="true" outlineLevel="0" collapsed="false">
      <c r="A118" s="229"/>
      <c r="B118" s="189"/>
      <c r="C118" s="135"/>
      <c r="D118" s="135"/>
      <c r="E118" s="229"/>
      <c r="F118" s="229"/>
      <c r="G118" s="229"/>
      <c r="H118" s="229"/>
      <c r="I118" s="229"/>
      <c r="J118" s="229"/>
      <c r="K118" s="189"/>
      <c r="L118" s="135"/>
      <c r="M118" s="229"/>
      <c r="N118" s="189"/>
      <c r="O118" s="135"/>
      <c r="P118" s="135"/>
      <c r="Q118" s="135"/>
      <c r="R118" s="135"/>
      <c r="S118" s="135"/>
      <c r="T118" s="135"/>
    </row>
    <row r="119" customFormat="false" ht="15.75" hidden="false" customHeight="true" outlineLevel="0" collapsed="false">
      <c r="A119" s="229"/>
      <c r="B119" s="189"/>
      <c r="C119" s="135"/>
      <c r="D119" s="135"/>
      <c r="E119" s="229"/>
      <c r="F119" s="229"/>
      <c r="G119" s="229"/>
      <c r="H119" s="229"/>
      <c r="I119" s="229"/>
      <c r="J119" s="229"/>
      <c r="K119" s="189"/>
      <c r="L119" s="135"/>
      <c r="M119" s="229"/>
      <c r="N119" s="189"/>
      <c r="O119" s="135"/>
      <c r="P119" s="135"/>
      <c r="Q119" s="135"/>
      <c r="R119" s="135"/>
      <c r="S119" s="135"/>
      <c r="T119" s="135"/>
    </row>
    <row r="120" customFormat="false" ht="15.75" hidden="false" customHeight="true" outlineLevel="0" collapsed="false">
      <c r="A120" s="229"/>
      <c r="B120" s="189"/>
      <c r="C120" s="135"/>
      <c r="D120" s="135"/>
      <c r="E120" s="229"/>
      <c r="F120" s="229"/>
      <c r="G120" s="229"/>
      <c r="H120" s="229"/>
      <c r="I120" s="229"/>
      <c r="J120" s="229"/>
      <c r="K120" s="189"/>
      <c r="L120" s="135"/>
      <c r="M120" s="229"/>
      <c r="N120" s="189"/>
      <c r="O120" s="135"/>
      <c r="P120" s="135"/>
      <c r="Q120" s="135"/>
      <c r="R120" s="135"/>
      <c r="S120" s="135"/>
      <c r="T120" s="135"/>
    </row>
    <row r="121" customFormat="false" ht="15.75" hidden="false" customHeight="true" outlineLevel="0" collapsed="false">
      <c r="A121" s="229"/>
      <c r="B121" s="189"/>
      <c r="C121" s="135"/>
      <c r="D121" s="135"/>
      <c r="E121" s="229"/>
      <c r="F121" s="229"/>
      <c r="G121" s="229"/>
      <c r="H121" s="229"/>
      <c r="I121" s="229"/>
      <c r="J121" s="229"/>
      <c r="K121" s="189"/>
      <c r="L121" s="135"/>
      <c r="M121" s="229"/>
      <c r="N121" s="189"/>
      <c r="O121" s="135"/>
      <c r="P121" s="135"/>
      <c r="Q121" s="135"/>
      <c r="R121" s="135"/>
      <c r="S121" s="135"/>
      <c r="T121" s="135"/>
    </row>
    <row r="122" customFormat="false" ht="15.75" hidden="false" customHeight="true" outlineLevel="0" collapsed="false">
      <c r="A122" s="229"/>
      <c r="B122" s="189"/>
      <c r="C122" s="135"/>
      <c r="D122" s="135"/>
      <c r="E122" s="229"/>
      <c r="F122" s="229"/>
      <c r="G122" s="229"/>
      <c r="H122" s="229"/>
      <c r="I122" s="229"/>
      <c r="J122" s="229"/>
      <c r="K122" s="189"/>
      <c r="L122" s="135"/>
      <c r="M122" s="229"/>
      <c r="N122" s="189"/>
      <c r="O122" s="135"/>
      <c r="P122" s="135"/>
      <c r="Q122" s="135"/>
      <c r="R122" s="135"/>
      <c r="S122" s="135"/>
      <c r="T122" s="135"/>
    </row>
    <row r="123" customFormat="false" ht="15.75" hidden="false" customHeight="true" outlineLevel="0" collapsed="false">
      <c r="A123" s="229"/>
      <c r="B123" s="189"/>
      <c r="C123" s="135"/>
      <c r="D123" s="135"/>
      <c r="E123" s="229"/>
      <c r="F123" s="229"/>
      <c r="G123" s="229"/>
      <c r="H123" s="229"/>
      <c r="I123" s="229"/>
      <c r="J123" s="229"/>
      <c r="K123" s="189"/>
      <c r="L123" s="135"/>
      <c r="M123" s="229"/>
      <c r="N123" s="189"/>
      <c r="O123" s="135"/>
      <c r="P123" s="135"/>
      <c r="Q123" s="135"/>
      <c r="R123" s="135"/>
      <c r="S123" s="135"/>
      <c r="T123" s="135"/>
    </row>
    <row r="124" customFormat="false" ht="15.75" hidden="false" customHeight="true" outlineLevel="0" collapsed="false">
      <c r="A124" s="229"/>
      <c r="B124" s="189"/>
      <c r="C124" s="135"/>
      <c r="D124" s="135"/>
      <c r="E124" s="229"/>
      <c r="F124" s="229"/>
      <c r="G124" s="229"/>
      <c r="H124" s="229"/>
      <c r="I124" s="229"/>
      <c r="J124" s="229"/>
      <c r="K124" s="189"/>
      <c r="L124" s="135"/>
      <c r="M124" s="229"/>
      <c r="N124" s="189"/>
      <c r="O124" s="135"/>
      <c r="P124" s="135"/>
      <c r="Q124" s="135"/>
      <c r="R124" s="135"/>
      <c r="S124" s="135"/>
      <c r="T124" s="135"/>
    </row>
    <row r="125" customFormat="false" ht="15.75" hidden="false" customHeight="true" outlineLevel="0" collapsed="false">
      <c r="A125" s="229"/>
      <c r="B125" s="189"/>
      <c r="C125" s="135"/>
      <c r="D125" s="135"/>
      <c r="E125" s="229"/>
      <c r="F125" s="229"/>
      <c r="G125" s="229"/>
      <c r="H125" s="229"/>
      <c r="I125" s="229"/>
      <c r="J125" s="229"/>
      <c r="K125" s="189"/>
      <c r="L125" s="135"/>
      <c r="M125" s="229"/>
      <c r="N125" s="189"/>
      <c r="O125" s="135"/>
      <c r="P125" s="135"/>
      <c r="Q125" s="135"/>
      <c r="R125" s="135"/>
      <c r="S125" s="135"/>
      <c r="T125" s="135"/>
    </row>
    <row r="126" customFormat="false" ht="15.75" hidden="false" customHeight="true" outlineLevel="0" collapsed="false">
      <c r="A126" s="229"/>
      <c r="B126" s="189"/>
      <c r="C126" s="135"/>
      <c r="D126" s="135"/>
      <c r="E126" s="229"/>
      <c r="F126" s="229"/>
      <c r="G126" s="229"/>
      <c r="H126" s="229"/>
      <c r="I126" s="229"/>
      <c r="J126" s="229"/>
      <c r="K126" s="189"/>
      <c r="L126" s="135"/>
      <c r="M126" s="229"/>
      <c r="N126" s="189"/>
      <c r="O126" s="135"/>
      <c r="P126" s="135"/>
      <c r="Q126" s="135"/>
      <c r="R126" s="135"/>
      <c r="S126" s="135"/>
      <c r="T126" s="135"/>
    </row>
    <row r="127" customFormat="false" ht="15.75" hidden="false" customHeight="true" outlineLevel="0" collapsed="false">
      <c r="A127" s="229"/>
      <c r="B127" s="189"/>
      <c r="C127" s="135"/>
      <c r="D127" s="135"/>
      <c r="E127" s="229"/>
      <c r="F127" s="229"/>
      <c r="G127" s="229"/>
      <c r="H127" s="229"/>
      <c r="I127" s="229"/>
      <c r="J127" s="229"/>
      <c r="K127" s="189"/>
      <c r="L127" s="135"/>
      <c r="M127" s="229"/>
      <c r="N127" s="189"/>
      <c r="O127" s="135"/>
      <c r="P127" s="135"/>
      <c r="Q127" s="135"/>
      <c r="R127" s="135"/>
      <c r="S127" s="135"/>
      <c r="T127" s="135"/>
    </row>
    <row r="128" customFormat="false" ht="15.75" hidden="false" customHeight="true" outlineLevel="0" collapsed="false">
      <c r="A128" s="229"/>
      <c r="B128" s="189"/>
      <c r="C128" s="135"/>
      <c r="D128" s="135"/>
      <c r="E128" s="229"/>
      <c r="F128" s="229"/>
      <c r="G128" s="229"/>
      <c r="H128" s="229"/>
      <c r="I128" s="229"/>
      <c r="J128" s="229"/>
      <c r="K128" s="189"/>
      <c r="L128" s="135"/>
      <c r="M128" s="229"/>
      <c r="N128" s="189"/>
      <c r="O128" s="135"/>
      <c r="P128" s="135"/>
      <c r="Q128" s="135"/>
      <c r="R128" s="135"/>
      <c r="S128" s="135"/>
      <c r="T128" s="135"/>
    </row>
    <row r="129" customFormat="false" ht="15.75" hidden="false" customHeight="true" outlineLevel="0" collapsed="false">
      <c r="A129" s="229"/>
      <c r="B129" s="189"/>
      <c r="C129" s="135"/>
      <c r="D129" s="135"/>
      <c r="E129" s="229"/>
      <c r="F129" s="229"/>
      <c r="G129" s="229"/>
      <c r="H129" s="229"/>
      <c r="I129" s="229"/>
      <c r="J129" s="229"/>
      <c r="K129" s="189"/>
      <c r="L129" s="135"/>
      <c r="M129" s="229"/>
      <c r="N129" s="189"/>
      <c r="O129" s="135"/>
      <c r="P129" s="135"/>
      <c r="Q129" s="135"/>
      <c r="R129" s="135"/>
      <c r="S129" s="135"/>
      <c r="T129" s="135"/>
    </row>
    <row r="130" customFormat="false" ht="15.75" hidden="false" customHeight="true" outlineLevel="0" collapsed="false">
      <c r="A130" s="229"/>
      <c r="B130" s="189"/>
      <c r="C130" s="135"/>
      <c r="D130" s="135"/>
      <c r="E130" s="229"/>
      <c r="F130" s="229"/>
      <c r="G130" s="229"/>
      <c r="H130" s="229"/>
      <c r="I130" s="229"/>
      <c r="J130" s="229"/>
      <c r="K130" s="189"/>
      <c r="L130" s="135"/>
      <c r="M130" s="229"/>
      <c r="N130" s="189"/>
      <c r="O130" s="135"/>
      <c r="P130" s="135"/>
      <c r="Q130" s="135"/>
      <c r="R130" s="135"/>
      <c r="S130" s="135"/>
      <c r="T130" s="135"/>
    </row>
    <row r="131" customFormat="false" ht="15.75" hidden="false" customHeight="true" outlineLevel="0" collapsed="false">
      <c r="A131" s="229"/>
      <c r="B131" s="189"/>
      <c r="C131" s="135"/>
      <c r="D131" s="135"/>
      <c r="E131" s="229"/>
      <c r="F131" s="229"/>
      <c r="G131" s="229"/>
      <c r="H131" s="229"/>
      <c r="I131" s="229"/>
      <c r="J131" s="229"/>
      <c r="K131" s="189"/>
      <c r="L131" s="135"/>
      <c r="M131" s="229"/>
      <c r="N131" s="189"/>
      <c r="O131" s="135"/>
      <c r="P131" s="135"/>
      <c r="Q131" s="135"/>
      <c r="R131" s="135"/>
      <c r="S131" s="135"/>
      <c r="T131" s="135"/>
    </row>
    <row r="132" customFormat="false" ht="15.75" hidden="false" customHeight="true" outlineLevel="0" collapsed="false">
      <c r="A132" s="229"/>
      <c r="B132" s="189"/>
      <c r="C132" s="135"/>
      <c r="D132" s="135"/>
      <c r="E132" s="229"/>
      <c r="F132" s="229"/>
      <c r="G132" s="229"/>
      <c r="H132" s="229"/>
      <c r="I132" s="229"/>
      <c r="J132" s="229"/>
      <c r="K132" s="189"/>
      <c r="L132" s="135"/>
      <c r="M132" s="229"/>
      <c r="N132" s="189"/>
      <c r="O132" s="135"/>
      <c r="P132" s="135"/>
      <c r="Q132" s="135"/>
      <c r="R132" s="135"/>
      <c r="S132" s="135"/>
      <c r="T132" s="135"/>
    </row>
    <row r="133" customFormat="false" ht="15.75" hidden="false" customHeight="true" outlineLevel="0" collapsed="false">
      <c r="A133" s="229"/>
      <c r="B133" s="189"/>
      <c r="C133" s="135"/>
      <c r="D133" s="135"/>
      <c r="E133" s="229"/>
      <c r="F133" s="229"/>
      <c r="G133" s="229"/>
      <c r="H133" s="229"/>
      <c r="I133" s="229"/>
      <c r="J133" s="229"/>
      <c r="K133" s="189"/>
      <c r="L133" s="135"/>
      <c r="M133" s="229"/>
      <c r="N133" s="189"/>
      <c r="O133" s="135"/>
      <c r="P133" s="135"/>
      <c r="Q133" s="135"/>
      <c r="R133" s="135"/>
      <c r="S133" s="135"/>
      <c r="T133" s="135"/>
    </row>
    <row r="134" customFormat="false" ht="15.75" hidden="false" customHeight="true" outlineLevel="0" collapsed="false">
      <c r="A134" s="229"/>
      <c r="B134" s="189"/>
      <c r="C134" s="135"/>
      <c r="D134" s="135"/>
      <c r="E134" s="229"/>
      <c r="F134" s="229"/>
      <c r="G134" s="229"/>
      <c r="H134" s="229"/>
      <c r="I134" s="229"/>
      <c r="J134" s="229"/>
      <c r="K134" s="189"/>
      <c r="L134" s="135"/>
      <c r="M134" s="229"/>
      <c r="N134" s="189"/>
      <c r="O134" s="135"/>
      <c r="P134" s="135"/>
      <c r="Q134" s="135"/>
      <c r="R134" s="135"/>
      <c r="S134" s="135"/>
      <c r="T134" s="135"/>
    </row>
    <row r="135" customFormat="false" ht="15.75" hidden="false" customHeight="true" outlineLevel="0" collapsed="false">
      <c r="A135" s="229"/>
      <c r="B135" s="189"/>
      <c r="C135" s="135"/>
      <c r="D135" s="135"/>
      <c r="E135" s="229"/>
      <c r="F135" s="229"/>
      <c r="G135" s="229"/>
      <c r="H135" s="229"/>
      <c r="I135" s="229"/>
      <c r="J135" s="229"/>
      <c r="K135" s="189"/>
      <c r="L135" s="135"/>
      <c r="M135" s="229"/>
      <c r="N135" s="189"/>
      <c r="O135" s="135"/>
      <c r="P135" s="135"/>
      <c r="Q135" s="135"/>
      <c r="R135" s="135"/>
      <c r="S135" s="135"/>
      <c r="T135" s="135"/>
    </row>
    <row r="136" customFormat="false" ht="15.75" hidden="false" customHeight="true" outlineLevel="0" collapsed="false">
      <c r="A136" s="229"/>
      <c r="B136" s="189"/>
      <c r="C136" s="135"/>
      <c r="D136" s="135"/>
      <c r="E136" s="229"/>
      <c r="F136" s="229"/>
      <c r="G136" s="229"/>
      <c r="H136" s="229"/>
      <c r="I136" s="229"/>
      <c r="J136" s="229"/>
      <c r="K136" s="189"/>
      <c r="L136" s="135"/>
      <c r="M136" s="229"/>
      <c r="N136" s="189"/>
      <c r="O136" s="135"/>
      <c r="P136" s="135"/>
      <c r="Q136" s="135"/>
      <c r="R136" s="135"/>
      <c r="S136" s="135"/>
      <c r="T136" s="135"/>
    </row>
    <row r="137" customFormat="false" ht="15.75" hidden="false" customHeight="true" outlineLevel="0" collapsed="false">
      <c r="A137" s="229"/>
      <c r="B137" s="189"/>
      <c r="C137" s="135"/>
      <c r="D137" s="135"/>
      <c r="E137" s="229"/>
      <c r="F137" s="229"/>
      <c r="G137" s="229"/>
      <c r="H137" s="229"/>
      <c r="I137" s="229"/>
      <c r="J137" s="229"/>
      <c r="K137" s="189"/>
      <c r="L137" s="135"/>
      <c r="M137" s="229"/>
      <c r="N137" s="189"/>
      <c r="O137" s="135"/>
      <c r="P137" s="135"/>
      <c r="Q137" s="135"/>
      <c r="R137" s="135"/>
      <c r="S137" s="135"/>
      <c r="T137" s="135"/>
    </row>
    <row r="138" customFormat="false" ht="15.75" hidden="false" customHeight="true" outlineLevel="0" collapsed="false">
      <c r="A138" s="229"/>
      <c r="B138" s="189"/>
      <c r="C138" s="135"/>
      <c r="D138" s="135"/>
      <c r="E138" s="229"/>
      <c r="F138" s="229"/>
      <c r="G138" s="229"/>
      <c r="H138" s="229"/>
      <c r="I138" s="229"/>
      <c r="J138" s="229"/>
      <c r="K138" s="189"/>
      <c r="L138" s="135"/>
      <c r="M138" s="229"/>
      <c r="N138" s="189"/>
      <c r="O138" s="135"/>
      <c r="P138" s="135"/>
      <c r="Q138" s="135"/>
      <c r="R138" s="135"/>
      <c r="S138" s="135"/>
      <c r="T138" s="135"/>
    </row>
    <row r="139" customFormat="false" ht="15.75" hidden="false" customHeight="true" outlineLevel="0" collapsed="false">
      <c r="A139" s="229"/>
      <c r="B139" s="189"/>
      <c r="C139" s="135"/>
      <c r="D139" s="135"/>
      <c r="E139" s="229"/>
      <c r="F139" s="229"/>
      <c r="G139" s="229"/>
      <c r="H139" s="229"/>
      <c r="I139" s="229"/>
      <c r="J139" s="229"/>
      <c r="K139" s="189"/>
      <c r="L139" s="135"/>
      <c r="M139" s="229"/>
      <c r="N139" s="189"/>
      <c r="O139" s="135"/>
      <c r="P139" s="135"/>
      <c r="Q139" s="135"/>
      <c r="R139" s="135"/>
      <c r="S139" s="135"/>
      <c r="T139" s="135"/>
    </row>
    <row r="140" customFormat="false" ht="15.75" hidden="false" customHeight="true" outlineLevel="0" collapsed="false">
      <c r="A140" s="229"/>
      <c r="B140" s="189"/>
      <c r="C140" s="135"/>
      <c r="D140" s="135"/>
      <c r="E140" s="229"/>
      <c r="F140" s="229"/>
      <c r="G140" s="229"/>
      <c r="H140" s="229"/>
      <c r="I140" s="229"/>
      <c r="J140" s="229"/>
      <c r="K140" s="189"/>
      <c r="L140" s="135"/>
      <c r="M140" s="229"/>
      <c r="N140" s="189"/>
      <c r="O140" s="135"/>
      <c r="P140" s="135"/>
      <c r="Q140" s="135"/>
      <c r="R140" s="135"/>
      <c r="S140" s="135"/>
      <c r="T140" s="135"/>
    </row>
    <row r="141" customFormat="false" ht="15.75" hidden="false" customHeight="true" outlineLevel="0" collapsed="false">
      <c r="A141" s="229"/>
      <c r="B141" s="189"/>
      <c r="C141" s="135"/>
      <c r="D141" s="135"/>
      <c r="E141" s="229"/>
      <c r="F141" s="229"/>
      <c r="G141" s="229"/>
      <c r="H141" s="229"/>
      <c r="I141" s="229"/>
      <c r="J141" s="229"/>
      <c r="K141" s="189"/>
      <c r="L141" s="135"/>
      <c r="M141" s="229"/>
      <c r="N141" s="189"/>
      <c r="O141" s="135"/>
      <c r="P141" s="135"/>
      <c r="Q141" s="135"/>
      <c r="R141" s="135"/>
      <c r="S141" s="135"/>
      <c r="T141" s="135"/>
    </row>
    <row r="142" customFormat="false" ht="15.75" hidden="false" customHeight="true" outlineLevel="0" collapsed="false">
      <c r="A142" s="229"/>
      <c r="B142" s="189"/>
      <c r="C142" s="135"/>
      <c r="D142" s="135"/>
      <c r="E142" s="229"/>
      <c r="F142" s="229"/>
      <c r="G142" s="229"/>
      <c r="H142" s="229"/>
      <c r="I142" s="229"/>
      <c r="J142" s="229"/>
      <c r="K142" s="189"/>
      <c r="L142" s="135"/>
      <c r="M142" s="229"/>
      <c r="N142" s="189"/>
      <c r="O142" s="135"/>
      <c r="P142" s="135"/>
      <c r="Q142" s="135"/>
      <c r="R142" s="135"/>
      <c r="S142" s="135"/>
      <c r="T142" s="135"/>
    </row>
    <row r="143" customFormat="false" ht="15.75" hidden="false" customHeight="true" outlineLevel="0" collapsed="false">
      <c r="A143" s="229"/>
      <c r="B143" s="189"/>
      <c r="C143" s="135"/>
      <c r="D143" s="135"/>
      <c r="E143" s="229"/>
      <c r="F143" s="229"/>
      <c r="G143" s="229"/>
      <c r="H143" s="229"/>
      <c r="I143" s="229"/>
      <c r="J143" s="229"/>
      <c r="K143" s="189"/>
      <c r="L143" s="135"/>
      <c r="M143" s="229"/>
      <c r="N143" s="189"/>
      <c r="O143" s="135"/>
      <c r="P143" s="135"/>
      <c r="Q143" s="135"/>
      <c r="R143" s="135"/>
      <c r="S143" s="135"/>
      <c r="T143" s="135"/>
    </row>
    <row r="144" customFormat="false" ht="15.75" hidden="false" customHeight="true" outlineLevel="0" collapsed="false">
      <c r="A144" s="229"/>
      <c r="B144" s="189"/>
      <c r="C144" s="135"/>
      <c r="D144" s="135"/>
      <c r="E144" s="229"/>
      <c r="F144" s="229"/>
      <c r="G144" s="229"/>
      <c r="H144" s="229"/>
      <c r="I144" s="229"/>
      <c r="J144" s="229"/>
      <c r="K144" s="189"/>
      <c r="L144" s="135"/>
      <c r="M144" s="229"/>
      <c r="N144" s="189"/>
      <c r="O144" s="135"/>
      <c r="P144" s="135"/>
      <c r="Q144" s="135"/>
      <c r="R144" s="135"/>
      <c r="S144" s="135"/>
      <c r="T144" s="135"/>
    </row>
    <row r="145" customFormat="false" ht="15.75" hidden="false" customHeight="true" outlineLevel="0" collapsed="false">
      <c r="A145" s="229"/>
      <c r="B145" s="189"/>
      <c r="C145" s="135"/>
      <c r="D145" s="135"/>
      <c r="E145" s="229"/>
      <c r="F145" s="229"/>
      <c r="G145" s="229"/>
      <c r="H145" s="229"/>
      <c r="I145" s="229"/>
      <c r="J145" s="229"/>
      <c r="K145" s="189"/>
      <c r="L145" s="135"/>
      <c r="M145" s="229"/>
      <c r="N145" s="189"/>
      <c r="O145" s="135"/>
      <c r="P145" s="135"/>
      <c r="Q145" s="135"/>
      <c r="R145" s="135"/>
      <c r="S145" s="135"/>
      <c r="T145" s="135"/>
    </row>
    <row r="146" customFormat="false" ht="15.75" hidden="false" customHeight="true" outlineLevel="0" collapsed="false">
      <c r="A146" s="229"/>
      <c r="B146" s="189"/>
      <c r="C146" s="135"/>
      <c r="D146" s="135"/>
      <c r="E146" s="229"/>
      <c r="F146" s="229"/>
      <c r="G146" s="229"/>
      <c r="H146" s="229"/>
      <c r="I146" s="229"/>
      <c r="J146" s="229"/>
      <c r="K146" s="189"/>
      <c r="L146" s="135"/>
      <c r="M146" s="229"/>
      <c r="N146" s="189"/>
      <c r="O146" s="135"/>
      <c r="P146" s="135"/>
      <c r="Q146" s="135"/>
      <c r="R146" s="135"/>
      <c r="S146" s="135"/>
      <c r="T146" s="135"/>
    </row>
    <row r="147" customFormat="false" ht="15.75" hidden="false" customHeight="true" outlineLevel="0" collapsed="false">
      <c r="A147" s="229"/>
      <c r="B147" s="189"/>
      <c r="C147" s="135"/>
      <c r="D147" s="135"/>
      <c r="E147" s="229"/>
      <c r="F147" s="229"/>
      <c r="G147" s="229"/>
      <c r="H147" s="229"/>
      <c r="I147" s="229"/>
      <c r="J147" s="229"/>
      <c r="K147" s="189"/>
      <c r="L147" s="135"/>
      <c r="M147" s="229"/>
      <c r="N147" s="189"/>
      <c r="O147" s="135"/>
      <c r="P147" s="135"/>
      <c r="Q147" s="135"/>
      <c r="R147" s="135"/>
      <c r="S147" s="135"/>
      <c r="T147" s="135"/>
    </row>
    <row r="148" customFormat="false" ht="15.75" hidden="false" customHeight="true" outlineLevel="0" collapsed="false">
      <c r="A148" s="229"/>
      <c r="B148" s="189"/>
      <c r="C148" s="135"/>
      <c r="D148" s="135"/>
      <c r="E148" s="229"/>
      <c r="F148" s="229"/>
      <c r="G148" s="229"/>
      <c r="H148" s="229"/>
      <c r="I148" s="229"/>
      <c r="J148" s="229"/>
      <c r="K148" s="189"/>
      <c r="L148" s="135"/>
      <c r="M148" s="229"/>
      <c r="N148" s="189"/>
      <c r="O148" s="135"/>
      <c r="P148" s="135"/>
      <c r="Q148" s="135"/>
      <c r="R148" s="135"/>
      <c r="S148" s="135"/>
      <c r="T148" s="135"/>
    </row>
    <row r="149" customFormat="false" ht="15.75" hidden="false" customHeight="true" outlineLevel="0" collapsed="false">
      <c r="A149" s="229"/>
      <c r="B149" s="189"/>
      <c r="C149" s="135"/>
      <c r="D149" s="135"/>
      <c r="E149" s="229"/>
      <c r="F149" s="229"/>
      <c r="G149" s="229"/>
      <c r="H149" s="229"/>
      <c r="I149" s="229"/>
      <c r="J149" s="229"/>
      <c r="K149" s="189"/>
      <c r="L149" s="135"/>
      <c r="M149" s="229"/>
      <c r="N149" s="189"/>
      <c r="O149" s="135"/>
      <c r="P149" s="135"/>
      <c r="Q149" s="135"/>
      <c r="R149" s="135"/>
      <c r="S149" s="135"/>
      <c r="T149" s="135"/>
    </row>
    <row r="150" customFormat="false" ht="15.75" hidden="false" customHeight="true" outlineLevel="0" collapsed="false">
      <c r="A150" s="229"/>
      <c r="B150" s="189"/>
      <c r="C150" s="135"/>
      <c r="D150" s="135"/>
      <c r="E150" s="229"/>
      <c r="F150" s="229"/>
      <c r="G150" s="229"/>
      <c r="H150" s="229"/>
      <c r="I150" s="229"/>
      <c r="J150" s="229"/>
      <c r="K150" s="189"/>
      <c r="L150" s="135"/>
      <c r="M150" s="229"/>
      <c r="N150" s="189"/>
      <c r="O150" s="135"/>
      <c r="P150" s="135"/>
      <c r="Q150" s="135"/>
      <c r="R150" s="135"/>
      <c r="S150" s="135"/>
      <c r="T150" s="135"/>
    </row>
    <row r="151" customFormat="false" ht="15.75" hidden="false" customHeight="true" outlineLevel="0" collapsed="false">
      <c r="A151" s="229"/>
      <c r="B151" s="189"/>
      <c r="C151" s="135"/>
      <c r="D151" s="135"/>
      <c r="E151" s="229"/>
      <c r="F151" s="229"/>
      <c r="G151" s="229"/>
      <c r="H151" s="229"/>
      <c r="I151" s="229"/>
      <c r="J151" s="229"/>
      <c r="K151" s="189"/>
      <c r="L151" s="135"/>
      <c r="M151" s="229"/>
      <c r="N151" s="189"/>
      <c r="O151" s="135"/>
      <c r="P151" s="135"/>
      <c r="Q151" s="135"/>
      <c r="R151" s="135"/>
      <c r="S151" s="135"/>
      <c r="T151" s="135"/>
    </row>
    <row r="152" customFormat="false" ht="15.75" hidden="false" customHeight="true" outlineLevel="0" collapsed="false">
      <c r="A152" s="229"/>
      <c r="B152" s="189"/>
      <c r="C152" s="135"/>
      <c r="D152" s="135"/>
      <c r="E152" s="229"/>
      <c r="F152" s="229"/>
      <c r="G152" s="229"/>
      <c r="H152" s="229"/>
      <c r="I152" s="229"/>
      <c r="J152" s="229"/>
      <c r="K152" s="189"/>
      <c r="L152" s="135"/>
      <c r="M152" s="229"/>
      <c r="N152" s="189"/>
      <c r="O152" s="135"/>
      <c r="P152" s="135"/>
      <c r="Q152" s="135"/>
      <c r="R152" s="135"/>
      <c r="S152" s="135"/>
      <c r="T152" s="135"/>
    </row>
    <row r="153" customFormat="false" ht="15.75" hidden="false" customHeight="true" outlineLevel="0" collapsed="false">
      <c r="A153" s="229"/>
      <c r="B153" s="189"/>
      <c r="C153" s="135"/>
      <c r="D153" s="135"/>
      <c r="E153" s="229"/>
      <c r="F153" s="229"/>
      <c r="G153" s="229"/>
      <c r="H153" s="229"/>
      <c r="I153" s="229"/>
      <c r="J153" s="229"/>
      <c r="K153" s="189"/>
      <c r="L153" s="135"/>
      <c r="M153" s="229"/>
      <c r="N153" s="189"/>
      <c r="O153" s="135"/>
      <c r="P153" s="135"/>
      <c r="Q153" s="135"/>
      <c r="R153" s="135"/>
      <c r="S153" s="135"/>
      <c r="T153" s="135"/>
    </row>
    <row r="154" customFormat="false" ht="15.75" hidden="false" customHeight="true" outlineLevel="0" collapsed="false">
      <c r="A154" s="229"/>
      <c r="B154" s="189"/>
      <c r="C154" s="135"/>
      <c r="D154" s="135"/>
      <c r="E154" s="229"/>
      <c r="F154" s="229"/>
      <c r="G154" s="229"/>
      <c r="H154" s="229"/>
      <c r="I154" s="229"/>
      <c r="J154" s="229"/>
      <c r="K154" s="189"/>
      <c r="L154" s="135"/>
      <c r="M154" s="229"/>
      <c r="N154" s="189"/>
      <c r="O154" s="135"/>
      <c r="P154" s="135"/>
      <c r="Q154" s="135"/>
      <c r="R154" s="135"/>
      <c r="S154" s="135"/>
      <c r="T154" s="135"/>
    </row>
    <row r="155" customFormat="false" ht="15.75" hidden="false" customHeight="true" outlineLevel="0" collapsed="false">
      <c r="A155" s="229"/>
      <c r="B155" s="189"/>
      <c r="C155" s="135"/>
      <c r="D155" s="135"/>
      <c r="E155" s="229"/>
      <c r="F155" s="229"/>
      <c r="G155" s="229"/>
      <c r="H155" s="229"/>
      <c r="I155" s="229"/>
      <c r="J155" s="229"/>
      <c r="K155" s="189"/>
      <c r="L155" s="135"/>
      <c r="M155" s="229"/>
      <c r="N155" s="189"/>
      <c r="O155" s="135"/>
      <c r="P155" s="135"/>
      <c r="Q155" s="135"/>
      <c r="R155" s="135"/>
      <c r="S155" s="135"/>
      <c r="T155" s="135"/>
    </row>
    <row r="156" customFormat="false" ht="15.75" hidden="false" customHeight="true" outlineLevel="0" collapsed="false">
      <c r="A156" s="229"/>
      <c r="B156" s="189"/>
      <c r="C156" s="135"/>
      <c r="D156" s="135"/>
      <c r="E156" s="229"/>
      <c r="F156" s="229"/>
      <c r="G156" s="229"/>
      <c r="H156" s="229"/>
      <c r="I156" s="229"/>
      <c r="J156" s="229"/>
      <c r="K156" s="189"/>
      <c r="L156" s="135"/>
      <c r="M156" s="229"/>
      <c r="N156" s="189"/>
      <c r="O156" s="135"/>
      <c r="P156" s="135"/>
      <c r="Q156" s="135"/>
      <c r="R156" s="135"/>
      <c r="S156" s="135"/>
      <c r="T156" s="135"/>
    </row>
    <row r="157" customFormat="false" ht="15.75" hidden="false" customHeight="true" outlineLevel="0" collapsed="false">
      <c r="A157" s="229"/>
      <c r="B157" s="189"/>
      <c r="C157" s="135"/>
      <c r="D157" s="135"/>
      <c r="E157" s="229"/>
      <c r="F157" s="229"/>
      <c r="G157" s="229"/>
      <c r="H157" s="229"/>
      <c r="I157" s="229"/>
      <c r="J157" s="229"/>
      <c r="K157" s="189"/>
      <c r="L157" s="135"/>
      <c r="M157" s="229"/>
      <c r="N157" s="189"/>
      <c r="O157" s="135"/>
      <c r="P157" s="135"/>
      <c r="Q157" s="135"/>
      <c r="R157" s="135"/>
      <c r="S157" s="135"/>
      <c r="T157" s="135"/>
    </row>
    <row r="158" customFormat="false" ht="15.75" hidden="false" customHeight="true" outlineLevel="0" collapsed="false">
      <c r="A158" s="229"/>
      <c r="B158" s="189"/>
      <c r="C158" s="135"/>
      <c r="D158" s="135"/>
      <c r="E158" s="229"/>
      <c r="F158" s="229"/>
      <c r="G158" s="229"/>
      <c r="H158" s="229"/>
      <c r="I158" s="229"/>
      <c r="J158" s="229"/>
      <c r="K158" s="189"/>
      <c r="L158" s="135"/>
      <c r="M158" s="229"/>
      <c r="N158" s="189"/>
      <c r="O158" s="135"/>
      <c r="P158" s="135"/>
      <c r="Q158" s="135"/>
      <c r="R158" s="135"/>
      <c r="S158" s="135"/>
      <c r="T158" s="135"/>
    </row>
    <row r="159" customFormat="false" ht="15.75" hidden="false" customHeight="true" outlineLevel="0" collapsed="false">
      <c r="A159" s="229"/>
      <c r="B159" s="189"/>
      <c r="C159" s="135"/>
      <c r="D159" s="135"/>
      <c r="E159" s="229"/>
      <c r="F159" s="229"/>
      <c r="G159" s="229"/>
      <c r="H159" s="229"/>
      <c r="I159" s="229"/>
      <c r="J159" s="229"/>
      <c r="K159" s="189"/>
      <c r="L159" s="135"/>
      <c r="M159" s="229"/>
      <c r="N159" s="189"/>
      <c r="O159" s="135"/>
      <c r="P159" s="135"/>
      <c r="Q159" s="135"/>
      <c r="R159" s="135"/>
      <c r="S159" s="135"/>
      <c r="T159" s="135"/>
    </row>
    <row r="160" customFormat="false" ht="15.75" hidden="false" customHeight="true" outlineLevel="0" collapsed="false">
      <c r="A160" s="229"/>
      <c r="B160" s="189"/>
      <c r="C160" s="135"/>
      <c r="D160" s="135"/>
      <c r="E160" s="229"/>
      <c r="F160" s="229"/>
      <c r="G160" s="229"/>
      <c r="H160" s="229"/>
      <c r="I160" s="229"/>
      <c r="J160" s="229"/>
      <c r="K160" s="189"/>
      <c r="L160" s="135"/>
      <c r="M160" s="229"/>
      <c r="N160" s="189"/>
      <c r="O160" s="135"/>
      <c r="P160" s="135"/>
      <c r="Q160" s="135"/>
      <c r="R160" s="135"/>
      <c r="S160" s="135"/>
      <c r="T160" s="135"/>
    </row>
    <row r="161" customFormat="false" ht="15.75" hidden="false" customHeight="true" outlineLevel="0" collapsed="false">
      <c r="A161" s="229"/>
      <c r="B161" s="189"/>
      <c r="C161" s="135"/>
      <c r="D161" s="135"/>
      <c r="E161" s="229"/>
      <c r="F161" s="229"/>
      <c r="G161" s="229"/>
      <c r="H161" s="229"/>
      <c r="I161" s="229"/>
      <c r="J161" s="229"/>
      <c r="K161" s="189"/>
      <c r="L161" s="135"/>
      <c r="M161" s="229"/>
      <c r="N161" s="189"/>
      <c r="O161" s="135"/>
      <c r="P161" s="135"/>
      <c r="Q161" s="135"/>
      <c r="R161" s="135"/>
      <c r="S161" s="135"/>
      <c r="T161" s="135"/>
    </row>
    <row r="162" customFormat="false" ht="15.75" hidden="false" customHeight="true" outlineLevel="0" collapsed="false">
      <c r="A162" s="229"/>
      <c r="B162" s="189"/>
      <c r="C162" s="135"/>
      <c r="D162" s="135"/>
      <c r="E162" s="229"/>
      <c r="F162" s="229"/>
      <c r="G162" s="229"/>
      <c r="H162" s="229"/>
      <c r="I162" s="229"/>
      <c r="J162" s="229"/>
      <c r="K162" s="189"/>
      <c r="L162" s="135"/>
      <c r="M162" s="229"/>
      <c r="N162" s="189"/>
      <c r="O162" s="135"/>
      <c r="P162" s="135"/>
      <c r="Q162" s="135"/>
      <c r="R162" s="135"/>
      <c r="S162" s="135"/>
      <c r="T162" s="135"/>
    </row>
    <row r="163" customFormat="false" ht="15.75" hidden="false" customHeight="true" outlineLevel="0" collapsed="false">
      <c r="A163" s="229"/>
      <c r="B163" s="189"/>
      <c r="C163" s="135"/>
      <c r="D163" s="135"/>
      <c r="E163" s="229"/>
      <c r="F163" s="229"/>
      <c r="G163" s="229"/>
      <c r="H163" s="229"/>
      <c r="I163" s="229"/>
      <c r="J163" s="229"/>
      <c r="K163" s="189"/>
      <c r="L163" s="135"/>
      <c r="M163" s="229"/>
      <c r="N163" s="189"/>
      <c r="O163" s="135"/>
      <c r="P163" s="135"/>
      <c r="Q163" s="135"/>
      <c r="R163" s="135"/>
      <c r="S163" s="135"/>
      <c r="T163" s="135"/>
    </row>
    <row r="164" customFormat="false" ht="15.75" hidden="false" customHeight="true" outlineLevel="0" collapsed="false">
      <c r="A164" s="229"/>
      <c r="B164" s="189"/>
      <c r="C164" s="135"/>
      <c r="D164" s="135"/>
      <c r="E164" s="229"/>
      <c r="F164" s="229"/>
      <c r="G164" s="229"/>
      <c r="H164" s="229"/>
      <c r="I164" s="229"/>
      <c r="J164" s="229"/>
      <c r="K164" s="189"/>
      <c r="L164" s="135"/>
      <c r="M164" s="229"/>
      <c r="N164" s="189"/>
      <c r="O164" s="135"/>
      <c r="P164" s="135"/>
      <c r="Q164" s="135"/>
      <c r="R164" s="135"/>
      <c r="S164" s="135"/>
      <c r="T164" s="135"/>
    </row>
    <row r="165" customFormat="false" ht="15.75" hidden="false" customHeight="true" outlineLevel="0" collapsed="false">
      <c r="A165" s="229"/>
      <c r="B165" s="189"/>
      <c r="C165" s="135"/>
      <c r="D165" s="135"/>
      <c r="E165" s="229"/>
      <c r="F165" s="229"/>
      <c r="G165" s="229"/>
      <c r="H165" s="229"/>
      <c r="I165" s="229"/>
      <c r="J165" s="229"/>
      <c r="K165" s="189"/>
      <c r="L165" s="135"/>
      <c r="M165" s="229"/>
      <c r="N165" s="189"/>
      <c r="O165" s="135"/>
      <c r="P165" s="135"/>
      <c r="Q165" s="135"/>
      <c r="R165" s="135"/>
      <c r="S165" s="135"/>
      <c r="T165" s="135"/>
    </row>
    <row r="166" customFormat="false" ht="15.75" hidden="false" customHeight="true" outlineLevel="0" collapsed="false">
      <c r="A166" s="229"/>
      <c r="B166" s="189"/>
      <c r="C166" s="135"/>
      <c r="D166" s="135"/>
      <c r="E166" s="229"/>
      <c r="F166" s="229"/>
      <c r="G166" s="229"/>
      <c r="H166" s="229"/>
      <c r="I166" s="229"/>
      <c r="J166" s="229"/>
      <c r="K166" s="189"/>
      <c r="L166" s="135"/>
      <c r="M166" s="229"/>
      <c r="N166" s="189"/>
      <c r="O166" s="135"/>
      <c r="P166" s="135"/>
      <c r="Q166" s="135"/>
      <c r="R166" s="135"/>
      <c r="S166" s="135"/>
      <c r="T166" s="135"/>
    </row>
    <row r="167" customFormat="false" ht="15.75" hidden="false" customHeight="true" outlineLevel="0" collapsed="false">
      <c r="A167" s="229"/>
      <c r="B167" s="189"/>
      <c r="C167" s="135"/>
      <c r="D167" s="135"/>
      <c r="E167" s="229"/>
      <c r="F167" s="229"/>
      <c r="G167" s="229"/>
      <c r="H167" s="229"/>
      <c r="I167" s="229"/>
      <c r="J167" s="229"/>
      <c r="K167" s="189"/>
      <c r="L167" s="135"/>
      <c r="M167" s="229"/>
      <c r="N167" s="189"/>
      <c r="O167" s="135"/>
      <c r="P167" s="135"/>
      <c r="Q167" s="135"/>
      <c r="R167" s="135"/>
      <c r="S167" s="135"/>
      <c r="T167" s="135"/>
    </row>
    <row r="168" customFormat="false" ht="15.75" hidden="false" customHeight="true" outlineLevel="0" collapsed="false">
      <c r="A168" s="229"/>
      <c r="B168" s="189"/>
      <c r="C168" s="135"/>
      <c r="D168" s="135"/>
      <c r="E168" s="229"/>
      <c r="F168" s="229"/>
      <c r="G168" s="229"/>
      <c r="H168" s="229"/>
      <c r="I168" s="229"/>
      <c r="J168" s="229"/>
      <c r="K168" s="189"/>
      <c r="L168" s="135"/>
      <c r="M168" s="229"/>
      <c r="N168" s="189"/>
      <c r="O168" s="135"/>
      <c r="P168" s="135"/>
      <c r="Q168" s="135"/>
      <c r="R168" s="135"/>
      <c r="S168" s="135"/>
      <c r="T168" s="135"/>
    </row>
    <row r="169" customFormat="false" ht="15.75" hidden="false" customHeight="true" outlineLevel="0" collapsed="false">
      <c r="A169" s="229"/>
      <c r="B169" s="189"/>
      <c r="C169" s="135"/>
      <c r="D169" s="135"/>
      <c r="E169" s="229"/>
      <c r="F169" s="229"/>
      <c r="G169" s="229"/>
      <c r="H169" s="229"/>
      <c r="I169" s="229"/>
      <c r="J169" s="229"/>
      <c r="K169" s="189"/>
      <c r="L169" s="135"/>
      <c r="M169" s="229"/>
      <c r="N169" s="189"/>
      <c r="O169" s="135"/>
      <c r="P169" s="135"/>
      <c r="Q169" s="135"/>
      <c r="R169" s="135"/>
      <c r="S169" s="135"/>
      <c r="T169" s="135"/>
    </row>
    <row r="170" customFormat="false" ht="15.75" hidden="false" customHeight="true" outlineLevel="0" collapsed="false">
      <c r="A170" s="229"/>
      <c r="B170" s="189"/>
      <c r="C170" s="135"/>
      <c r="D170" s="135"/>
      <c r="E170" s="229"/>
      <c r="F170" s="229"/>
      <c r="G170" s="229"/>
      <c r="H170" s="229"/>
      <c r="I170" s="229"/>
      <c r="J170" s="229"/>
      <c r="K170" s="189"/>
      <c r="L170" s="135"/>
      <c r="M170" s="229"/>
      <c r="N170" s="189"/>
      <c r="O170" s="135"/>
      <c r="P170" s="135"/>
      <c r="Q170" s="135"/>
      <c r="R170" s="135"/>
      <c r="S170" s="135"/>
      <c r="T170" s="135"/>
    </row>
    <row r="171" customFormat="false" ht="15.75" hidden="false" customHeight="true" outlineLevel="0" collapsed="false">
      <c r="A171" s="229"/>
      <c r="B171" s="189"/>
      <c r="C171" s="135"/>
      <c r="D171" s="135"/>
      <c r="E171" s="229"/>
      <c r="F171" s="229"/>
      <c r="G171" s="229"/>
      <c r="H171" s="229"/>
      <c r="I171" s="229"/>
      <c r="J171" s="229"/>
      <c r="K171" s="189"/>
      <c r="L171" s="135"/>
      <c r="M171" s="229"/>
      <c r="N171" s="189"/>
      <c r="O171" s="135"/>
      <c r="P171" s="135"/>
      <c r="Q171" s="135"/>
      <c r="R171" s="135"/>
      <c r="S171" s="135"/>
      <c r="T171" s="135"/>
    </row>
    <row r="172" customFormat="false" ht="15.75" hidden="false" customHeight="true" outlineLevel="0" collapsed="false">
      <c r="A172" s="229"/>
      <c r="B172" s="189"/>
      <c r="C172" s="135"/>
      <c r="D172" s="135"/>
      <c r="E172" s="229"/>
      <c r="F172" s="229"/>
      <c r="G172" s="229"/>
      <c r="H172" s="229"/>
      <c r="I172" s="229"/>
      <c r="J172" s="229"/>
      <c r="K172" s="189"/>
      <c r="L172" s="135"/>
      <c r="M172" s="229"/>
      <c r="N172" s="189"/>
      <c r="O172" s="135"/>
      <c r="P172" s="135"/>
      <c r="Q172" s="135"/>
      <c r="R172" s="135"/>
      <c r="S172" s="135"/>
      <c r="T172" s="135"/>
    </row>
    <row r="173" customFormat="false" ht="15.75" hidden="false" customHeight="true" outlineLevel="0" collapsed="false">
      <c r="A173" s="229"/>
      <c r="B173" s="189"/>
      <c r="C173" s="135"/>
      <c r="D173" s="135"/>
      <c r="E173" s="229"/>
      <c r="F173" s="229"/>
      <c r="G173" s="229"/>
      <c r="H173" s="229"/>
      <c r="I173" s="229"/>
      <c r="J173" s="229"/>
      <c r="K173" s="189"/>
      <c r="L173" s="135"/>
      <c r="M173" s="229"/>
      <c r="N173" s="189"/>
      <c r="O173" s="135"/>
      <c r="P173" s="135"/>
      <c r="Q173" s="135"/>
      <c r="R173" s="135"/>
      <c r="S173" s="135"/>
      <c r="T173" s="135"/>
    </row>
    <row r="174" customFormat="false" ht="15.75" hidden="false" customHeight="true" outlineLevel="0" collapsed="false">
      <c r="A174" s="229"/>
      <c r="B174" s="189"/>
      <c r="C174" s="135"/>
      <c r="D174" s="135"/>
      <c r="E174" s="229"/>
      <c r="F174" s="229"/>
      <c r="G174" s="229"/>
      <c r="H174" s="229"/>
      <c r="I174" s="229"/>
      <c r="J174" s="229"/>
      <c r="K174" s="189"/>
      <c r="L174" s="135"/>
      <c r="M174" s="229"/>
      <c r="N174" s="189"/>
      <c r="O174" s="135"/>
      <c r="P174" s="135"/>
      <c r="Q174" s="135"/>
      <c r="R174" s="135"/>
      <c r="S174" s="135"/>
      <c r="T174" s="135"/>
    </row>
    <row r="175" customFormat="false" ht="15.75" hidden="false" customHeight="true" outlineLevel="0" collapsed="false">
      <c r="A175" s="229"/>
      <c r="B175" s="189"/>
      <c r="C175" s="135"/>
      <c r="D175" s="135"/>
      <c r="E175" s="229"/>
      <c r="F175" s="229"/>
      <c r="G175" s="229"/>
      <c r="H175" s="229"/>
      <c r="I175" s="229"/>
      <c r="J175" s="229"/>
      <c r="K175" s="189"/>
      <c r="L175" s="135"/>
      <c r="M175" s="229"/>
      <c r="N175" s="189"/>
      <c r="O175" s="135"/>
      <c r="P175" s="135"/>
      <c r="Q175" s="135"/>
      <c r="R175" s="135"/>
      <c r="S175" s="135"/>
      <c r="T175" s="135"/>
    </row>
    <row r="176" customFormat="false" ht="15.75" hidden="false" customHeight="true" outlineLevel="0" collapsed="false">
      <c r="A176" s="229"/>
      <c r="B176" s="189"/>
      <c r="C176" s="135"/>
      <c r="D176" s="135"/>
      <c r="E176" s="229"/>
      <c r="F176" s="229"/>
      <c r="G176" s="229"/>
      <c r="H176" s="229"/>
      <c r="I176" s="229"/>
      <c r="J176" s="229"/>
      <c r="K176" s="189"/>
      <c r="L176" s="135"/>
      <c r="M176" s="229"/>
      <c r="N176" s="189"/>
      <c r="O176" s="135"/>
      <c r="P176" s="135"/>
      <c r="Q176" s="135"/>
      <c r="R176" s="135"/>
      <c r="S176" s="135"/>
      <c r="T176" s="135"/>
    </row>
    <row r="177" customFormat="false" ht="15.75" hidden="false" customHeight="true" outlineLevel="0" collapsed="false">
      <c r="A177" s="229"/>
      <c r="B177" s="189"/>
      <c r="C177" s="135"/>
      <c r="D177" s="135"/>
      <c r="E177" s="229"/>
      <c r="F177" s="229"/>
      <c r="G177" s="229"/>
      <c r="H177" s="229"/>
      <c r="I177" s="229"/>
      <c r="J177" s="229"/>
      <c r="K177" s="189"/>
      <c r="L177" s="135"/>
      <c r="M177" s="229"/>
      <c r="N177" s="189"/>
      <c r="O177" s="135"/>
      <c r="P177" s="135"/>
      <c r="Q177" s="135"/>
      <c r="R177" s="135"/>
      <c r="S177" s="135"/>
      <c r="T177" s="135"/>
    </row>
    <row r="178" customFormat="false" ht="15.75" hidden="false" customHeight="true" outlineLevel="0" collapsed="false">
      <c r="A178" s="229"/>
      <c r="B178" s="189"/>
      <c r="C178" s="135"/>
      <c r="D178" s="135"/>
      <c r="E178" s="229"/>
      <c r="F178" s="229"/>
      <c r="G178" s="229"/>
      <c r="H178" s="229"/>
      <c r="I178" s="229"/>
      <c r="J178" s="229"/>
      <c r="K178" s="189"/>
      <c r="L178" s="135"/>
      <c r="M178" s="229"/>
      <c r="N178" s="189"/>
      <c r="O178" s="135"/>
      <c r="P178" s="135"/>
      <c r="Q178" s="135"/>
      <c r="R178" s="135"/>
      <c r="S178" s="135"/>
      <c r="T178" s="135"/>
    </row>
    <row r="179" customFormat="false" ht="15.75" hidden="false" customHeight="true" outlineLevel="0" collapsed="false">
      <c r="A179" s="229"/>
      <c r="B179" s="189"/>
      <c r="C179" s="135"/>
      <c r="D179" s="135"/>
      <c r="E179" s="229"/>
      <c r="F179" s="229"/>
      <c r="G179" s="229"/>
      <c r="H179" s="229"/>
      <c r="I179" s="229"/>
      <c r="J179" s="229"/>
      <c r="K179" s="189"/>
      <c r="L179" s="135"/>
      <c r="M179" s="229"/>
      <c r="N179" s="189"/>
      <c r="O179" s="135"/>
      <c r="P179" s="135"/>
      <c r="Q179" s="135"/>
      <c r="R179" s="135"/>
      <c r="S179" s="135"/>
      <c r="T179" s="135"/>
    </row>
    <row r="180" customFormat="false" ht="15.75" hidden="false" customHeight="true" outlineLevel="0" collapsed="false">
      <c r="A180" s="229"/>
      <c r="B180" s="189"/>
      <c r="C180" s="135"/>
      <c r="D180" s="135"/>
      <c r="E180" s="229"/>
      <c r="F180" s="229"/>
      <c r="G180" s="229"/>
      <c r="H180" s="229"/>
      <c r="I180" s="229"/>
      <c r="J180" s="229"/>
      <c r="K180" s="189"/>
      <c r="L180" s="135"/>
      <c r="M180" s="229"/>
      <c r="N180" s="189"/>
      <c r="O180" s="135"/>
      <c r="P180" s="135"/>
      <c r="Q180" s="135"/>
      <c r="R180" s="135"/>
      <c r="S180" s="135"/>
      <c r="T180" s="135"/>
    </row>
    <row r="181" customFormat="false" ht="15.75" hidden="false" customHeight="true" outlineLevel="0" collapsed="false">
      <c r="A181" s="229"/>
      <c r="B181" s="189"/>
      <c r="C181" s="135"/>
      <c r="D181" s="135"/>
      <c r="E181" s="229"/>
      <c r="F181" s="229"/>
      <c r="G181" s="229"/>
      <c r="H181" s="229"/>
      <c r="I181" s="229"/>
      <c r="J181" s="229"/>
      <c r="K181" s="189"/>
      <c r="L181" s="135"/>
      <c r="M181" s="229"/>
      <c r="N181" s="189"/>
      <c r="O181" s="135"/>
      <c r="P181" s="135"/>
      <c r="Q181" s="135"/>
      <c r="R181" s="135"/>
      <c r="S181" s="135"/>
      <c r="T181" s="135"/>
    </row>
    <row r="182" customFormat="false" ht="15.75" hidden="false" customHeight="true" outlineLevel="0" collapsed="false">
      <c r="A182" s="229"/>
      <c r="B182" s="189"/>
      <c r="C182" s="135"/>
      <c r="D182" s="135"/>
      <c r="E182" s="229"/>
      <c r="F182" s="229"/>
      <c r="G182" s="229"/>
      <c r="H182" s="229"/>
      <c r="I182" s="229"/>
      <c r="J182" s="229"/>
      <c r="K182" s="189"/>
      <c r="L182" s="135"/>
      <c r="M182" s="229"/>
      <c r="N182" s="189"/>
      <c r="O182" s="135"/>
      <c r="P182" s="135"/>
      <c r="Q182" s="135"/>
      <c r="R182" s="135"/>
      <c r="S182" s="135"/>
      <c r="T182" s="135"/>
    </row>
    <row r="183" customFormat="false" ht="15.75" hidden="false" customHeight="true" outlineLevel="0" collapsed="false">
      <c r="A183" s="229"/>
      <c r="B183" s="189"/>
      <c r="C183" s="135"/>
      <c r="D183" s="135"/>
      <c r="E183" s="229"/>
      <c r="F183" s="229"/>
      <c r="G183" s="229"/>
      <c r="H183" s="229"/>
      <c r="I183" s="229"/>
      <c r="J183" s="229"/>
      <c r="K183" s="189"/>
      <c r="L183" s="135"/>
      <c r="M183" s="229"/>
      <c r="N183" s="189"/>
      <c r="O183" s="135"/>
      <c r="P183" s="135"/>
      <c r="Q183" s="135"/>
      <c r="R183" s="135"/>
      <c r="S183" s="135"/>
      <c r="T183" s="135"/>
    </row>
    <row r="184" customFormat="false" ht="15.75" hidden="false" customHeight="true" outlineLevel="0" collapsed="false">
      <c r="A184" s="229"/>
      <c r="B184" s="189"/>
      <c r="C184" s="135"/>
      <c r="D184" s="135"/>
      <c r="E184" s="229"/>
      <c r="F184" s="229"/>
      <c r="G184" s="229"/>
      <c r="H184" s="229"/>
      <c r="I184" s="229"/>
      <c r="J184" s="229"/>
      <c r="K184" s="189"/>
      <c r="L184" s="135"/>
      <c r="M184" s="229"/>
      <c r="N184" s="189"/>
      <c r="O184" s="135"/>
      <c r="P184" s="135"/>
      <c r="Q184" s="135"/>
      <c r="R184" s="135"/>
      <c r="S184" s="135"/>
      <c r="T184" s="135"/>
    </row>
    <row r="185" customFormat="false" ht="15.75" hidden="false" customHeight="true" outlineLevel="0" collapsed="false">
      <c r="A185" s="229"/>
      <c r="B185" s="189"/>
      <c r="C185" s="135"/>
      <c r="D185" s="135"/>
      <c r="E185" s="229"/>
      <c r="F185" s="229"/>
      <c r="G185" s="229"/>
      <c r="H185" s="229"/>
      <c r="I185" s="229"/>
      <c r="J185" s="229"/>
      <c r="K185" s="189"/>
      <c r="L185" s="135"/>
      <c r="M185" s="229"/>
      <c r="N185" s="189"/>
      <c r="O185" s="135"/>
      <c r="P185" s="135"/>
      <c r="Q185" s="135"/>
      <c r="R185" s="135"/>
      <c r="S185" s="135"/>
      <c r="T185" s="135"/>
    </row>
    <row r="186" customFormat="false" ht="15.75" hidden="false" customHeight="true" outlineLevel="0" collapsed="false">
      <c r="A186" s="229"/>
      <c r="B186" s="189"/>
      <c r="C186" s="135"/>
      <c r="D186" s="135"/>
      <c r="E186" s="229"/>
      <c r="F186" s="229"/>
      <c r="G186" s="229"/>
      <c r="H186" s="229"/>
      <c r="I186" s="229"/>
      <c r="J186" s="229"/>
      <c r="K186" s="189"/>
      <c r="L186" s="135"/>
      <c r="M186" s="229"/>
      <c r="N186" s="189"/>
      <c r="O186" s="135"/>
      <c r="P186" s="135"/>
      <c r="Q186" s="135"/>
      <c r="R186" s="135"/>
      <c r="S186" s="135"/>
      <c r="T186" s="135"/>
    </row>
    <row r="187" customFormat="false" ht="15.75" hidden="false" customHeight="true" outlineLevel="0" collapsed="false">
      <c r="A187" s="229"/>
      <c r="B187" s="189"/>
      <c r="C187" s="135"/>
      <c r="D187" s="135"/>
      <c r="E187" s="229"/>
      <c r="F187" s="229"/>
      <c r="G187" s="229"/>
      <c r="H187" s="229"/>
      <c r="I187" s="229"/>
      <c r="J187" s="229"/>
      <c r="K187" s="189"/>
      <c r="L187" s="135"/>
      <c r="M187" s="229"/>
      <c r="N187" s="189"/>
      <c r="O187" s="135"/>
      <c r="P187" s="135"/>
      <c r="Q187" s="135"/>
      <c r="R187" s="135"/>
      <c r="S187" s="135"/>
      <c r="T187" s="135"/>
    </row>
    <row r="188" customFormat="false" ht="15.75" hidden="false" customHeight="true" outlineLevel="0" collapsed="false">
      <c r="A188" s="229"/>
      <c r="B188" s="189"/>
      <c r="C188" s="135"/>
      <c r="D188" s="135"/>
      <c r="E188" s="229"/>
      <c r="F188" s="229"/>
      <c r="G188" s="229"/>
      <c r="H188" s="229"/>
      <c r="I188" s="229"/>
      <c r="J188" s="229"/>
      <c r="K188" s="189"/>
      <c r="L188" s="135"/>
      <c r="M188" s="229"/>
      <c r="N188" s="189"/>
      <c r="O188" s="135"/>
      <c r="P188" s="135"/>
      <c r="Q188" s="135"/>
      <c r="R188" s="135"/>
      <c r="S188" s="135"/>
      <c r="T188" s="135"/>
    </row>
    <row r="189" customFormat="false" ht="15.75" hidden="false" customHeight="true" outlineLevel="0" collapsed="false">
      <c r="A189" s="229"/>
      <c r="B189" s="189"/>
      <c r="C189" s="135"/>
      <c r="D189" s="135"/>
      <c r="E189" s="229"/>
      <c r="F189" s="229"/>
      <c r="G189" s="229"/>
      <c r="H189" s="229"/>
      <c r="I189" s="229"/>
      <c r="J189" s="229"/>
      <c r="K189" s="189"/>
      <c r="L189" s="135"/>
      <c r="M189" s="229"/>
      <c r="N189" s="189"/>
      <c r="O189" s="135"/>
      <c r="P189" s="135"/>
      <c r="Q189" s="135"/>
      <c r="R189" s="135"/>
      <c r="S189" s="135"/>
      <c r="T189" s="135"/>
    </row>
    <row r="190" customFormat="false" ht="15.75" hidden="false" customHeight="true" outlineLevel="0" collapsed="false">
      <c r="A190" s="229"/>
      <c r="B190" s="189"/>
      <c r="C190" s="135"/>
      <c r="D190" s="135"/>
      <c r="E190" s="229"/>
      <c r="F190" s="229"/>
      <c r="G190" s="229"/>
      <c r="H190" s="229"/>
      <c r="I190" s="229"/>
      <c r="J190" s="229"/>
      <c r="K190" s="189"/>
      <c r="L190" s="135"/>
      <c r="M190" s="229"/>
      <c r="N190" s="189"/>
      <c r="O190" s="135"/>
      <c r="P190" s="135"/>
      <c r="Q190" s="135"/>
      <c r="R190" s="135"/>
      <c r="S190" s="135"/>
      <c r="T190" s="135"/>
    </row>
    <row r="191" customFormat="false" ht="15.75" hidden="false" customHeight="true" outlineLevel="0" collapsed="false">
      <c r="A191" s="229"/>
      <c r="B191" s="189"/>
      <c r="C191" s="135"/>
      <c r="D191" s="135"/>
      <c r="E191" s="229"/>
      <c r="F191" s="229"/>
      <c r="G191" s="229"/>
      <c r="H191" s="229"/>
      <c r="I191" s="229"/>
      <c r="J191" s="229"/>
      <c r="K191" s="189"/>
      <c r="L191" s="135"/>
      <c r="M191" s="229"/>
      <c r="N191" s="189"/>
      <c r="O191" s="135"/>
      <c r="P191" s="135"/>
      <c r="Q191" s="135"/>
      <c r="R191" s="135"/>
      <c r="S191" s="135"/>
      <c r="T191" s="135"/>
    </row>
    <row r="192" customFormat="false" ht="15.75" hidden="false" customHeight="true" outlineLevel="0" collapsed="false">
      <c r="A192" s="229"/>
      <c r="B192" s="189"/>
      <c r="C192" s="135"/>
      <c r="D192" s="135"/>
      <c r="E192" s="229"/>
      <c r="F192" s="229"/>
      <c r="G192" s="229"/>
      <c r="H192" s="229"/>
      <c r="I192" s="229"/>
      <c r="J192" s="229"/>
      <c r="K192" s="189"/>
      <c r="L192" s="135"/>
      <c r="M192" s="229"/>
      <c r="N192" s="189"/>
      <c r="O192" s="135"/>
      <c r="P192" s="135"/>
      <c r="Q192" s="135"/>
      <c r="R192" s="135"/>
      <c r="S192" s="135"/>
      <c r="T192" s="135"/>
    </row>
    <row r="193" customFormat="false" ht="15.75" hidden="false" customHeight="true" outlineLevel="0" collapsed="false">
      <c r="A193" s="229"/>
      <c r="B193" s="189"/>
      <c r="C193" s="135"/>
      <c r="D193" s="135"/>
      <c r="E193" s="229"/>
      <c r="F193" s="229"/>
      <c r="G193" s="229"/>
      <c r="H193" s="229"/>
      <c r="I193" s="229"/>
      <c r="J193" s="229"/>
      <c r="K193" s="189"/>
      <c r="L193" s="135"/>
      <c r="M193" s="229"/>
      <c r="N193" s="189"/>
      <c r="O193" s="135"/>
      <c r="P193" s="135"/>
      <c r="Q193" s="135"/>
      <c r="R193" s="135"/>
      <c r="S193" s="135"/>
      <c r="T193" s="135"/>
    </row>
    <row r="194" customFormat="false" ht="15.75" hidden="false" customHeight="true" outlineLevel="0" collapsed="false">
      <c r="A194" s="229"/>
      <c r="B194" s="189"/>
      <c r="C194" s="135"/>
      <c r="D194" s="135"/>
      <c r="E194" s="229"/>
      <c r="F194" s="229"/>
      <c r="G194" s="229"/>
      <c r="H194" s="229"/>
      <c r="I194" s="229"/>
      <c r="J194" s="229"/>
      <c r="K194" s="189"/>
      <c r="L194" s="135"/>
      <c r="M194" s="229"/>
      <c r="N194" s="189"/>
      <c r="O194" s="135"/>
      <c r="P194" s="135"/>
      <c r="Q194" s="135"/>
      <c r="R194" s="135"/>
      <c r="S194" s="135"/>
      <c r="T194" s="135"/>
    </row>
    <row r="195" customFormat="false" ht="15.75" hidden="false" customHeight="true" outlineLevel="0" collapsed="false">
      <c r="A195" s="229"/>
      <c r="B195" s="189"/>
      <c r="C195" s="135"/>
      <c r="D195" s="135"/>
      <c r="E195" s="229"/>
      <c r="F195" s="229"/>
      <c r="G195" s="229"/>
      <c r="H195" s="229"/>
      <c r="I195" s="229"/>
      <c r="J195" s="229"/>
      <c r="K195" s="189"/>
      <c r="L195" s="135"/>
      <c r="M195" s="229"/>
      <c r="N195" s="189"/>
      <c r="O195" s="135"/>
      <c r="P195" s="135"/>
      <c r="Q195" s="135"/>
      <c r="R195" s="135"/>
      <c r="S195" s="135"/>
      <c r="T195" s="135"/>
    </row>
    <row r="196" customFormat="false" ht="15.75" hidden="false" customHeight="true" outlineLevel="0" collapsed="false">
      <c r="A196" s="229"/>
      <c r="B196" s="189"/>
      <c r="C196" s="135"/>
      <c r="D196" s="135"/>
      <c r="E196" s="229"/>
      <c r="F196" s="229"/>
      <c r="G196" s="229"/>
      <c r="H196" s="229"/>
      <c r="I196" s="229"/>
      <c r="J196" s="229"/>
      <c r="K196" s="189"/>
      <c r="L196" s="135"/>
      <c r="M196" s="229"/>
      <c r="N196" s="189"/>
      <c r="O196" s="135"/>
      <c r="P196" s="135"/>
      <c r="Q196" s="135"/>
      <c r="R196" s="135"/>
      <c r="S196" s="135"/>
      <c r="T196" s="135"/>
    </row>
    <row r="197" customFormat="false" ht="15.75" hidden="false" customHeight="true" outlineLevel="0" collapsed="false">
      <c r="A197" s="229"/>
      <c r="B197" s="189"/>
      <c r="C197" s="135"/>
      <c r="D197" s="135"/>
      <c r="E197" s="229"/>
      <c r="F197" s="229"/>
      <c r="G197" s="229"/>
      <c r="H197" s="229"/>
      <c r="I197" s="229"/>
      <c r="J197" s="229"/>
      <c r="K197" s="189"/>
      <c r="L197" s="135"/>
      <c r="M197" s="229"/>
      <c r="N197" s="189"/>
      <c r="O197" s="135"/>
      <c r="P197" s="135"/>
      <c r="Q197" s="135"/>
      <c r="R197" s="135"/>
      <c r="S197" s="135"/>
      <c r="T197" s="135"/>
    </row>
    <row r="198" customFormat="false" ht="15.75" hidden="false" customHeight="true" outlineLevel="0" collapsed="false">
      <c r="A198" s="229"/>
      <c r="B198" s="189"/>
      <c r="C198" s="135"/>
      <c r="D198" s="135"/>
      <c r="E198" s="229"/>
      <c r="F198" s="229"/>
      <c r="G198" s="229"/>
      <c r="H198" s="229"/>
      <c r="I198" s="229"/>
      <c r="J198" s="229"/>
      <c r="K198" s="189"/>
      <c r="L198" s="135"/>
      <c r="M198" s="229"/>
      <c r="N198" s="189"/>
      <c r="O198" s="135"/>
      <c r="P198" s="135"/>
      <c r="Q198" s="135"/>
      <c r="R198" s="135"/>
      <c r="S198" s="135"/>
      <c r="T198" s="135"/>
    </row>
    <row r="199" customFormat="false" ht="15.75" hidden="false" customHeight="true" outlineLevel="0" collapsed="false">
      <c r="A199" s="229"/>
      <c r="B199" s="189"/>
      <c r="C199" s="135"/>
      <c r="D199" s="135"/>
      <c r="E199" s="229"/>
      <c r="F199" s="229"/>
      <c r="G199" s="229"/>
      <c r="H199" s="229"/>
      <c r="I199" s="229"/>
      <c r="J199" s="229"/>
      <c r="K199" s="189"/>
      <c r="L199" s="135"/>
      <c r="M199" s="229"/>
      <c r="N199" s="189"/>
      <c r="O199" s="135"/>
      <c r="P199" s="135"/>
      <c r="Q199" s="135"/>
      <c r="R199" s="135"/>
      <c r="S199" s="135"/>
      <c r="T199" s="135"/>
    </row>
    <row r="200" customFormat="false" ht="15.75" hidden="false" customHeight="true" outlineLevel="0" collapsed="false">
      <c r="A200" s="229"/>
      <c r="B200" s="189"/>
      <c r="C200" s="135"/>
      <c r="D200" s="135"/>
      <c r="E200" s="229"/>
      <c r="F200" s="229"/>
      <c r="G200" s="229"/>
      <c r="H200" s="229"/>
      <c r="I200" s="229"/>
      <c r="J200" s="229"/>
      <c r="K200" s="189"/>
      <c r="L200" s="135"/>
      <c r="M200" s="229"/>
      <c r="N200" s="189"/>
      <c r="O200" s="135"/>
      <c r="P200" s="135"/>
      <c r="Q200" s="135"/>
      <c r="R200" s="135"/>
      <c r="S200" s="135"/>
      <c r="T200" s="135"/>
    </row>
    <row r="201" customFormat="false" ht="15.75" hidden="false" customHeight="true" outlineLevel="0" collapsed="false">
      <c r="A201" s="229"/>
      <c r="B201" s="189"/>
      <c r="C201" s="135"/>
      <c r="D201" s="135"/>
      <c r="E201" s="229"/>
      <c r="F201" s="229"/>
      <c r="G201" s="229"/>
      <c r="H201" s="229"/>
      <c r="I201" s="229"/>
      <c r="J201" s="229"/>
      <c r="K201" s="189"/>
      <c r="L201" s="135"/>
      <c r="M201" s="229"/>
      <c r="N201" s="189"/>
      <c r="O201" s="135"/>
      <c r="P201" s="135"/>
      <c r="Q201" s="135"/>
      <c r="R201" s="135"/>
      <c r="S201" s="135"/>
      <c r="T201" s="135"/>
    </row>
    <row r="202" customFormat="false" ht="15.75" hidden="false" customHeight="true" outlineLevel="0" collapsed="false">
      <c r="A202" s="229"/>
      <c r="B202" s="189"/>
      <c r="C202" s="135"/>
      <c r="D202" s="135"/>
      <c r="E202" s="229"/>
      <c r="F202" s="229"/>
      <c r="G202" s="229"/>
      <c r="H202" s="229"/>
      <c r="I202" s="229"/>
      <c r="J202" s="229"/>
      <c r="K202" s="189"/>
      <c r="L202" s="135"/>
      <c r="M202" s="229"/>
      <c r="N202" s="189"/>
      <c r="O202" s="135"/>
      <c r="P202" s="135"/>
      <c r="Q202" s="135"/>
      <c r="R202" s="135"/>
      <c r="S202" s="135"/>
      <c r="T202" s="135"/>
    </row>
    <row r="203" customFormat="false" ht="15.75" hidden="false" customHeight="true" outlineLevel="0" collapsed="false">
      <c r="A203" s="229"/>
      <c r="B203" s="189"/>
      <c r="C203" s="135"/>
      <c r="D203" s="135"/>
      <c r="E203" s="229"/>
      <c r="F203" s="229"/>
      <c r="G203" s="229"/>
      <c r="H203" s="229"/>
      <c r="I203" s="229"/>
      <c r="J203" s="229"/>
      <c r="K203" s="189"/>
      <c r="L203" s="135"/>
      <c r="M203" s="229"/>
      <c r="N203" s="189"/>
      <c r="O203" s="135"/>
      <c r="P203" s="135"/>
      <c r="Q203" s="135"/>
      <c r="R203" s="135"/>
      <c r="S203" s="135"/>
      <c r="T203" s="135"/>
    </row>
    <row r="204" customFormat="false" ht="15.75" hidden="false" customHeight="true" outlineLevel="0" collapsed="false">
      <c r="A204" s="229"/>
      <c r="B204" s="189"/>
      <c r="C204" s="135"/>
      <c r="D204" s="135"/>
      <c r="E204" s="229"/>
      <c r="F204" s="229"/>
      <c r="G204" s="229"/>
      <c r="H204" s="229"/>
      <c r="I204" s="229"/>
      <c r="J204" s="229"/>
      <c r="K204" s="189"/>
      <c r="L204" s="135"/>
      <c r="M204" s="229"/>
      <c r="N204" s="189"/>
      <c r="O204" s="135"/>
      <c r="P204" s="135"/>
      <c r="Q204" s="135"/>
      <c r="R204" s="135"/>
      <c r="S204" s="135"/>
      <c r="T204" s="135"/>
    </row>
    <row r="205" customFormat="false" ht="15.75" hidden="false" customHeight="true" outlineLevel="0" collapsed="false">
      <c r="A205" s="229"/>
      <c r="B205" s="189"/>
      <c r="C205" s="135"/>
      <c r="D205" s="135"/>
      <c r="E205" s="229"/>
      <c r="F205" s="229"/>
      <c r="G205" s="229"/>
      <c r="H205" s="229"/>
      <c r="I205" s="229"/>
      <c r="J205" s="229"/>
      <c r="K205" s="189"/>
      <c r="L205" s="135"/>
      <c r="M205" s="229"/>
      <c r="N205" s="189"/>
      <c r="O205" s="135"/>
      <c r="P205" s="135"/>
      <c r="Q205" s="135"/>
      <c r="R205" s="135"/>
      <c r="S205" s="135"/>
      <c r="T205" s="135"/>
    </row>
    <row r="206" customFormat="false" ht="15.75" hidden="false" customHeight="true" outlineLevel="0" collapsed="false">
      <c r="A206" s="229"/>
      <c r="B206" s="189"/>
      <c r="C206" s="135"/>
      <c r="D206" s="135"/>
      <c r="E206" s="229"/>
      <c r="F206" s="229"/>
      <c r="G206" s="229"/>
      <c r="H206" s="229"/>
      <c r="I206" s="229"/>
      <c r="J206" s="229"/>
      <c r="K206" s="189"/>
      <c r="L206" s="135"/>
      <c r="M206" s="229"/>
      <c r="N206" s="189"/>
      <c r="O206" s="135"/>
      <c r="P206" s="135"/>
      <c r="Q206" s="135"/>
      <c r="R206" s="135"/>
      <c r="S206" s="135"/>
      <c r="T206" s="135"/>
    </row>
    <row r="207" customFormat="false" ht="15.75" hidden="false" customHeight="true" outlineLevel="0" collapsed="false">
      <c r="A207" s="229"/>
      <c r="B207" s="189"/>
      <c r="C207" s="135"/>
      <c r="D207" s="135"/>
      <c r="E207" s="229"/>
      <c r="F207" s="229"/>
      <c r="G207" s="229"/>
      <c r="H207" s="229"/>
      <c r="I207" s="229"/>
      <c r="J207" s="229"/>
      <c r="K207" s="189"/>
      <c r="L207" s="135"/>
      <c r="M207" s="229"/>
      <c r="N207" s="189"/>
      <c r="O207" s="135"/>
      <c r="P207" s="135"/>
      <c r="Q207" s="135"/>
      <c r="R207" s="135"/>
      <c r="S207" s="135"/>
      <c r="T207" s="135"/>
    </row>
    <row r="208" customFormat="false" ht="15.75" hidden="false" customHeight="true" outlineLevel="0" collapsed="false">
      <c r="A208" s="229"/>
      <c r="B208" s="189"/>
      <c r="C208" s="135"/>
      <c r="D208" s="135"/>
      <c r="E208" s="229"/>
      <c r="F208" s="229"/>
      <c r="G208" s="229"/>
      <c r="H208" s="229"/>
      <c r="I208" s="229"/>
      <c r="J208" s="229"/>
      <c r="K208" s="189"/>
      <c r="L208" s="135"/>
      <c r="M208" s="229"/>
      <c r="N208" s="189"/>
      <c r="O208" s="135"/>
      <c r="P208" s="135"/>
      <c r="Q208" s="135"/>
      <c r="R208" s="135"/>
      <c r="S208" s="135"/>
      <c r="T208" s="135"/>
    </row>
    <row r="209" customFormat="false" ht="15.75" hidden="false" customHeight="true" outlineLevel="0" collapsed="false">
      <c r="A209" s="229"/>
      <c r="B209" s="189"/>
      <c r="C209" s="135"/>
      <c r="D209" s="135"/>
      <c r="E209" s="229"/>
      <c r="F209" s="229"/>
      <c r="G209" s="229"/>
      <c r="H209" s="229"/>
      <c r="I209" s="229"/>
      <c r="J209" s="229"/>
      <c r="K209" s="189"/>
      <c r="L209" s="135"/>
      <c r="M209" s="229"/>
      <c r="N209" s="189"/>
      <c r="O209" s="135"/>
      <c r="P209" s="135"/>
      <c r="Q209" s="135"/>
      <c r="R209" s="135"/>
      <c r="S209" s="135"/>
      <c r="T209" s="135"/>
    </row>
    <row r="210" customFormat="false" ht="15.75" hidden="false" customHeight="true" outlineLevel="0" collapsed="false">
      <c r="A210" s="229"/>
      <c r="B210" s="189"/>
      <c r="C210" s="135"/>
      <c r="D210" s="135"/>
      <c r="E210" s="229"/>
      <c r="F210" s="229"/>
      <c r="G210" s="229"/>
      <c r="H210" s="229"/>
      <c r="I210" s="229"/>
      <c r="J210" s="229"/>
      <c r="K210" s="189"/>
      <c r="L210" s="135"/>
      <c r="M210" s="229"/>
      <c r="N210" s="189"/>
      <c r="O210" s="135"/>
      <c r="P210" s="135"/>
      <c r="Q210" s="135"/>
      <c r="R210" s="135"/>
      <c r="S210" s="135"/>
      <c r="T210" s="135"/>
    </row>
    <row r="211" customFormat="false" ht="15.75" hidden="false" customHeight="true" outlineLevel="0" collapsed="false">
      <c r="A211" s="229"/>
      <c r="B211" s="189"/>
      <c r="C211" s="135"/>
      <c r="D211" s="135"/>
      <c r="E211" s="229"/>
      <c r="F211" s="229"/>
      <c r="G211" s="229"/>
      <c r="H211" s="229"/>
      <c r="I211" s="229"/>
      <c r="J211" s="229"/>
      <c r="K211" s="189"/>
      <c r="L211" s="135"/>
      <c r="M211" s="229"/>
      <c r="N211" s="189"/>
      <c r="O211" s="135"/>
      <c r="P211" s="135"/>
      <c r="Q211" s="135"/>
      <c r="R211" s="135"/>
      <c r="S211" s="135"/>
      <c r="T211" s="135"/>
    </row>
    <row r="212" customFormat="false" ht="15.75" hidden="false" customHeight="true" outlineLevel="0" collapsed="false">
      <c r="A212" s="229"/>
      <c r="B212" s="189"/>
      <c r="C212" s="135"/>
      <c r="D212" s="135"/>
      <c r="E212" s="229"/>
      <c r="F212" s="229"/>
      <c r="G212" s="229"/>
      <c r="H212" s="229"/>
      <c r="I212" s="229"/>
      <c r="J212" s="229"/>
      <c r="K212" s="189"/>
      <c r="L212" s="135"/>
      <c r="M212" s="229"/>
      <c r="N212" s="189"/>
      <c r="O212" s="135"/>
      <c r="P212" s="135"/>
      <c r="Q212" s="135"/>
      <c r="R212" s="135"/>
      <c r="S212" s="135"/>
      <c r="T212" s="135"/>
    </row>
    <row r="213" customFormat="false" ht="15.75" hidden="false" customHeight="true" outlineLevel="0" collapsed="false">
      <c r="A213" s="229"/>
      <c r="B213" s="189"/>
      <c r="C213" s="135"/>
      <c r="D213" s="135"/>
      <c r="E213" s="229"/>
      <c r="F213" s="229"/>
      <c r="G213" s="229"/>
      <c r="H213" s="229"/>
      <c r="I213" s="229"/>
      <c r="J213" s="229"/>
      <c r="K213" s="189"/>
      <c r="L213" s="135"/>
      <c r="M213" s="229"/>
      <c r="N213" s="189"/>
      <c r="O213" s="135"/>
      <c r="P213" s="135"/>
      <c r="Q213" s="135"/>
      <c r="R213" s="135"/>
      <c r="S213" s="135"/>
      <c r="T213" s="135"/>
    </row>
    <row r="214" customFormat="false" ht="15.75" hidden="false" customHeight="true" outlineLevel="0" collapsed="false">
      <c r="A214" s="229"/>
      <c r="B214" s="189"/>
      <c r="C214" s="135"/>
      <c r="D214" s="135"/>
      <c r="E214" s="229"/>
      <c r="F214" s="229"/>
      <c r="G214" s="229"/>
      <c r="H214" s="229"/>
      <c r="I214" s="229"/>
      <c r="J214" s="229"/>
      <c r="K214" s="189"/>
      <c r="L214" s="135"/>
      <c r="M214" s="229"/>
      <c r="N214" s="189"/>
      <c r="O214" s="135"/>
      <c r="P214" s="135"/>
      <c r="Q214" s="135"/>
      <c r="R214" s="135"/>
      <c r="S214" s="135"/>
      <c r="T214" s="135"/>
    </row>
    <row r="215" customFormat="false" ht="15.75" hidden="false" customHeight="true" outlineLevel="0" collapsed="false">
      <c r="A215" s="229"/>
      <c r="B215" s="189"/>
      <c r="C215" s="135"/>
      <c r="D215" s="135"/>
      <c r="E215" s="229"/>
      <c r="F215" s="229"/>
      <c r="G215" s="229"/>
      <c r="H215" s="229"/>
      <c r="I215" s="229"/>
      <c r="J215" s="229"/>
      <c r="K215" s="189"/>
      <c r="L215" s="135"/>
      <c r="M215" s="229"/>
      <c r="N215" s="189"/>
      <c r="O215" s="135"/>
      <c r="P215" s="135"/>
      <c r="Q215" s="135"/>
      <c r="R215" s="135"/>
      <c r="S215" s="135"/>
      <c r="T215" s="135"/>
    </row>
    <row r="216" customFormat="false" ht="15.75" hidden="false" customHeight="true" outlineLevel="0" collapsed="false">
      <c r="A216" s="229"/>
      <c r="B216" s="189"/>
      <c r="C216" s="135"/>
      <c r="D216" s="135"/>
      <c r="E216" s="229"/>
      <c r="F216" s="229"/>
      <c r="G216" s="229"/>
      <c r="H216" s="229"/>
      <c r="I216" s="229"/>
      <c r="J216" s="229"/>
      <c r="K216" s="189"/>
      <c r="L216" s="135"/>
      <c r="M216" s="229"/>
      <c r="N216" s="189"/>
      <c r="O216" s="135"/>
      <c r="P216" s="135"/>
      <c r="Q216" s="135"/>
      <c r="R216" s="135"/>
      <c r="S216" s="135"/>
      <c r="T216" s="135"/>
    </row>
    <row r="217" customFormat="false" ht="15.75" hidden="false" customHeight="true" outlineLevel="0" collapsed="false">
      <c r="A217" s="229"/>
      <c r="B217" s="189"/>
      <c r="C217" s="135"/>
      <c r="D217" s="135"/>
      <c r="E217" s="229"/>
      <c r="F217" s="229"/>
      <c r="G217" s="229"/>
      <c r="H217" s="229"/>
      <c r="I217" s="229"/>
      <c r="J217" s="229"/>
      <c r="K217" s="189"/>
      <c r="L217" s="135"/>
      <c r="M217" s="229"/>
      <c r="N217" s="189"/>
      <c r="O217" s="135"/>
      <c r="P217" s="135"/>
      <c r="Q217" s="135"/>
      <c r="R217" s="135"/>
      <c r="S217" s="135"/>
      <c r="T217" s="135"/>
    </row>
    <row r="218" customFormat="false" ht="15.75" hidden="false" customHeight="true" outlineLevel="0" collapsed="false">
      <c r="A218" s="229"/>
      <c r="B218" s="189"/>
      <c r="C218" s="135"/>
      <c r="D218" s="135"/>
      <c r="E218" s="229"/>
      <c r="F218" s="229"/>
      <c r="G218" s="229"/>
      <c r="H218" s="229"/>
      <c r="I218" s="229"/>
      <c r="J218" s="229"/>
      <c r="K218" s="189"/>
      <c r="L218" s="135"/>
      <c r="M218" s="229"/>
      <c r="N218" s="189"/>
      <c r="O218" s="135"/>
      <c r="P218" s="135"/>
      <c r="Q218" s="135"/>
      <c r="R218" s="135"/>
      <c r="S218" s="135"/>
      <c r="T218" s="135"/>
    </row>
    <row r="219" customFormat="false" ht="15.75" hidden="false" customHeight="true" outlineLevel="0" collapsed="false">
      <c r="A219" s="229"/>
      <c r="B219" s="189"/>
      <c r="C219" s="135"/>
      <c r="D219" s="135"/>
      <c r="E219" s="229"/>
      <c r="F219" s="229"/>
      <c r="G219" s="229"/>
      <c r="H219" s="229"/>
      <c r="I219" s="229"/>
      <c r="J219" s="229"/>
      <c r="K219" s="189"/>
      <c r="L219" s="135"/>
      <c r="M219" s="229"/>
      <c r="N219" s="189"/>
      <c r="O219" s="135"/>
      <c r="P219" s="135"/>
      <c r="Q219" s="135"/>
      <c r="R219" s="135"/>
      <c r="S219" s="135"/>
      <c r="T219" s="135"/>
    </row>
    <row r="220" customFormat="false" ht="15.75" hidden="false" customHeight="true" outlineLevel="0" collapsed="false">
      <c r="A220" s="229"/>
      <c r="B220" s="189"/>
      <c r="C220" s="135"/>
      <c r="D220" s="135"/>
      <c r="E220" s="229"/>
      <c r="F220" s="229"/>
      <c r="G220" s="229"/>
      <c r="H220" s="229"/>
      <c r="I220" s="229"/>
      <c r="J220" s="229"/>
      <c r="K220" s="189"/>
      <c r="L220" s="135"/>
      <c r="M220" s="229"/>
      <c r="N220" s="189"/>
      <c r="O220" s="135"/>
      <c r="P220" s="135"/>
      <c r="Q220" s="135"/>
      <c r="R220" s="135"/>
      <c r="S220" s="135"/>
      <c r="T220" s="135"/>
    </row>
    <row r="221" customFormat="false" ht="15.75" hidden="false" customHeight="true" outlineLevel="0" collapsed="false">
      <c r="A221" s="229"/>
      <c r="B221" s="189"/>
      <c r="C221" s="135"/>
      <c r="D221" s="135"/>
      <c r="E221" s="229"/>
      <c r="F221" s="229"/>
      <c r="G221" s="229"/>
      <c r="H221" s="229"/>
      <c r="I221" s="229"/>
      <c r="J221" s="229"/>
      <c r="K221" s="189"/>
      <c r="L221" s="135"/>
      <c r="M221" s="229"/>
      <c r="N221" s="189"/>
      <c r="O221" s="135"/>
      <c r="P221" s="135"/>
      <c r="Q221" s="135"/>
      <c r="R221" s="135"/>
      <c r="S221" s="135"/>
      <c r="T221" s="135"/>
    </row>
    <row r="222" customFormat="false" ht="15.75" hidden="false" customHeight="true" outlineLevel="0" collapsed="false">
      <c r="A222" s="229"/>
      <c r="B222" s="189"/>
      <c r="C222" s="135"/>
      <c r="D222" s="135"/>
      <c r="E222" s="229"/>
      <c r="F222" s="229"/>
      <c r="G222" s="229"/>
      <c r="H222" s="229"/>
      <c r="I222" s="229"/>
      <c r="J222" s="229"/>
      <c r="K222" s="189"/>
      <c r="L222" s="135"/>
      <c r="M222" s="229"/>
      <c r="N222" s="189"/>
      <c r="O222" s="135"/>
      <c r="P222" s="135"/>
      <c r="Q222" s="135"/>
      <c r="R222" s="135"/>
      <c r="S222" s="135"/>
      <c r="T222" s="135"/>
    </row>
    <row r="223" customFormat="false" ht="15.75" hidden="false" customHeight="true" outlineLevel="0" collapsed="false">
      <c r="A223" s="229"/>
      <c r="B223" s="189"/>
      <c r="C223" s="135"/>
      <c r="D223" s="135"/>
      <c r="E223" s="229"/>
      <c r="F223" s="229"/>
      <c r="G223" s="229"/>
      <c r="H223" s="229"/>
      <c r="I223" s="229"/>
      <c r="J223" s="229"/>
      <c r="K223" s="189"/>
      <c r="L223" s="135"/>
      <c r="M223" s="229"/>
      <c r="N223" s="189"/>
      <c r="O223" s="135"/>
      <c r="P223" s="135"/>
      <c r="Q223" s="135"/>
      <c r="R223" s="135"/>
      <c r="S223" s="135"/>
      <c r="T223" s="135"/>
    </row>
    <row r="224" customFormat="false" ht="15.75" hidden="false" customHeight="true" outlineLevel="0" collapsed="false">
      <c r="A224" s="229"/>
      <c r="B224" s="189"/>
      <c r="C224" s="135"/>
      <c r="D224" s="135"/>
      <c r="E224" s="229"/>
      <c r="F224" s="229"/>
      <c r="G224" s="229"/>
      <c r="H224" s="229"/>
      <c r="I224" s="229"/>
      <c r="J224" s="229"/>
      <c r="K224" s="189"/>
      <c r="L224" s="135"/>
      <c r="M224" s="229"/>
      <c r="N224" s="189"/>
      <c r="O224" s="135"/>
      <c r="P224" s="135"/>
      <c r="Q224" s="135"/>
      <c r="R224" s="135"/>
      <c r="S224" s="135"/>
      <c r="T224" s="135"/>
    </row>
    <row r="225" customFormat="false" ht="15.75" hidden="false" customHeight="true" outlineLevel="0" collapsed="false">
      <c r="A225" s="229"/>
      <c r="B225" s="189"/>
      <c r="C225" s="135"/>
      <c r="D225" s="135"/>
      <c r="E225" s="229"/>
      <c r="F225" s="229"/>
      <c r="G225" s="229"/>
      <c r="H225" s="229"/>
      <c r="I225" s="229"/>
      <c r="J225" s="229"/>
      <c r="K225" s="189"/>
      <c r="L225" s="135"/>
      <c r="M225" s="229"/>
      <c r="N225" s="189"/>
      <c r="O225" s="135"/>
      <c r="P225" s="135"/>
      <c r="Q225" s="135"/>
      <c r="R225" s="135"/>
      <c r="S225" s="135"/>
      <c r="T225" s="135"/>
    </row>
    <row r="226" customFormat="false" ht="15.75" hidden="false" customHeight="true" outlineLevel="0" collapsed="false">
      <c r="A226" s="229"/>
      <c r="B226" s="189"/>
      <c r="C226" s="135"/>
      <c r="D226" s="135"/>
      <c r="E226" s="229"/>
      <c r="F226" s="229"/>
      <c r="G226" s="229"/>
      <c r="H226" s="229"/>
      <c r="I226" s="229"/>
      <c r="J226" s="229"/>
      <c r="K226" s="189"/>
      <c r="L226" s="135"/>
      <c r="M226" s="229"/>
      <c r="N226" s="189"/>
      <c r="O226" s="135"/>
      <c r="P226" s="135"/>
      <c r="Q226" s="135"/>
      <c r="R226" s="135"/>
      <c r="S226" s="135"/>
      <c r="T226" s="135"/>
    </row>
    <row r="227" customFormat="false" ht="15.75" hidden="false" customHeight="true" outlineLevel="0" collapsed="false">
      <c r="A227" s="229"/>
      <c r="B227" s="189"/>
      <c r="C227" s="135"/>
      <c r="D227" s="135"/>
      <c r="E227" s="229"/>
      <c r="F227" s="229"/>
      <c r="G227" s="229"/>
      <c r="H227" s="229"/>
      <c r="I227" s="229"/>
      <c r="J227" s="229"/>
      <c r="K227" s="189"/>
      <c r="L227" s="135"/>
      <c r="M227" s="229"/>
      <c r="N227" s="189"/>
      <c r="O227" s="135"/>
      <c r="P227" s="135"/>
      <c r="Q227" s="135"/>
      <c r="R227" s="135"/>
      <c r="S227" s="135"/>
      <c r="T227" s="135"/>
    </row>
    <row r="228" customFormat="false" ht="15.75" hidden="false" customHeight="true" outlineLevel="0" collapsed="false">
      <c r="A228" s="229"/>
      <c r="B228" s="189"/>
      <c r="C228" s="135"/>
      <c r="D228" s="135"/>
      <c r="E228" s="229"/>
      <c r="F228" s="229"/>
      <c r="G228" s="229"/>
      <c r="H228" s="229"/>
      <c r="I228" s="229"/>
      <c r="J228" s="229"/>
      <c r="K228" s="189"/>
      <c r="L228" s="135"/>
      <c r="M228" s="229"/>
      <c r="N228" s="189"/>
      <c r="O228" s="135"/>
      <c r="P228" s="135"/>
      <c r="Q228" s="135"/>
      <c r="R228" s="135"/>
      <c r="S228" s="135"/>
      <c r="T228" s="135"/>
    </row>
    <row r="229" customFormat="false" ht="15.75" hidden="false" customHeight="true" outlineLevel="0" collapsed="false">
      <c r="A229" s="229"/>
      <c r="B229" s="189"/>
      <c r="C229" s="135"/>
      <c r="D229" s="135"/>
      <c r="E229" s="229"/>
      <c r="F229" s="229"/>
      <c r="G229" s="229"/>
      <c r="H229" s="229"/>
      <c r="I229" s="229"/>
      <c r="J229" s="229"/>
      <c r="K229" s="189"/>
      <c r="L229" s="135"/>
      <c r="M229" s="229"/>
      <c r="N229" s="189"/>
      <c r="O229" s="135"/>
      <c r="P229" s="135"/>
      <c r="Q229" s="135"/>
      <c r="R229" s="135"/>
      <c r="S229" s="135"/>
      <c r="T229" s="135"/>
    </row>
    <row r="230" customFormat="false" ht="15.75" hidden="false" customHeight="true" outlineLevel="0" collapsed="false">
      <c r="A230" s="229"/>
      <c r="B230" s="189"/>
      <c r="C230" s="135"/>
      <c r="D230" s="135"/>
      <c r="E230" s="229"/>
      <c r="F230" s="229"/>
      <c r="G230" s="229"/>
      <c r="H230" s="229"/>
      <c r="I230" s="229"/>
      <c r="J230" s="229"/>
      <c r="K230" s="189"/>
      <c r="L230" s="135"/>
      <c r="M230" s="229"/>
      <c r="N230" s="189"/>
      <c r="O230" s="135"/>
      <c r="P230" s="135"/>
      <c r="Q230" s="135"/>
      <c r="R230" s="135"/>
      <c r="S230" s="135"/>
      <c r="T230" s="135"/>
    </row>
    <row r="231" customFormat="false" ht="15.75" hidden="false" customHeight="true" outlineLevel="0" collapsed="false">
      <c r="A231" s="229"/>
      <c r="B231" s="189"/>
      <c r="C231" s="135"/>
      <c r="D231" s="135"/>
      <c r="E231" s="229"/>
      <c r="F231" s="229"/>
      <c r="G231" s="229"/>
      <c r="H231" s="229"/>
      <c r="I231" s="229"/>
      <c r="J231" s="229"/>
      <c r="K231" s="189"/>
      <c r="L231" s="135"/>
      <c r="M231" s="229"/>
      <c r="N231" s="189"/>
      <c r="O231" s="135"/>
      <c r="P231" s="135"/>
      <c r="Q231" s="135"/>
      <c r="R231" s="135"/>
      <c r="S231" s="135"/>
      <c r="T231" s="135"/>
    </row>
    <row r="232" customFormat="false" ht="15.75" hidden="false" customHeight="true" outlineLevel="0" collapsed="false">
      <c r="A232" s="229"/>
      <c r="B232" s="189"/>
      <c r="C232" s="135"/>
      <c r="D232" s="135"/>
      <c r="E232" s="229"/>
      <c r="F232" s="229"/>
      <c r="G232" s="229"/>
      <c r="H232" s="229"/>
      <c r="I232" s="229"/>
      <c r="J232" s="229"/>
      <c r="K232" s="189"/>
      <c r="L232" s="135"/>
      <c r="M232" s="229"/>
      <c r="N232" s="189"/>
      <c r="O232" s="135"/>
      <c r="P232" s="135"/>
      <c r="Q232" s="135"/>
      <c r="R232" s="135"/>
      <c r="S232" s="135"/>
      <c r="T232" s="135"/>
    </row>
    <row r="233" customFormat="false" ht="15.75" hidden="false" customHeight="true" outlineLevel="0" collapsed="false">
      <c r="A233" s="229"/>
      <c r="B233" s="189"/>
      <c r="C233" s="135"/>
      <c r="D233" s="135"/>
      <c r="E233" s="229"/>
      <c r="F233" s="229"/>
      <c r="G233" s="229"/>
      <c r="H233" s="229"/>
      <c r="I233" s="229"/>
      <c r="J233" s="229"/>
      <c r="K233" s="189"/>
      <c r="L233" s="135"/>
      <c r="M233" s="229"/>
      <c r="N233" s="189"/>
      <c r="O233" s="135"/>
      <c r="P233" s="135"/>
      <c r="Q233" s="135"/>
      <c r="R233" s="135"/>
      <c r="S233" s="135"/>
      <c r="T233" s="135"/>
    </row>
    <row r="234" customFormat="false" ht="15.75" hidden="false" customHeight="true" outlineLevel="0" collapsed="false">
      <c r="A234" s="229"/>
      <c r="B234" s="189"/>
      <c r="C234" s="135"/>
      <c r="D234" s="135"/>
      <c r="E234" s="229"/>
      <c r="F234" s="229"/>
      <c r="G234" s="229"/>
      <c r="H234" s="229"/>
      <c r="I234" s="229"/>
      <c r="J234" s="229"/>
      <c r="K234" s="189"/>
      <c r="L234" s="135"/>
      <c r="M234" s="229"/>
      <c r="N234" s="189"/>
      <c r="O234" s="135"/>
      <c r="P234" s="135"/>
      <c r="Q234" s="135"/>
      <c r="R234" s="135"/>
      <c r="S234" s="135"/>
      <c r="T234" s="135"/>
    </row>
    <row r="235" customFormat="false" ht="15.75" hidden="false" customHeight="true" outlineLevel="0" collapsed="false">
      <c r="A235" s="229"/>
      <c r="B235" s="189"/>
      <c r="C235" s="135"/>
      <c r="D235" s="135"/>
      <c r="E235" s="229"/>
      <c r="F235" s="229"/>
      <c r="G235" s="229"/>
      <c r="H235" s="229"/>
      <c r="I235" s="229"/>
      <c r="J235" s="229"/>
      <c r="K235" s="189"/>
      <c r="L235" s="135"/>
      <c r="M235" s="229"/>
      <c r="N235" s="189"/>
      <c r="O235" s="135"/>
      <c r="P235" s="135"/>
      <c r="Q235" s="135"/>
      <c r="R235" s="135"/>
      <c r="S235" s="135"/>
      <c r="T235" s="135"/>
    </row>
    <row r="236" customFormat="false" ht="15.75" hidden="false" customHeight="true" outlineLevel="0" collapsed="false">
      <c r="A236" s="229"/>
      <c r="B236" s="189"/>
      <c r="C236" s="135"/>
      <c r="D236" s="135"/>
      <c r="E236" s="229"/>
      <c r="F236" s="229"/>
      <c r="G236" s="229"/>
      <c r="H236" s="229"/>
      <c r="I236" s="229"/>
      <c r="J236" s="229"/>
      <c r="K236" s="189"/>
      <c r="L236" s="135"/>
      <c r="M236" s="229"/>
      <c r="N236" s="189"/>
      <c r="O236" s="135"/>
      <c r="P236" s="135"/>
      <c r="Q236" s="135"/>
      <c r="R236" s="135"/>
      <c r="S236" s="135"/>
      <c r="T236" s="135"/>
    </row>
    <row r="237" customFormat="false" ht="15.75" hidden="false" customHeight="true" outlineLevel="0" collapsed="false">
      <c r="A237" s="229"/>
      <c r="B237" s="189"/>
      <c r="C237" s="135"/>
      <c r="D237" s="135"/>
      <c r="E237" s="229"/>
      <c r="F237" s="229"/>
      <c r="G237" s="229"/>
      <c r="H237" s="229"/>
      <c r="I237" s="229"/>
      <c r="J237" s="229"/>
      <c r="K237" s="189"/>
      <c r="L237" s="135"/>
      <c r="M237" s="229"/>
      <c r="N237" s="189"/>
      <c r="O237" s="135"/>
      <c r="P237" s="135"/>
      <c r="Q237" s="135"/>
      <c r="R237" s="135"/>
      <c r="S237" s="135"/>
      <c r="T237" s="135"/>
    </row>
    <row r="238" customFormat="false" ht="15.75" hidden="false" customHeight="true" outlineLevel="0" collapsed="false">
      <c r="A238" s="229"/>
      <c r="B238" s="189"/>
      <c r="C238" s="135"/>
      <c r="D238" s="135"/>
      <c r="E238" s="229"/>
      <c r="F238" s="229"/>
      <c r="G238" s="229"/>
      <c r="H238" s="229"/>
      <c r="I238" s="229"/>
      <c r="J238" s="229"/>
      <c r="K238" s="189"/>
      <c r="L238" s="135"/>
      <c r="M238" s="229"/>
      <c r="N238" s="189"/>
      <c r="O238" s="135"/>
      <c r="P238" s="135"/>
      <c r="Q238" s="135"/>
      <c r="R238" s="135"/>
      <c r="S238" s="135"/>
      <c r="T238" s="135"/>
    </row>
    <row r="239" customFormat="false" ht="15.75" hidden="false" customHeight="true" outlineLevel="0" collapsed="false">
      <c r="A239" s="229"/>
      <c r="B239" s="189"/>
      <c r="C239" s="135"/>
      <c r="D239" s="135"/>
      <c r="E239" s="229"/>
      <c r="F239" s="229"/>
      <c r="G239" s="229"/>
      <c r="H239" s="229"/>
      <c r="I239" s="229"/>
      <c r="J239" s="229"/>
      <c r="K239" s="189"/>
      <c r="L239" s="135"/>
      <c r="M239" s="229"/>
      <c r="N239" s="189"/>
      <c r="O239" s="135"/>
      <c r="P239" s="135"/>
      <c r="Q239" s="135"/>
      <c r="R239" s="135"/>
      <c r="S239" s="135"/>
      <c r="T239" s="135"/>
    </row>
    <row r="240" customFormat="false" ht="15.75" hidden="false" customHeight="true" outlineLevel="0" collapsed="false">
      <c r="A240" s="229"/>
      <c r="B240" s="189"/>
      <c r="C240" s="135"/>
      <c r="D240" s="135"/>
      <c r="E240" s="229"/>
      <c r="F240" s="229"/>
      <c r="G240" s="229"/>
      <c r="H240" s="229"/>
      <c r="I240" s="229"/>
      <c r="J240" s="229"/>
      <c r="K240" s="189"/>
      <c r="L240" s="135"/>
      <c r="M240" s="229"/>
      <c r="N240" s="189"/>
      <c r="O240" s="135"/>
      <c r="P240" s="135"/>
      <c r="Q240" s="135"/>
      <c r="R240" s="135"/>
      <c r="S240" s="135"/>
      <c r="T240" s="135"/>
    </row>
    <row r="241" customFormat="false" ht="15.75" hidden="false" customHeight="true" outlineLevel="0" collapsed="false">
      <c r="A241" s="229"/>
      <c r="B241" s="189"/>
      <c r="C241" s="135"/>
      <c r="D241" s="135"/>
      <c r="E241" s="229"/>
      <c r="F241" s="229"/>
      <c r="G241" s="229"/>
      <c r="H241" s="229"/>
      <c r="I241" s="229"/>
      <c r="J241" s="229"/>
      <c r="K241" s="189"/>
      <c r="L241" s="135"/>
      <c r="M241" s="229"/>
      <c r="N241" s="189"/>
      <c r="O241" s="135"/>
      <c r="P241" s="135"/>
      <c r="Q241" s="135"/>
      <c r="R241" s="135"/>
      <c r="S241" s="135"/>
      <c r="T241" s="135"/>
    </row>
    <row r="242" customFormat="false" ht="15.75" hidden="false" customHeight="true" outlineLevel="0" collapsed="false">
      <c r="A242" s="229"/>
      <c r="B242" s="189"/>
      <c r="C242" s="135"/>
      <c r="D242" s="135"/>
      <c r="E242" s="229"/>
      <c r="F242" s="229"/>
      <c r="G242" s="229"/>
      <c r="H242" s="229"/>
      <c r="I242" s="229"/>
      <c r="J242" s="229"/>
      <c r="K242" s="189"/>
      <c r="L242" s="135"/>
      <c r="M242" s="229"/>
      <c r="N242" s="189"/>
      <c r="O242" s="135"/>
      <c r="P242" s="135"/>
      <c r="Q242" s="135"/>
      <c r="R242" s="135"/>
      <c r="S242" s="135"/>
      <c r="T242" s="135"/>
    </row>
    <row r="243" customFormat="false" ht="15.75" hidden="false" customHeight="true" outlineLevel="0" collapsed="false">
      <c r="A243" s="229"/>
      <c r="B243" s="189"/>
      <c r="C243" s="135"/>
      <c r="D243" s="135"/>
      <c r="E243" s="229"/>
      <c r="F243" s="229"/>
      <c r="G243" s="229"/>
      <c r="H243" s="229"/>
      <c r="I243" s="229"/>
      <c r="J243" s="229"/>
      <c r="K243" s="189"/>
      <c r="L243" s="135"/>
      <c r="M243" s="229"/>
      <c r="N243" s="189"/>
      <c r="O243" s="135"/>
      <c r="P243" s="135"/>
      <c r="Q243" s="135"/>
      <c r="R243" s="135"/>
      <c r="S243" s="135"/>
      <c r="T243" s="135"/>
    </row>
    <row r="244" customFormat="false" ht="15.75" hidden="false" customHeight="true" outlineLevel="0" collapsed="false">
      <c r="A244" s="229"/>
      <c r="B244" s="189"/>
      <c r="C244" s="135"/>
      <c r="D244" s="135"/>
      <c r="E244" s="229"/>
      <c r="F244" s="229"/>
      <c r="G244" s="229"/>
      <c r="H244" s="229"/>
      <c r="I244" s="229"/>
      <c r="J244" s="229"/>
      <c r="K244" s="189"/>
      <c r="L244" s="135"/>
      <c r="M244" s="229"/>
      <c r="N244" s="189"/>
      <c r="O244" s="135"/>
      <c r="P244" s="135"/>
      <c r="Q244" s="135"/>
      <c r="R244" s="135"/>
      <c r="S244" s="135"/>
      <c r="T244" s="135"/>
    </row>
    <row r="245" customFormat="false" ht="15.75" hidden="false" customHeight="true" outlineLevel="0" collapsed="false">
      <c r="A245" s="229"/>
      <c r="B245" s="189"/>
      <c r="C245" s="135"/>
      <c r="D245" s="135"/>
      <c r="E245" s="229"/>
      <c r="F245" s="229"/>
      <c r="G245" s="229"/>
      <c r="H245" s="229"/>
      <c r="I245" s="229"/>
      <c r="J245" s="229"/>
      <c r="K245" s="189"/>
      <c r="L245" s="135"/>
      <c r="M245" s="229"/>
      <c r="N245" s="189"/>
      <c r="O245" s="135"/>
      <c r="P245" s="135"/>
      <c r="Q245" s="135"/>
      <c r="R245" s="135"/>
      <c r="S245" s="135"/>
      <c r="T245" s="135"/>
    </row>
    <row r="246" customFormat="false" ht="15.75" hidden="false" customHeight="true" outlineLevel="0" collapsed="false">
      <c r="A246" s="229"/>
      <c r="B246" s="189"/>
      <c r="C246" s="135"/>
      <c r="D246" s="135"/>
      <c r="E246" s="229"/>
      <c r="F246" s="229"/>
      <c r="G246" s="229"/>
      <c r="H246" s="229"/>
      <c r="I246" s="229"/>
      <c r="J246" s="229"/>
      <c r="K246" s="189"/>
      <c r="L246" s="135"/>
      <c r="M246" s="229"/>
      <c r="N246" s="189"/>
      <c r="O246" s="135"/>
      <c r="P246" s="135"/>
      <c r="Q246" s="135"/>
      <c r="R246" s="135"/>
      <c r="S246" s="135"/>
      <c r="T246" s="135"/>
    </row>
    <row r="247" customFormat="false" ht="15.75" hidden="false" customHeight="true" outlineLevel="0" collapsed="false">
      <c r="A247" s="229"/>
      <c r="B247" s="189"/>
      <c r="C247" s="135"/>
      <c r="D247" s="135"/>
      <c r="E247" s="229"/>
      <c r="F247" s="229"/>
      <c r="G247" s="229"/>
      <c r="H247" s="229"/>
      <c r="I247" s="229"/>
      <c r="J247" s="229"/>
      <c r="K247" s="189"/>
      <c r="L247" s="135"/>
      <c r="M247" s="229"/>
      <c r="N247" s="189"/>
      <c r="O247" s="135"/>
      <c r="P247" s="135"/>
      <c r="Q247" s="135"/>
      <c r="R247" s="135"/>
      <c r="S247" s="135"/>
      <c r="T247" s="135"/>
    </row>
    <row r="248" customFormat="false" ht="15.75" hidden="false" customHeight="true" outlineLevel="0" collapsed="false">
      <c r="A248" s="229"/>
      <c r="B248" s="189"/>
      <c r="C248" s="135"/>
      <c r="D248" s="135"/>
      <c r="E248" s="229"/>
      <c r="F248" s="229"/>
      <c r="G248" s="229"/>
      <c r="H248" s="229"/>
      <c r="I248" s="229"/>
      <c r="J248" s="229"/>
      <c r="K248" s="189"/>
      <c r="L248" s="135"/>
      <c r="M248" s="229"/>
      <c r="N248" s="189"/>
      <c r="O248" s="135"/>
      <c r="P248" s="135"/>
      <c r="Q248" s="135"/>
      <c r="R248" s="135"/>
      <c r="S248" s="135"/>
      <c r="T248" s="135"/>
    </row>
    <row r="249" customFormat="false" ht="15.75" hidden="false" customHeight="true" outlineLevel="0" collapsed="false">
      <c r="A249" s="229"/>
      <c r="B249" s="189"/>
      <c r="C249" s="135"/>
      <c r="D249" s="135"/>
      <c r="E249" s="229"/>
      <c r="F249" s="229"/>
      <c r="G249" s="229"/>
      <c r="H249" s="229"/>
      <c r="I249" s="229"/>
      <c r="J249" s="229"/>
      <c r="K249" s="189"/>
      <c r="L249" s="135"/>
      <c r="M249" s="229"/>
      <c r="N249" s="189"/>
      <c r="O249" s="135"/>
      <c r="P249" s="135"/>
      <c r="Q249" s="135"/>
      <c r="R249" s="135"/>
      <c r="S249" s="135"/>
      <c r="T249" s="135"/>
    </row>
    <row r="250" customFormat="false" ht="15.75" hidden="false" customHeight="true" outlineLevel="0" collapsed="false">
      <c r="A250" s="229"/>
      <c r="B250" s="189"/>
      <c r="C250" s="135"/>
      <c r="D250" s="135"/>
      <c r="E250" s="229"/>
      <c r="F250" s="229"/>
      <c r="G250" s="229"/>
      <c r="H250" s="229"/>
      <c r="I250" s="229"/>
      <c r="J250" s="229"/>
      <c r="K250" s="189"/>
      <c r="L250" s="135"/>
      <c r="M250" s="229"/>
      <c r="N250" s="189"/>
      <c r="O250" s="135"/>
      <c r="P250" s="135"/>
      <c r="Q250" s="135"/>
      <c r="R250" s="135"/>
      <c r="S250" s="135"/>
      <c r="T250" s="135"/>
    </row>
    <row r="251" customFormat="false" ht="15.75" hidden="false" customHeight="true" outlineLevel="0" collapsed="false">
      <c r="A251" s="229"/>
      <c r="B251" s="189"/>
      <c r="C251" s="135"/>
      <c r="D251" s="135"/>
      <c r="E251" s="229"/>
      <c r="F251" s="229"/>
      <c r="G251" s="229"/>
      <c r="H251" s="229"/>
      <c r="I251" s="229"/>
      <c r="J251" s="229"/>
      <c r="K251" s="189"/>
      <c r="L251" s="135"/>
      <c r="M251" s="229"/>
      <c r="N251" s="189"/>
      <c r="O251" s="135"/>
      <c r="P251" s="135"/>
      <c r="Q251" s="135"/>
      <c r="R251" s="135"/>
      <c r="S251" s="135"/>
      <c r="T251" s="135"/>
    </row>
    <row r="252" customFormat="false" ht="15.75" hidden="false" customHeight="true" outlineLevel="0" collapsed="false">
      <c r="A252" s="229"/>
      <c r="B252" s="189"/>
      <c r="C252" s="135"/>
      <c r="D252" s="135"/>
      <c r="E252" s="229"/>
      <c r="F252" s="229"/>
      <c r="G252" s="229"/>
      <c r="H252" s="229"/>
      <c r="I252" s="229"/>
      <c r="J252" s="229"/>
      <c r="K252" s="189"/>
      <c r="L252" s="135"/>
      <c r="M252" s="229"/>
      <c r="N252" s="189"/>
      <c r="O252" s="135"/>
      <c r="P252" s="135"/>
      <c r="Q252" s="135"/>
      <c r="R252" s="135"/>
      <c r="S252" s="135"/>
      <c r="T252" s="135"/>
    </row>
    <row r="253" customFormat="false" ht="15.75" hidden="false" customHeight="true" outlineLevel="0" collapsed="false">
      <c r="A253" s="229"/>
      <c r="B253" s="189"/>
      <c r="C253" s="135"/>
      <c r="D253" s="135"/>
      <c r="E253" s="229"/>
      <c r="F253" s="229"/>
      <c r="G253" s="229"/>
      <c r="H253" s="229"/>
      <c r="I253" s="229"/>
      <c r="J253" s="229"/>
      <c r="K253" s="189"/>
      <c r="L253" s="135"/>
      <c r="M253" s="229"/>
      <c r="N253" s="189"/>
      <c r="O253" s="135"/>
      <c r="P253" s="135"/>
      <c r="Q253" s="135"/>
      <c r="R253" s="135"/>
      <c r="S253" s="135"/>
      <c r="T253" s="135"/>
    </row>
    <row r="254" customFormat="false" ht="15.75" hidden="false" customHeight="true" outlineLevel="0" collapsed="false">
      <c r="A254" s="229"/>
      <c r="B254" s="189"/>
      <c r="C254" s="135"/>
      <c r="D254" s="135"/>
      <c r="E254" s="229"/>
      <c r="F254" s="229"/>
      <c r="G254" s="229"/>
      <c r="H254" s="229"/>
      <c r="I254" s="229"/>
      <c r="J254" s="229"/>
      <c r="K254" s="189"/>
      <c r="L254" s="135"/>
      <c r="M254" s="229"/>
      <c r="N254" s="189"/>
      <c r="O254" s="135"/>
      <c r="P254" s="135"/>
      <c r="Q254" s="135"/>
      <c r="R254" s="135"/>
      <c r="S254" s="135"/>
      <c r="T254" s="135"/>
    </row>
    <row r="255" customFormat="false" ht="15.75" hidden="false" customHeight="true" outlineLevel="0" collapsed="false">
      <c r="A255" s="229"/>
      <c r="B255" s="189"/>
      <c r="C255" s="135"/>
      <c r="D255" s="135"/>
      <c r="E255" s="229"/>
      <c r="F255" s="229"/>
      <c r="G255" s="229"/>
      <c r="H255" s="229"/>
      <c r="I255" s="229"/>
      <c r="J255" s="229"/>
      <c r="K255" s="189"/>
      <c r="L255" s="135"/>
      <c r="M255" s="229"/>
      <c r="N255" s="189"/>
      <c r="O255" s="135"/>
      <c r="P255" s="135"/>
      <c r="Q255" s="135"/>
      <c r="R255" s="135"/>
      <c r="S255" s="135"/>
      <c r="T255" s="135"/>
    </row>
    <row r="256" customFormat="false" ht="15.75" hidden="false" customHeight="true" outlineLevel="0" collapsed="false">
      <c r="A256" s="229"/>
      <c r="B256" s="189"/>
      <c r="C256" s="135"/>
      <c r="D256" s="135"/>
      <c r="E256" s="229"/>
      <c r="F256" s="229"/>
      <c r="G256" s="229"/>
      <c r="H256" s="229"/>
      <c r="I256" s="229"/>
      <c r="J256" s="229"/>
      <c r="K256" s="189"/>
      <c r="L256" s="135"/>
      <c r="M256" s="229"/>
      <c r="N256" s="189"/>
      <c r="O256" s="135"/>
      <c r="P256" s="135"/>
      <c r="Q256" s="135"/>
      <c r="R256" s="135"/>
      <c r="S256" s="135"/>
      <c r="T256" s="135"/>
    </row>
    <row r="257" customFormat="false" ht="15.75" hidden="false" customHeight="true" outlineLevel="0" collapsed="false">
      <c r="A257" s="229"/>
      <c r="B257" s="189"/>
      <c r="C257" s="135"/>
      <c r="D257" s="135"/>
      <c r="E257" s="229"/>
      <c r="F257" s="229"/>
      <c r="G257" s="229"/>
      <c r="H257" s="229"/>
      <c r="I257" s="229"/>
      <c r="J257" s="229"/>
      <c r="K257" s="189"/>
      <c r="L257" s="135"/>
      <c r="M257" s="229"/>
      <c r="N257" s="189"/>
      <c r="O257" s="135"/>
      <c r="P257" s="135"/>
      <c r="Q257" s="135"/>
      <c r="R257" s="135"/>
      <c r="S257" s="135"/>
      <c r="T257" s="135"/>
    </row>
    <row r="258" customFormat="false" ht="15.75" hidden="false" customHeight="true" outlineLevel="0" collapsed="false">
      <c r="A258" s="229"/>
      <c r="B258" s="189"/>
      <c r="C258" s="135"/>
      <c r="D258" s="135"/>
      <c r="E258" s="229"/>
      <c r="F258" s="229"/>
      <c r="G258" s="229"/>
      <c r="H258" s="229"/>
      <c r="I258" s="229"/>
      <c r="J258" s="229"/>
      <c r="K258" s="189"/>
      <c r="L258" s="135"/>
      <c r="M258" s="229"/>
      <c r="N258" s="189"/>
      <c r="O258" s="135"/>
      <c r="P258" s="135"/>
      <c r="Q258" s="135"/>
      <c r="R258" s="135"/>
      <c r="S258" s="135"/>
      <c r="T258" s="135"/>
    </row>
    <row r="259" customFormat="false" ht="15.75" hidden="false" customHeight="true" outlineLevel="0" collapsed="false">
      <c r="A259" s="229"/>
      <c r="B259" s="189"/>
      <c r="C259" s="135"/>
      <c r="D259" s="135"/>
      <c r="E259" s="229"/>
      <c r="F259" s="229"/>
      <c r="G259" s="229"/>
      <c r="H259" s="229"/>
      <c r="I259" s="229"/>
      <c r="J259" s="229"/>
      <c r="K259" s="189"/>
      <c r="L259" s="135"/>
      <c r="M259" s="229"/>
      <c r="N259" s="189"/>
      <c r="O259" s="135"/>
      <c r="P259" s="135"/>
      <c r="Q259" s="135"/>
      <c r="R259" s="135"/>
      <c r="S259" s="135"/>
      <c r="T259" s="135"/>
    </row>
    <row r="260" customFormat="false" ht="15.75" hidden="false" customHeight="true" outlineLevel="0" collapsed="false">
      <c r="A260" s="229"/>
      <c r="B260" s="189"/>
      <c r="C260" s="135"/>
      <c r="D260" s="135"/>
      <c r="E260" s="229"/>
      <c r="F260" s="229"/>
      <c r="G260" s="229"/>
      <c r="H260" s="229"/>
      <c r="I260" s="229"/>
      <c r="J260" s="229"/>
      <c r="K260" s="189"/>
      <c r="L260" s="135"/>
      <c r="M260" s="229"/>
      <c r="N260" s="189"/>
      <c r="O260" s="135"/>
      <c r="P260" s="135"/>
      <c r="Q260" s="135"/>
      <c r="R260" s="135"/>
      <c r="S260" s="135"/>
      <c r="T260" s="135"/>
    </row>
    <row r="261" customFormat="false" ht="15.75" hidden="false" customHeight="true" outlineLevel="0" collapsed="false">
      <c r="A261" s="229"/>
      <c r="B261" s="189"/>
      <c r="C261" s="135"/>
      <c r="D261" s="135"/>
      <c r="E261" s="229"/>
      <c r="F261" s="229"/>
      <c r="G261" s="229"/>
      <c r="H261" s="229"/>
      <c r="I261" s="229"/>
      <c r="J261" s="229"/>
      <c r="K261" s="189"/>
      <c r="L261" s="135"/>
      <c r="M261" s="229"/>
      <c r="N261" s="189"/>
      <c r="O261" s="135"/>
      <c r="P261" s="135"/>
      <c r="Q261" s="135"/>
      <c r="R261" s="135"/>
      <c r="S261" s="135"/>
      <c r="T261" s="135"/>
    </row>
    <row r="262" customFormat="false" ht="15.75" hidden="false" customHeight="true" outlineLevel="0" collapsed="false">
      <c r="A262" s="229"/>
      <c r="B262" s="189"/>
      <c r="C262" s="135"/>
      <c r="D262" s="135"/>
      <c r="E262" s="229"/>
      <c r="F262" s="229"/>
      <c r="G262" s="229"/>
      <c r="H262" s="229"/>
      <c r="I262" s="229"/>
      <c r="J262" s="229"/>
      <c r="K262" s="189"/>
      <c r="L262" s="135"/>
      <c r="M262" s="229"/>
      <c r="N262" s="189"/>
      <c r="O262" s="135"/>
      <c r="P262" s="135"/>
      <c r="Q262" s="135"/>
      <c r="R262" s="135"/>
      <c r="S262" s="135"/>
      <c r="T262" s="135"/>
    </row>
    <row r="263" customFormat="false" ht="15.75" hidden="false" customHeight="true" outlineLevel="0" collapsed="false">
      <c r="A263" s="229"/>
      <c r="B263" s="189"/>
      <c r="C263" s="135"/>
      <c r="D263" s="135"/>
      <c r="E263" s="229"/>
      <c r="F263" s="229"/>
      <c r="G263" s="229"/>
      <c r="H263" s="229"/>
      <c r="I263" s="229"/>
      <c r="J263" s="229"/>
      <c r="K263" s="189"/>
      <c r="L263" s="135"/>
      <c r="M263" s="229"/>
      <c r="N263" s="189"/>
      <c r="O263" s="135"/>
      <c r="P263" s="135"/>
      <c r="Q263" s="135"/>
      <c r="R263" s="135"/>
      <c r="S263" s="135"/>
      <c r="T263" s="135"/>
    </row>
    <row r="264" customFormat="false" ht="15.75" hidden="false" customHeight="true" outlineLevel="0" collapsed="false">
      <c r="A264" s="229"/>
      <c r="B264" s="189"/>
      <c r="C264" s="135"/>
      <c r="D264" s="135"/>
      <c r="E264" s="229"/>
      <c r="F264" s="229"/>
      <c r="G264" s="229"/>
      <c r="H264" s="229"/>
      <c r="I264" s="229"/>
      <c r="J264" s="229"/>
      <c r="K264" s="189"/>
      <c r="L264" s="135"/>
      <c r="M264" s="229"/>
      <c r="N264" s="189"/>
      <c r="O264" s="135"/>
      <c r="P264" s="135"/>
      <c r="Q264" s="135"/>
      <c r="R264" s="135"/>
      <c r="S264" s="135"/>
      <c r="T264" s="135"/>
    </row>
    <row r="265" customFormat="false" ht="15.75" hidden="false" customHeight="true" outlineLevel="0" collapsed="false">
      <c r="A265" s="229"/>
      <c r="B265" s="189"/>
      <c r="C265" s="135"/>
      <c r="D265" s="135"/>
      <c r="E265" s="229"/>
      <c r="F265" s="229"/>
      <c r="G265" s="229"/>
      <c r="H265" s="229"/>
      <c r="I265" s="229"/>
      <c r="J265" s="229"/>
      <c r="K265" s="189"/>
      <c r="L265" s="135"/>
      <c r="M265" s="229"/>
      <c r="N265" s="189"/>
      <c r="O265" s="135"/>
      <c r="P265" s="135"/>
      <c r="Q265" s="135"/>
      <c r="R265" s="135"/>
      <c r="S265" s="135"/>
      <c r="T265" s="135"/>
    </row>
    <row r="266" customFormat="false" ht="15.75" hidden="false" customHeight="true" outlineLevel="0" collapsed="false">
      <c r="A266" s="229"/>
      <c r="B266" s="189"/>
      <c r="C266" s="135"/>
      <c r="D266" s="135"/>
      <c r="E266" s="229"/>
      <c r="F266" s="229"/>
      <c r="G266" s="229"/>
      <c r="H266" s="229"/>
      <c r="I266" s="229"/>
      <c r="J266" s="229"/>
      <c r="K266" s="189"/>
      <c r="L266" s="135"/>
      <c r="M266" s="229"/>
      <c r="N266" s="189"/>
      <c r="O266" s="135"/>
      <c r="P266" s="135"/>
      <c r="Q266" s="135"/>
      <c r="R266" s="135"/>
      <c r="S266" s="135"/>
      <c r="T266" s="135"/>
    </row>
    <row r="267" customFormat="false" ht="15.75" hidden="false" customHeight="true" outlineLevel="0" collapsed="false">
      <c r="A267" s="229"/>
      <c r="B267" s="189"/>
      <c r="C267" s="135"/>
      <c r="D267" s="135"/>
      <c r="E267" s="229"/>
      <c r="F267" s="229"/>
      <c r="G267" s="229"/>
      <c r="H267" s="229"/>
      <c r="I267" s="229"/>
      <c r="J267" s="229"/>
      <c r="K267" s="189"/>
      <c r="L267" s="135"/>
      <c r="M267" s="229"/>
      <c r="N267" s="189"/>
      <c r="O267" s="135"/>
      <c r="P267" s="135"/>
      <c r="Q267" s="135"/>
      <c r="R267" s="135"/>
      <c r="S267" s="135"/>
      <c r="T267" s="135"/>
    </row>
    <row r="268" customFormat="false" ht="15.75" hidden="false" customHeight="true" outlineLevel="0" collapsed="false">
      <c r="A268" s="229"/>
      <c r="B268" s="189"/>
      <c r="C268" s="135"/>
      <c r="D268" s="135"/>
      <c r="E268" s="229"/>
      <c r="F268" s="229"/>
      <c r="G268" s="229"/>
      <c r="H268" s="229"/>
      <c r="I268" s="229"/>
      <c r="J268" s="229"/>
      <c r="K268" s="189"/>
      <c r="L268" s="135"/>
      <c r="M268" s="229"/>
      <c r="N268" s="189"/>
      <c r="O268" s="135"/>
      <c r="P268" s="135"/>
      <c r="Q268" s="135"/>
      <c r="R268" s="135"/>
      <c r="S268" s="135"/>
      <c r="T268" s="135"/>
    </row>
    <row r="269" customFormat="false" ht="15.75" hidden="false" customHeight="true" outlineLevel="0" collapsed="false">
      <c r="A269" s="229"/>
      <c r="B269" s="189"/>
      <c r="C269" s="135"/>
      <c r="D269" s="135"/>
      <c r="E269" s="229"/>
      <c r="F269" s="229"/>
      <c r="G269" s="229"/>
      <c r="H269" s="229"/>
      <c r="I269" s="229"/>
      <c r="J269" s="229"/>
      <c r="K269" s="189"/>
      <c r="L269" s="135"/>
      <c r="M269" s="229"/>
      <c r="N269" s="189"/>
      <c r="O269" s="135"/>
      <c r="P269" s="135"/>
      <c r="Q269" s="135"/>
      <c r="R269" s="135"/>
      <c r="S269" s="135"/>
      <c r="T269" s="135"/>
    </row>
    <row r="270" customFormat="false" ht="15.75" hidden="false" customHeight="true" outlineLevel="0" collapsed="false">
      <c r="A270" s="229"/>
      <c r="B270" s="189"/>
      <c r="C270" s="135"/>
      <c r="D270" s="135"/>
      <c r="E270" s="229"/>
      <c r="F270" s="229"/>
      <c r="G270" s="229"/>
      <c r="H270" s="229"/>
      <c r="I270" s="229"/>
      <c r="J270" s="229"/>
      <c r="K270" s="189"/>
      <c r="L270" s="135"/>
      <c r="M270" s="229"/>
      <c r="N270" s="189"/>
      <c r="O270" s="135"/>
      <c r="P270" s="135"/>
      <c r="Q270" s="135"/>
      <c r="R270" s="135"/>
      <c r="S270" s="135"/>
      <c r="T270" s="135"/>
    </row>
    <row r="271" customFormat="false" ht="15.75" hidden="false" customHeight="true" outlineLevel="0" collapsed="false">
      <c r="A271" s="229"/>
      <c r="B271" s="189"/>
      <c r="C271" s="135"/>
      <c r="D271" s="135"/>
      <c r="E271" s="229"/>
      <c r="F271" s="229"/>
      <c r="G271" s="229"/>
      <c r="H271" s="229"/>
      <c r="I271" s="229"/>
      <c r="J271" s="229"/>
      <c r="K271" s="189"/>
      <c r="L271" s="135"/>
      <c r="M271" s="229"/>
      <c r="N271" s="189"/>
      <c r="O271" s="135"/>
      <c r="P271" s="135"/>
      <c r="Q271" s="135"/>
      <c r="R271" s="135"/>
      <c r="S271" s="135"/>
      <c r="T271" s="135"/>
    </row>
    <row r="272" customFormat="false" ht="15.75" hidden="false" customHeight="true" outlineLevel="0" collapsed="false">
      <c r="A272" s="229"/>
      <c r="B272" s="189"/>
      <c r="C272" s="135"/>
      <c r="D272" s="135"/>
      <c r="E272" s="229"/>
      <c r="F272" s="229"/>
      <c r="G272" s="229"/>
      <c r="H272" s="229"/>
      <c r="I272" s="229"/>
      <c r="J272" s="229"/>
      <c r="K272" s="189"/>
      <c r="L272" s="135"/>
      <c r="M272" s="229"/>
      <c r="N272" s="189"/>
      <c r="O272" s="135"/>
      <c r="P272" s="135"/>
      <c r="Q272" s="135"/>
      <c r="R272" s="135"/>
      <c r="S272" s="135"/>
      <c r="T272" s="135"/>
    </row>
    <row r="273" customFormat="false" ht="15.75" hidden="false" customHeight="true" outlineLevel="0" collapsed="false">
      <c r="A273" s="229"/>
      <c r="B273" s="189"/>
      <c r="C273" s="135"/>
      <c r="D273" s="135"/>
      <c r="E273" s="229"/>
      <c r="F273" s="229"/>
      <c r="G273" s="229"/>
      <c r="H273" s="229"/>
      <c r="I273" s="229"/>
      <c r="J273" s="229"/>
      <c r="K273" s="189"/>
      <c r="L273" s="135"/>
      <c r="M273" s="229"/>
      <c r="N273" s="189"/>
      <c r="O273" s="135"/>
      <c r="P273" s="135"/>
      <c r="Q273" s="135"/>
      <c r="R273" s="135"/>
      <c r="S273" s="135"/>
      <c r="T273" s="135"/>
    </row>
    <row r="274" customFormat="false" ht="15.75" hidden="false" customHeight="true" outlineLevel="0" collapsed="false">
      <c r="A274" s="229"/>
      <c r="B274" s="189"/>
      <c r="C274" s="135"/>
      <c r="D274" s="135"/>
      <c r="E274" s="229"/>
      <c r="F274" s="229"/>
      <c r="G274" s="229"/>
      <c r="H274" s="229"/>
      <c r="I274" s="229"/>
      <c r="J274" s="229"/>
      <c r="K274" s="189"/>
      <c r="L274" s="135"/>
      <c r="M274" s="229"/>
      <c r="N274" s="189"/>
      <c r="O274" s="135"/>
      <c r="P274" s="135"/>
      <c r="Q274" s="135"/>
      <c r="R274" s="135"/>
      <c r="S274" s="135"/>
      <c r="T274" s="135"/>
    </row>
    <row r="275" customFormat="false" ht="15.75" hidden="false" customHeight="true" outlineLevel="0" collapsed="false">
      <c r="A275" s="229"/>
      <c r="B275" s="189"/>
      <c r="C275" s="135"/>
      <c r="D275" s="135"/>
      <c r="E275" s="229"/>
      <c r="F275" s="229"/>
      <c r="G275" s="229"/>
      <c r="H275" s="229"/>
      <c r="I275" s="229"/>
      <c r="J275" s="229"/>
      <c r="K275" s="189"/>
      <c r="L275" s="135"/>
      <c r="M275" s="229"/>
      <c r="N275" s="189"/>
      <c r="O275" s="135"/>
      <c r="P275" s="135"/>
      <c r="Q275" s="135"/>
      <c r="R275" s="135"/>
      <c r="S275" s="135"/>
      <c r="T275" s="135"/>
    </row>
    <row r="276" customFormat="false" ht="15.75" hidden="false" customHeight="true" outlineLevel="0" collapsed="false">
      <c r="A276" s="229"/>
      <c r="B276" s="189"/>
      <c r="C276" s="135"/>
      <c r="D276" s="135"/>
      <c r="E276" s="229"/>
      <c r="F276" s="229"/>
      <c r="G276" s="229"/>
      <c r="H276" s="229"/>
      <c r="I276" s="229"/>
      <c r="J276" s="229"/>
      <c r="K276" s="189"/>
      <c r="L276" s="135"/>
      <c r="M276" s="229"/>
      <c r="N276" s="189"/>
      <c r="O276" s="135"/>
      <c r="P276" s="135"/>
      <c r="Q276" s="135"/>
      <c r="R276" s="135"/>
      <c r="S276" s="135"/>
      <c r="T276" s="135"/>
    </row>
    <row r="277" customFormat="false" ht="15.75" hidden="false" customHeight="true" outlineLevel="0" collapsed="false">
      <c r="A277" s="229"/>
      <c r="B277" s="189"/>
      <c r="C277" s="135"/>
      <c r="D277" s="135"/>
      <c r="E277" s="229"/>
      <c r="F277" s="229"/>
      <c r="G277" s="229"/>
      <c r="H277" s="229"/>
      <c r="I277" s="229"/>
      <c r="J277" s="229"/>
      <c r="K277" s="189"/>
      <c r="L277" s="135"/>
      <c r="M277" s="229"/>
      <c r="N277" s="189"/>
      <c r="O277" s="135"/>
      <c r="P277" s="135"/>
      <c r="Q277" s="135"/>
      <c r="R277" s="135"/>
      <c r="S277" s="135"/>
      <c r="T277" s="135"/>
    </row>
    <row r="278" customFormat="false" ht="15.75" hidden="false" customHeight="true" outlineLevel="0" collapsed="false">
      <c r="A278" s="229"/>
      <c r="B278" s="189"/>
      <c r="C278" s="135"/>
      <c r="D278" s="135"/>
      <c r="E278" s="229"/>
      <c r="F278" s="229"/>
      <c r="G278" s="229"/>
      <c r="H278" s="229"/>
      <c r="I278" s="229"/>
      <c r="J278" s="229"/>
      <c r="K278" s="189"/>
      <c r="L278" s="135"/>
      <c r="M278" s="229"/>
      <c r="N278" s="189"/>
      <c r="O278" s="135"/>
      <c r="P278" s="135"/>
      <c r="Q278" s="135"/>
      <c r="R278" s="135"/>
      <c r="S278" s="135"/>
      <c r="T278" s="135"/>
    </row>
    <row r="279" customFormat="false" ht="15.75" hidden="false" customHeight="true" outlineLevel="0" collapsed="false">
      <c r="A279" s="229"/>
      <c r="B279" s="189"/>
      <c r="C279" s="135"/>
      <c r="D279" s="135"/>
      <c r="E279" s="229"/>
      <c r="F279" s="229"/>
      <c r="G279" s="229"/>
      <c r="H279" s="229"/>
      <c r="I279" s="229"/>
      <c r="J279" s="229"/>
      <c r="K279" s="189"/>
      <c r="L279" s="135"/>
      <c r="M279" s="229"/>
      <c r="N279" s="189"/>
      <c r="O279" s="135"/>
      <c r="P279" s="135"/>
      <c r="Q279" s="135"/>
      <c r="R279" s="135"/>
      <c r="S279" s="135"/>
      <c r="T279" s="135"/>
    </row>
    <row r="280" customFormat="false" ht="15.75" hidden="false" customHeight="true" outlineLevel="0" collapsed="false">
      <c r="A280" s="229"/>
      <c r="B280" s="189"/>
      <c r="C280" s="135"/>
      <c r="D280" s="135"/>
      <c r="E280" s="229"/>
      <c r="F280" s="229"/>
      <c r="G280" s="229"/>
      <c r="H280" s="229"/>
      <c r="I280" s="229"/>
      <c r="J280" s="229"/>
      <c r="K280" s="189"/>
      <c r="L280" s="135"/>
      <c r="M280" s="229"/>
      <c r="N280" s="189"/>
      <c r="O280" s="135"/>
      <c r="P280" s="135"/>
      <c r="Q280" s="135"/>
      <c r="R280" s="135"/>
      <c r="S280" s="135"/>
      <c r="T280" s="135"/>
    </row>
    <row r="281" customFormat="false" ht="15.75" hidden="false" customHeight="true" outlineLevel="0" collapsed="false">
      <c r="A281" s="229"/>
      <c r="B281" s="189"/>
      <c r="C281" s="135"/>
      <c r="D281" s="135"/>
      <c r="E281" s="229"/>
      <c r="F281" s="229"/>
      <c r="G281" s="229"/>
      <c r="H281" s="229"/>
      <c r="I281" s="229"/>
      <c r="J281" s="229"/>
      <c r="K281" s="189"/>
      <c r="L281" s="135"/>
      <c r="M281" s="229"/>
      <c r="N281" s="189"/>
      <c r="O281" s="135"/>
      <c r="P281" s="135"/>
      <c r="Q281" s="135"/>
      <c r="R281" s="135"/>
      <c r="S281" s="135"/>
      <c r="T281" s="135"/>
    </row>
    <row r="282" customFormat="false" ht="15.75" hidden="false" customHeight="true" outlineLevel="0" collapsed="false">
      <c r="A282" s="229"/>
      <c r="B282" s="189"/>
      <c r="C282" s="135"/>
      <c r="D282" s="135"/>
      <c r="E282" s="229"/>
      <c r="F282" s="229"/>
      <c r="G282" s="229"/>
      <c r="H282" s="229"/>
      <c r="I282" s="229"/>
      <c r="J282" s="229"/>
      <c r="K282" s="189"/>
      <c r="L282" s="135"/>
      <c r="M282" s="229"/>
      <c r="N282" s="189"/>
      <c r="O282" s="135"/>
      <c r="P282" s="135"/>
      <c r="Q282" s="135"/>
      <c r="R282" s="135"/>
      <c r="S282" s="135"/>
      <c r="T282" s="135"/>
    </row>
    <row r="283" customFormat="false" ht="15.75" hidden="false" customHeight="true" outlineLevel="0" collapsed="false">
      <c r="A283" s="229"/>
      <c r="B283" s="189"/>
      <c r="C283" s="135"/>
      <c r="D283" s="135"/>
      <c r="E283" s="229"/>
      <c r="F283" s="229"/>
      <c r="G283" s="229"/>
      <c r="H283" s="229"/>
      <c r="I283" s="229"/>
      <c r="J283" s="229"/>
      <c r="K283" s="189"/>
      <c r="L283" s="135"/>
      <c r="M283" s="229"/>
      <c r="N283" s="189"/>
      <c r="O283" s="135"/>
      <c r="P283" s="135"/>
      <c r="Q283" s="135"/>
      <c r="R283" s="135"/>
      <c r="S283" s="135"/>
      <c r="T283" s="135"/>
    </row>
    <row r="284" customFormat="false" ht="15.75" hidden="false" customHeight="true" outlineLevel="0" collapsed="false">
      <c r="A284" s="229"/>
      <c r="B284" s="189"/>
      <c r="C284" s="135"/>
      <c r="D284" s="135"/>
      <c r="E284" s="229"/>
      <c r="F284" s="229"/>
      <c r="G284" s="229"/>
      <c r="H284" s="229"/>
      <c r="I284" s="229"/>
      <c r="J284" s="229"/>
      <c r="K284" s="189"/>
      <c r="L284" s="135"/>
      <c r="M284" s="229"/>
      <c r="N284" s="189"/>
      <c r="O284" s="135"/>
      <c r="P284" s="135"/>
      <c r="Q284" s="135"/>
      <c r="R284" s="135"/>
      <c r="S284" s="135"/>
      <c r="T284" s="135"/>
    </row>
    <row r="285" customFormat="false" ht="15.75" hidden="false" customHeight="true" outlineLevel="0" collapsed="false">
      <c r="A285" s="229"/>
      <c r="B285" s="189"/>
      <c r="C285" s="135"/>
      <c r="D285" s="135"/>
      <c r="E285" s="229"/>
      <c r="F285" s="229"/>
      <c r="G285" s="229"/>
      <c r="H285" s="229"/>
      <c r="I285" s="229"/>
      <c r="J285" s="229"/>
      <c r="K285" s="189"/>
      <c r="L285" s="135"/>
      <c r="M285" s="229"/>
      <c r="N285" s="189"/>
      <c r="O285" s="135"/>
      <c r="P285" s="135"/>
      <c r="Q285" s="135"/>
      <c r="R285" s="135"/>
      <c r="S285" s="135"/>
      <c r="T285" s="135"/>
    </row>
    <row r="286" customFormat="false" ht="15.75" hidden="false" customHeight="true" outlineLevel="0" collapsed="false">
      <c r="A286" s="229"/>
      <c r="B286" s="189"/>
      <c r="C286" s="135"/>
      <c r="D286" s="135"/>
      <c r="E286" s="229"/>
      <c r="F286" s="229"/>
      <c r="G286" s="229"/>
      <c r="H286" s="229"/>
      <c r="I286" s="229"/>
      <c r="J286" s="229"/>
      <c r="K286" s="189"/>
      <c r="L286" s="135"/>
      <c r="M286" s="229"/>
      <c r="N286" s="189"/>
      <c r="O286" s="135"/>
      <c r="P286" s="135"/>
      <c r="Q286" s="135"/>
      <c r="R286" s="135"/>
      <c r="S286" s="135"/>
      <c r="T286" s="135"/>
    </row>
    <row r="287" customFormat="false" ht="15.75" hidden="false" customHeight="true" outlineLevel="0" collapsed="false">
      <c r="A287" s="229"/>
      <c r="B287" s="189"/>
      <c r="C287" s="135"/>
      <c r="D287" s="135"/>
      <c r="E287" s="229"/>
      <c r="F287" s="229"/>
      <c r="G287" s="229"/>
      <c r="H287" s="229"/>
      <c r="I287" s="229"/>
      <c r="J287" s="229"/>
      <c r="K287" s="189"/>
      <c r="L287" s="135"/>
      <c r="M287" s="229"/>
      <c r="N287" s="189"/>
      <c r="O287" s="135"/>
      <c r="P287" s="135"/>
      <c r="Q287" s="135"/>
      <c r="R287" s="135"/>
      <c r="S287" s="135"/>
      <c r="T287" s="135"/>
    </row>
    <row r="288" customFormat="false" ht="15.75" hidden="false" customHeight="true" outlineLevel="0" collapsed="false">
      <c r="A288" s="229"/>
      <c r="B288" s="189"/>
      <c r="C288" s="135"/>
      <c r="D288" s="135"/>
      <c r="E288" s="229"/>
      <c r="F288" s="229"/>
      <c r="G288" s="229"/>
      <c r="H288" s="229"/>
      <c r="I288" s="229"/>
      <c r="J288" s="229"/>
      <c r="K288" s="189"/>
      <c r="L288" s="135"/>
      <c r="M288" s="229"/>
      <c r="N288" s="189"/>
      <c r="O288" s="135"/>
      <c r="P288" s="135"/>
      <c r="Q288" s="135"/>
      <c r="R288" s="135"/>
      <c r="S288" s="135"/>
      <c r="T288" s="135"/>
    </row>
    <row r="289" customFormat="false" ht="15.75" hidden="false" customHeight="true" outlineLevel="0" collapsed="false">
      <c r="A289" s="229"/>
      <c r="B289" s="189"/>
      <c r="C289" s="135"/>
      <c r="D289" s="135"/>
      <c r="E289" s="229"/>
      <c r="F289" s="229"/>
      <c r="G289" s="229"/>
      <c r="H289" s="229"/>
      <c r="I289" s="229"/>
      <c r="J289" s="229"/>
      <c r="K289" s="189"/>
      <c r="L289" s="135"/>
      <c r="M289" s="229"/>
      <c r="N289" s="189"/>
      <c r="O289" s="135"/>
      <c r="P289" s="135"/>
      <c r="Q289" s="135"/>
      <c r="R289" s="135"/>
      <c r="S289" s="135"/>
      <c r="T289" s="135"/>
    </row>
    <row r="290" customFormat="false" ht="15.75" hidden="false" customHeight="true" outlineLevel="0" collapsed="false">
      <c r="A290" s="229"/>
      <c r="B290" s="189"/>
      <c r="C290" s="135"/>
      <c r="D290" s="135"/>
      <c r="E290" s="229"/>
      <c r="F290" s="229"/>
      <c r="G290" s="229"/>
      <c r="H290" s="229"/>
      <c r="I290" s="229"/>
      <c r="J290" s="229"/>
      <c r="K290" s="189"/>
      <c r="L290" s="135"/>
      <c r="M290" s="229"/>
      <c r="N290" s="189"/>
      <c r="O290" s="135"/>
      <c r="P290" s="135"/>
      <c r="Q290" s="135"/>
      <c r="R290" s="135"/>
      <c r="S290" s="135"/>
      <c r="T290" s="135"/>
    </row>
    <row r="291" customFormat="false" ht="15.75" hidden="false" customHeight="true" outlineLevel="0" collapsed="false">
      <c r="A291" s="229"/>
      <c r="B291" s="189"/>
      <c r="C291" s="135"/>
      <c r="D291" s="135"/>
      <c r="E291" s="229"/>
      <c r="F291" s="229"/>
      <c r="G291" s="229"/>
      <c r="H291" s="229"/>
      <c r="I291" s="229"/>
      <c r="J291" s="229"/>
      <c r="K291" s="189"/>
      <c r="L291" s="135"/>
      <c r="M291" s="229"/>
      <c r="N291" s="189"/>
      <c r="O291" s="135"/>
      <c r="P291" s="135"/>
      <c r="Q291" s="135"/>
      <c r="R291" s="135"/>
      <c r="S291" s="135"/>
      <c r="T291" s="135"/>
    </row>
    <row r="292" customFormat="false" ht="15.75" hidden="false" customHeight="true" outlineLevel="0" collapsed="false">
      <c r="A292" s="229"/>
      <c r="B292" s="189"/>
      <c r="C292" s="135"/>
      <c r="D292" s="135"/>
      <c r="E292" s="229"/>
      <c r="F292" s="229"/>
      <c r="G292" s="229"/>
      <c r="H292" s="229"/>
      <c r="I292" s="229"/>
      <c r="J292" s="229"/>
      <c r="K292" s="189"/>
      <c r="L292" s="135"/>
      <c r="M292" s="229"/>
      <c r="N292" s="189"/>
      <c r="O292" s="135"/>
      <c r="P292" s="135"/>
      <c r="Q292" s="135"/>
      <c r="R292" s="135"/>
      <c r="S292" s="135"/>
      <c r="T292" s="135"/>
    </row>
    <row r="293" customFormat="false" ht="15.75" hidden="false" customHeight="true" outlineLevel="0" collapsed="false">
      <c r="A293" s="229"/>
      <c r="B293" s="189"/>
      <c r="C293" s="135"/>
      <c r="D293" s="135"/>
      <c r="E293" s="229"/>
      <c r="F293" s="229"/>
      <c r="G293" s="229"/>
      <c r="H293" s="229"/>
      <c r="I293" s="229"/>
      <c r="J293" s="229"/>
      <c r="K293" s="189"/>
      <c r="L293" s="135"/>
      <c r="M293" s="229"/>
      <c r="N293" s="189"/>
      <c r="O293" s="135"/>
      <c r="P293" s="135"/>
      <c r="Q293" s="135"/>
      <c r="R293" s="135"/>
      <c r="S293" s="135"/>
      <c r="T293" s="135"/>
    </row>
    <row r="294" customFormat="false" ht="15.75" hidden="false" customHeight="true" outlineLevel="0" collapsed="false">
      <c r="A294" s="229"/>
      <c r="B294" s="189"/>
      <c r="C294" s="135"/>
      <c r="D294" s="135"/>
      <c r="E294" s="229"/>
      <c r="F294" s="229"/>
      <c r="G294" s="229"/>
      <c r="H294" s="229"/>
      <c r="I294" s="229"/>
      <c r="J294" s="229"/>
      <c r="K294" s="189"/>
      <c r="L294" s="135"/>
      <c r="M294" s="229"/>
      <c r="N294" s="189"/>
      <c r="O294" s="135"/>
      <c r="P294" s="135"/>
      <c r="Q294" s="135"/>
      <c r="R294" s="135"/>
      <c r="S294" s="135"/>
      <c r="T294" s="135"/>
    </row>
    <row r="295" customFormat="false" ht="15.75" hidden="false" customHeight="true" outlineLevel="0" collapsed="false">
      <c r="A295" s="229"/>
      <c r="B295" s="189"/>
      <c r="C295" s="135"/>
      <c r="D295" s="135"/>
      <c r="E295" s="229"/>
      <c r="F295" s="229"/>
      <c r="G295" s="229"/>
      <c r="H295" s="229"/>
      <c r="I295" s="229"/>
      <c r="J295" s="229"/>
      <c r="K295" s="189"/>
      <c r="L295" s="135"/>
      <c r="M295" s="229"/>
      <c r="N295" s="189"/>
      <c r="O295" s="135"/>
      <c r="P295" s="135"/>
      <c r="Q295" s="135"/>
      <c r="R295" s="135"/>
      <c r="S295" s="135"/>
      <c r="T295" s="135"/>
    </row>
    <row r="296" customFormat="false" ht="15.75" hidden="false" customHeight="true" outlineLevel="0" collapsed="false">
      <c r="A296" s="229"/>
      <c r="B296" s="189"/>
      <c r="C296" s="135"/>
      <c r="D296" s="135"/>
      <c r="E296" s="229"/>
      <c r="F296" s="229"/>
      <c r="G296" s="229"/>
      <c r="H296" s="229"/>
      <c r="I296" s="229"/>
      <c r="J296" s="229"/>
      <c r="K296" s="189"/>
      <c r="L296" s="135"/>
      <c r="M296" s="229"/>
      <c r="N296" s="189"/>
      <c r="O296" s="135"/>
      <c r="P296" s="135"/>
      <c r="Q296" s="135"/>
      <c r="R296" s="135"/>
      <c r="S296" s="135"/>
      <c r="T296" s="135"/>
    </row>
    <row r="297" customFormat="false" ht="15.75" hidden="false" customHeight="true" outlineLevel="0" collapsed="false">
      <c r="A297" s="229"/>
      <c r="B297" s="189"/>
      <c r="C297" s="135"/>
      <c r="D297" s="135"/>
      <c r="E297" s="229"/>
      <c r="F297" s="229"/>
      <c r="G297" s="229"/>
      <c r="H297" s="229"/>
      <c r="I297" s="229"/>
      <c r="J297" s="229"/>
      <c r="K297" s="189"/>
      <c r="L297" s="135"/>
      <c r="M297" s="229"/>
      <c r="N297" s="189"/>
      <c r="O297" s="135"/>
      <c r="P297" s="135"/>
      <c r="Q297" s="135"/>
      <c r="R297" s="135"/>
      <c r="S297" s="135"/>
      <c r="T297" s="135"/>
    </row>
    <row r="298" customFormat="false" ht="15.75" hidden="false" customHeight="true" outlineLevel="0" collapsed="false">
      <c r="A298" s="229"/>
      <c r="B298" s="189"/>
      <c r="C298" s="135"/>
      <c r="D298" s="135"/>
      <c r="E298" s="229"/>
      <c r="F298" s="229"/>
      <c r="G298" s="229"/>
      <c r="H298" s="229"/>
      <c r="I298" s="229"/>
      <c r="J298" s="229"/>
      <c r="K298" s="189"/>
      <c r="L298" s="135"/>
      <c r="M298" s="229"/>
      <c r="N298" s="189"/>
      <c r="O298" s="135"/>
      <c r="P298" s="135"/>
      <c r="Q298" s="135"/>
      <c r="R298" s="135"/>
      <c r="S298" s="135"/>
      <c r="T298" s="135"/>
    </row>
    <row r="299" customFormat="false" ht="15.75" hidden="false" customHeight="true" outlineLevel="0" collapsed="false">
      <c r="A299" s="229"/>
      <c r="B299" s="189"/>
      <c r="C299" s="135"/>
      <c r="D299" s="135"/>
      <c r="E299" s="229"/>
      <c r="F299" s="229"/>
      <c r="G299" s="229"/>
      <c r="H299" s="229"/>
      <c r="I299" s="229"/>
      <c r="J299" s="229"/>
      <c r="K299" s="189"/>
      <c r="L299" s="135"/>
      <c r="M299" s="229"/>
      <c r="N299" s="189"/>
      <c r="O299" s="135"/>
      <c r="P299" s="135"/>
      <c r="Q299" s="135"/>
      <c r="R299" s="135"/>
      <c r="S299" s="135"/>
      <c r="T299" s="135"/>
    </row>
    <row r="300" customFormat="false" ht="15.75" hidden="false" customHeight="true" outlineLevel="0" collapsed="false">
      <c r="A300" s="229"/>
      <c r="B300" s="189"/>
      <c r="C300" s="135"/>
      <c r="D300" s="135"/>
      <c r="E300" s="229"/>
      <c r="F300" s="229"/>
      <c r="G300" s="229"/>
      <c r="H300" s="229"/>
      <c r="I300" s="229"/>
      <c r="J300" s="229"/>
      <c r="K300" s="189"/>
      <c r="L300" s="135"/>
      <c r="M300" s="229"/>
      <c r="N300" s="189"/>
      <c r="O300" s="135"/>
      <c r="P300" s="135"/>
      <c r="Q300" s="135"/>
      <c r="R300" s="135"/>
      <c r="S300" s="135"/>
      <c r="T300" s="135"/>
    </row>
    <row r="301" customFormat="false" ht="15.75" hidden="false" customHeight="true" outlineLevel="0" collapsed="false">
      <c r="A301" s="229"/>
      <c r="B301" s="189"/>
      <c r="C301" s="135"/>
      <c r="D301" s="135"/>
      <c r="E301" s="229"/>
      <c r="F301" s="229"/>
      <c r="G301" s="229"/>
      <c r="H301" s="229"/>
      <c r="I301" s="229"/>
      <c r="J301" s="229"/>
      <c r="K301" s="189"/>
      <c r="L301" s="135"/>
      <c r="M301" s="229"/>
      <c r="N301" s="189"/>
      <c r="O301" s="135"/>
      <c r="P301" s="135"/>
      <c r="Q301" s="135"/>
      <c r="R301" s="135"/>
      <c r="S301" s="135"/>
      <c r="T301" s="135"/>
    </row>
    <row r="302" customFormat="false" ht="15.75" hidden="false" customHeight="true" outlineLevel="0" collapsed="false">
      <c r="A302" s="229"/>
      <c r="B302" s="189"/>
      <c r="C302" s="135"/>
      <c r="D302" s="135"/>
      <c r="E302" s="229"/>
      <c r="F302" s="229"/>
      <c r="G302" s="229"/>
      <c r="H302" s="229"/>
      <c r="I302" s="229"/>
      <c r="J302" s="229"/>
      <c r="K302" s="189"/>
      <c r="L302" s="135"/>
      <c r="M302" s="229"/>
      <c r="N302" s="189"/>
      <c r="O302" s="135"/>
      <c r="P302" s="135"/>
      <c r="Q302" s="135"/>
      <c r="R302" s="135"/>
      <c r="S302" s="135"/>
      <c r="T302" s="135"/>
    </row>
    <row r="303" customFormat="false" ht="15.75" hidden="false" customHeight="true" outlineLevel="0" collapsed="false">
      <c r="A303" s="229"/>
      <c r="B303" s="189"/>
      <c r="C303" s="135"/>
      <c r="D303" s="135"/>
      <c r="E303" s="229"/>
      <c r="F303" s="229"/>
      <c r="G303" s="229"/>
      <c r="H303" s="229"/>
      <c r="I303" s="229"/>
      <c r="J303" s="229"/>
      <c r="K303" s="189"/>
      <c r="L303" s="135"/>
      <c r="M303" s="229"/>
      <c r="N303" s="189"/>
      <c r="O303" s="135"/>
      <c r="P303" s="135"/>
      <c r="Q303" s="135"/>
      <c r="R303" s="135"/>
      <c r="S303" s="135"/>
      <c r="T303" s="135"/>
    </row>
    <row r="304" customFormat="false" ht="15.75" hidden="false" customHeight="true" outlineLevel="0" collapsed="false">
      <c r="A304" s="229"/>
      <c r="B304" s="189"/>
      <c r="C304" s="135"/>
      <c r="D304" s="135"/>
      <c r="E304" s="229"/>
      <c r="F304" s="229"/>
      <c r="G304" s="229"/>
      <c r="H304" s="229"/>
      <c r="I304" s="229"/>
      <c r="J304" s="229"/>
      <c r="K304" s="189"/>
      <c r="L304" s="135"/>
      <c r="M304" s="229"/>
      <c r="N304" s="189"/>
      <c r="O304" s="135"/>
      <c r="P304" s="135"/>
      <c r="Q304" s="135"/>
      <c r="R304" s="135"/>
      <c r="S304" s="135"/>
      <c r="T304" s="135"/>
    </row>
    <row r="305" customFormat="false" ht="15.75" hidden="false" customHeight="true" outlineLevel="0" collapsed="false">
      <c r="A305" s="229"/>
      <c r="B305" s="189"/>
      <c r="C305" s="135"/>
      <c r="D305" s="135"/>
      <c r="E305" s="229"/>
      <c r="F305" s="229"/>
      <c r="G305" s="229"/>
      <c r="H305" s="229"/>
      <c r="I305" s="229"/>
      <c r="J305" s="229"/>
      <c r="K305" s="189"/>
      <c r="L305" s="135"/>
      <c r="M305" s="229"/>
      <c r="N305" s="189"/>
      <c r="O305" s="135"/>
      <c r="P305" s="135"/>
      <c r="Q305" s="135"/>
      <c r="R305" s="135"/>
      <c r="S305" s="135"/>
      <c r="T305" s="135"/>
    </row>
    <row r="306" customFormat="false" ht="15.75" hidden="false" customHeight="true" outlineLevel="0" collapsed="false">
      <c r="A306" s="229"/>
      <c r="B306" s="189"/>
      <c r="C306" s="135"/>
      <c r="D306" s="135"/>
      <c r="E306" s="229"/>
      <c r="F306" s="229"/>
      <c r="G306" s="229"/>
      <c r="H306" s="229"/>
      <c r="I306" s="229"/>
      <c r="J306" s="229"/>
      <c r="K306" s="189"/>
      <c r="L306" s="135"/>
      <c r="M306" s="229"/>
      <c r="N306" s="189"/>
      <c r="O306" s="135"/>
      <c r="P306" s="135"/>
      <c r="Q306" s="135"/>
      <c r="R306" s="135"/>
      <c r="S306" s="135"/>
      <c r="T306" s="135"/>
    </row>
    <row r="307" customFormat="false" ht="15.75" hidden="false" customHeight="true" outlineLevel="0" collapsed="false">
      <c r="A307" s="229"/>
      <c r="B307" s="189"/>
      <c r="C307" s="135"/>
      <c r="D307" s="135"/>
      <c r="E307" s="229"/>
      <c r="F307" s="229"/>
      <c r="G307" s="229"/>
      <c r="H307" s="229"/>
      <c r="I307" s="229"/>
      <c r="J307" s="229"/>
      <c r="K307" s="189"/>
      <c r="L307" s="135"/>
      <c r="M307" s="229"/>
      <c r="N307" s="189"/>
      <c r="O307" s="135"/>
      <c r="P307" s="135"/>
      <c r="Q307" s="135"/>
      <c r="R307" s="135"/>
      <c r="S307" s="135"/>
      <c r="T307" s="135"/>
    </row>
    <row r="308" customFormat="false" ht="15.75" hidden="false" customHeight="true" outlineLevel="0" collapsed="false">
      <c r="A308" s="229"/>
      <c r="B308" s="189"/>
      <c r="C308" s="135"/>
      <c r="D308" s="135"/>
      <c r="E308" s="229"/>
      <c r="F308" s="229"/>
      <c r="G308" s="229"/>
      <c r="H308" s="229"/>
      <c r="I308" s="229"/>
      <c r="J308" s="229"/>
      <c r="K308" s="189"/>
      <c r="L308" s="135"/>
      <c r="M308" s="229"/>
      <c r="N308" s="189"/>
      <c r="O308" s="135"/>
      <c r="P308" s="135"/>
      <c r="Q308" s="135"/>
      <c r="R308" s="135"/>
      <c r="S308" s="135"/>
      <c r="T308" s="135"/>
    </row>
    <row r="309" customFormat="false" ht="15.75" hidden="false" customHeight="true" outlineLevel="0" collapsed="false">
      <c r="A309" s="229"/>
      <c r="B309" s="189"/>
      <c r="C309" s="135"/>
      <c r="D309" s="135"/>
      <c r="E309" s="229"/>
      <c r="F309" s="229"/>
      <c r="G309" s="229"/>
      <c r="H309" s="229"/>
      <c r="I309" s="229"/>
      <c r="J309" s="229"/>
      <c r="K309" s="189"/>
      <c r="L309" s="135"/>
      <c r="M309" s="229"/>
      <c r="N309" s="189"/>
      <c r="O309" s="135"/>
      <c r="P309" s="135"/>
      <c r="Q309" s="135"/>
      <c r="R309" s="135"/>
      <c r="S309" s="135"/>
      <c r="T309" s="135"/>
    </row>
    <row r="310" customFormat="false" ht="15.75" hidden="false" customHeight="true" outlineLevel="0" collapsed="false">
      <c r="A310" s="229"/>
      <c r="B310" s="189"/>
      <c r="C310" s="135"/>
      <c r="D310" s="135"/>
      <c r="E310" s="229"/>
      <c r="F310" s="229"/>
      <c r="G310" s="229"/>
      <c r="H310" s="229"/>
      <c r="I310" s="229"/>
      <c r="J310" s="229"/>
      <c r="K310" s="189"/>
      <c r="L310" s="135"/>
      <c r="M310" s="229"/>
      <c r="N310" s="189"/>
      <c r="O310" s="135"/>
      <c r="P310" s="135"/>
      <c r="Q310" s="135"/>
      <c r="R310" s="135"/>
      <c r="S310" s="135"/>
      <c r="T310" s="135"/>
    </row>
    <row r="311" customFormat="false" ht="15.75" hidden="false" customHeight="true" outlineLevel="0" collapsed="false">
      <c r="A311" s="229"/>
      <c r="B311" s="189"/>
      <c r="C311" s="135"/>
      <c r="D311" s="135"/>
      <c r="E311" s="229"/>
      <c r="F311" s="229"/>
      <c r="G311" s="229"/>
      <c r="H311" s="229"/>
      <c r="I311" s="229"/>
      <c r="J311" s="229"/>
      <c r="K311" s="189"/>
      <c r="L311" s="135"/>
      <c r="M311" s="229"/>
      <c r="N311" s="189"/>
      <c r="O311" s="135"/>
      <c r="P311" s="135"/>
      <c r="Q311" s="135"/>
      <c r="R311" s="135"/>
      <c r="S311" s="135"/>
      <c r="T311" s="135"/>
    </row>
    <row r="312" customFormat="false" ht="15.75" hidden="false" customHeight="true" outlineLevel="0" collapsed="false">
      <c r="A312" s="229"/>
      <c r="B312" s="189"/>
      <c r="C312" s="135"/>
      <c r="D312" s="135"/>
      <c r="E312" s="229"/>
      <c r="F312" s="229"/>
      <c r="G312" s="229"/>
      <c r="H312" s="229"/>
      <c r="I312" s="229"/>
      <c r="J312" s="229"/>
      <c r="K312" s="189"/>
      <c r="L312" s="135"/>
      <c r="M312" s="229"/>
      <c r="N312" s="189"/>
      <c r="O312" s="135"/>
      <c r="P312" s="135"/>
      <c r="Q312" s="135"/>
      <c r="R312" s="135"/>
      <c r="S312" s="135"/>
      <c r="T312" s="135"/>
    </row>
    <row r="313" customFormat="false" ht="15.75" hidden="false" customHeight="true" outlineLevel="0" collapsed="false">
      <c r="A313" s="229"/>
      <c r="B313" s="189"/>
      <c r="C313" s="135"/>
      <c r="D313" s="135"/>
      <c r="E313" s="229"/>
      <c r="F313" s="229"/>
      <c r="G313" s="229"/>
      <c r="H313" s="229"/>
      <c r="I313" s="229"/>
      <c r="J313" s="229"/>
      <c r="K313" s="189"/>
      <c r="L313" s="135"/>
      <c r="M313" s="229"/>
      <c r="N313" s="189"/>
      <c r="O313" s="135"/>
      <c r="P313" s="135"/>
      <c r="Q313" s="135"/>
      <c r="R313" s="135"/>
      <c r="S313" s="135"/>
      <c r="T313" s="135"/>
    </row>
    <row r="314" customFormat="false" ht="15.75" hidden="false" customHeight="true" outlineLevel="0" collapsed="false">
      <c r="A314" s="229"/>
      <c r="B314" s="189"/>
      <c r="C314" s="135"/>
      <c r="D314" s="135"/>
      <c r="E314" s="229"/>
      <c r="F314" s="229"/>
      <c r="G314" s="229"/>
      <c r="H314" s="229"/>
      <c r="I314" s="229"/>
      <c r="J314" s="229"/>
      <c r="K314" s="189"/>
      <c r="L314" s="135"/>
      <c r="M314" s="229"/>
      <c r="N314" s="189"/>
      <c r="O314" s="135"/>
      <c r="P314" s="135"/>
      <c r="Q314" s="135"/>
      <c r="R314" s="135"/>
      <c r="S314" s="135"/>
      <c r="T314" s="135"/>
    </row>
    <row r="315" customFormat="false" ht="15.75" hidden="false" customHeight="true" outlineLevel="0" collapsed="false">
      <c r="A315" s="229"/>
      <c r="B315" s="189"/>
      <c r="C315" s="135"/>
      <c r="D315" s="135"/>
      <c r="E315" s="229"/>
      <c r="F315" s="229"/>
      <c r="G315" s="229"/>
      <c r="H315" s="229"/>
      <c r="I315" s="229"/>
      <c r="J315" s="229"/>
      <c r="K315" s="189"/>
      <c r="L315" s="135"/>
      <c r="M315" s="229"/>
      <c r="N315" s="189"/>
      <c r="O315" s="135"/>
      <c r="P315" s="135"/>
      <c r="Q315" s="135"/>
      <c r="R315" s="135"/>
      <c r="S315" s="135"/>
      <c r="T315" s="135"/>
    </row>
    <row r="316" customFormat="false" ht="15.75" hidden="false" customHeight="true" outlineLevel="0" collapsed="false">
      <c r="A316" s="229"/>
      <c r="B316" s="189"/>
      <c r="C316" s="135"/>
      <c r="D316" s="135"/>
      <c r="E316" s="229"/>
      <c r="F316" s="229"/>
      <c r="G316" s="229"/>
      <c r="H316" s="229"/>
      <c r="I316" s="229"/>
      <c r="J316" s="229"/>
      <c r="K316" s="189"/>
      <c r="L316" s="135"/>
      <c r="M316" s="229"/>
      <c r="N316" s="189"/>
      <c r="O316" s="135"/>
      <c r="P316" s="135"/>
      <c r="Q316" s="135"/>
      <c r="R316" s="135"/>
      <c r="S316" s="135"/>
      <c r="T316" s="135"/>
    </row>
    <row r="317" customFormat="false" ht="15.75" hidden="false" customHeight="true" outlineLevel="0" collapsed="false">
      <c r="A317" s="229"/>
      <c r="B317" s="189"/>
      <c r="C317" s="135"/>
      <c r="D317" s="135"/>
      <c r="E317" s="229"/>
      <c r="F317" s="229"/>
      <c r="G317" s="229"/>
      <c r="H317" s="229"/>
      <c r="I317" s="229"/>
      <c r="J317" s="229"/>
      <c r="K317" s="189"/>
      <c r="L317" s="135"/>
      <c r="M317" s="229"/>
      <c r="N317" s="189"/>
      <c r="O317" s="135"/>
      <c r="P317" s="135"/>
      <c r="Q317" s="135"/>
      <c r="R317" s="135"/>
      <c r="S317" s="135"/>
      <c r="T317" s="135"/>
    </row>
    <row r="318" customFormat="false" ht="15.75" hidden="false" customHeight="true" outlineLevel="0" collapsed="false">
      <c r="A318" s="229"/>
      <c r="B318" s="189"/>
      <c r="C318" s="135"/>
      <c r="D318" s="135"/>
      <c r="E318" s="229"/>
      <c r="F318" s="229"/>
      <c r="G318" s="229"/>
      <c r="H318" s="229"/>
      <c r="I318" s="229"/>
      <c r="J318" s="229"/>
      <c r="K318" s="189"/>
      <c r="L318" s="135"/>
      <c r="M318" s="229"/>
      <c r="N318" s="189"/>
      <c r="O318" s="135"/>
      <c r="P318" s="135"/>
      <c r="Q318" s="135"/>
      <c r="R318" s="135"/>
      <c r="S318" s="135"/>
      <c r="T318" s="135"/>
    </row>
    <row r="319" customFormat="false" ht="15.75" hidden="false" customHeight="true" outlineLevel="0" collapsed="false">
      <c r="A319" s="229"/>
      <c r="B319" s="189"/>
      <c r="C319" s="135"/>
      <c r="D319" s="135"/>
      <c r="E319" s="229"/>
      <c r="F319" s="229"/>
      <c r="G319" s="229"/>
      <c r="H319" s="229"/>
      <c r="I319" s="229"/>
      <c r="J319" s="229"/>
      <c r="K319" s="189"/>
      <c r="L319" s="135"/>
      <c r="M319" s="229"/>
      <c r="N319" s="189"/>
      <c r="O319" s="135"/>
      <c r="P319" s="135"/>
      <c r="Q319" s="135"/>
      <c r="R319" s="135"/>
      <c r="S319" s="135"/>
      <c r="T319" s="135"/>
    </row>
    <row r="320" customFormat="false" ht="15.75" hidden="false" customHeight="true" outlineLevel="0" collapsed="false">
      <c r="A320" s="229"/>
      <c r="B320" s="189"/>
      <c r="C320" s="135"/>
      <c r="D320" s="135"/>
      <c r="E320" s="229"/>
      <c r="F320" s="229"/>
      <c r="G320" s="229"/>
      <c r="H320" s="229"/>
      <c r="I320" s="229"/>
      <c r="J320" s="229"/>
      <c r="K320" s="189"/>
      <c r="L320" s="135"/>
      <c r="M320" s="229"/>
      <c r="N320" s="189"/>
      <c r="O320" s="135"/>
      <c r="P320" s="135"/>
      <c r="Q320" s="135"/>
      <c r="R320" s="135"/>
      <c r="S320" s="135"/>
      <c r="T320" s="135"/>
    </row>
    <row r="321" customFormat="false" ht="15.75" hidden="false" customHeight="true" outlineLevel="0" collapsed="false">
      <c r="A321" s="229"/>
      <c r="B321" s="189"/>
      <c r="C321" s="135"/>
      <c r="D321" s="135"/>
      <c r="E321" s="229"/>
      <c r="F321" s="229"/>
      <c r="G321" s="229"/>
      <c r="H321" s="229"/>
      <c r="I321" s="229"/>
      <c r="J321" s="229"/>
      <c r="K321" s="189"/>
      <c r="L321" s="135"/>
      <c r="M321" s="229"/>
      <c r="N321" s="189"/>
      <c r="O321" s="135"/>
      <c r="P321" s="135"/>
      <c r="Q321" s="135"/>
      <c r="R321" s="135"/>
      <c r="S321" s="135"/>
      <c r="T321" s="135"/>
    </row>
    <row r="322" customFormat="false" ht="15.75" hidden="false" customHeight="true" outlineLevel="0" collapsed="false">
      <c r="A322" s="229"/>
      <c r="B322" s="189"/>
      <c r="C322" s="135"/>
      <c r="D322" s="135"/>
      <c r="E322" s="229"/>
      <c r="F322" s="229"/>
      <c r="G322" s="229"/>
      <c r="H322" s="229"/>
      <c r="I322" s="229"/>
      <c r="J322" s="229"/>
      <c r="K322" s="189"/>
      <c r="L322" s="135"/>
      <c r="M322" s="229"/>
      <c r="N322" s="189"/>
      <c r="O322" s="135"/>
      <c r="P322" s="135"/>
      <c r="Q322" s="135"/>
      <c r="R322" s="135"/>
      <c r="S322" s="135"/>
      <c r="T322" s="135"/>
    </row>
    <row r="323" customFormat="false" ht="15.75" hidden="false" customHeight="true" outlineLevel="0" collapsed="false">
      <c r="A323" s="229"/>
      <c r="B323" s="189"/>
      <c r="C323" s="135"/>
      <c r="D323" s="135"/>
      <c r="E323" s="229"/>
      <c r="F323" s="229"/>
      <c r="G323" s="229"/>
      <c r="H323" s="229"/>
      <c r="I323" s="229"/>
      <c r="J323" s="229"/>
      <c r="K323" s="189"/>
      <c r="L323" s="135"/>
      <c r="M323" s="229"/>
      <c r="N323" s="189"/>
      <c r="O323" s="135"/>
      <c r="P323" s="135"/>
      <c r="Q323" s="135"/>
      <c r="R323" s="135"/>
      <c r="S323" s="135"/>
      <c r="T323" s="135"/>
    </row>
    <row r="324" customFormat="false" ht="15.75" hidden="false" customHeight="true" outlineLevel="0" collapsed="false">
      <c r="A324" s="229"/>
      <c r="B324" s="189"/>
      <c r="C324" s="135"/>
      <c r="D324" s="135"/>
      <c r="E324" s="229"/>
      <c r="F324" s="229"/>
      <c r="G324" s="229"/>
      <c r="H324" s="229"/>
      <c r="I324" s="229"/>
      <c r="J324" s="229"/>
      <c r="K324" s="189"/>
      <c r="L324" s="135"/>
      <c r="M324" s="229"/>
      <c r="N324" s="189"/>
      <c r="O324" s="135"/>
      <c r="P324" s="135"/>
      <c r="Q324" s="135"/>
      <c r="R324" s="135"/>
      <c r="S324" s="135"/>
      <c r="T324" s="135"/>
    </row>
    <row r="325" customFormat="false" ht="15.75" hidden="false" customHeight="true" outlineLevel="0" collapsed="false">
      <c r="A325" s="229"/>
      <c r="B325" s="189"/>
      <c r="C325" s="135"/>
      <c r="D325" s="135"/>
      <c r="E325" s="229"/>
      <c r="F325" s="229"/>
      <c r="G325" s="229"/>
      <c r="H325" s="229"/>
      <c r="I325" s="229"/>
      <c r="J325" s="229"/>
      <c r="K325" s="189"/>
      <c r="L325" s="135"/>
      <c r="M325" s="229"/>
      <c r="N325" s="189"/>
      <c r="O325" s="135"/>
      <c r="P325" s="135"/>
      <c r="Q325" s="135"/>
      <c r="R325" s="135"/>
      <c r="S325" s="135"/>
      <c r="T325" s="135"/>
    </row>
    <row r="326" customFormat="false" ht="15.75" hidden="false" customHeight="true" outlineLevel="0" collapsed="false">
      <c r="A326" s="229"/>
      <c r="B326" s="189"/>
      <c r="C326" s="135"/>
      <c r="D326" s="135"/>
      <c r="E326" s="229"/>
      <c r="F326" s="229"/>
      <c r="G326" s="229"/>
      <c r="H326" s="229"/>
      <c r="I326" s="229"/>
      <c r="J326" s="229"/>
      <c r="K326" s="189"/>
      <c r="L326" s="135"/>
      <c r="M326" s="229"/>
      <c r="N326" s="189"/>
      <c r="O326" s="135"/>
      <c r="P326" s="135"/>
      <c r="Q326" s="135"/>
      <c r="R326" s="135"/>
      <c r="S326" s="135"/>
      <c r="T326" s="135"/>
    </row>
    <row r="327" customFormat="false" ht="15.75" hidden="false" customHeight="true" outlineLevel="0" collapsed="false">
      <c r="A327" s="229"/>
      <c r="B327" s="189"/>
      <c r="C327" s="135"/>
      <c r="D327" s="135"/>
      <c r="E327" s="229"/>
      <c r="F327" s="229"/>
      <c r="G327" s="229"/>
      <c r="H327" s="229"/>
      <c r="I327" s="229"/>
      <c r="J327" s="229"/>
      <c r="K327" s="189"/>
      <c r="L327" s="135"/>
      <c r="M327" s="229"/>
      <c r="N327" s="189"/>
      <c r="O327" s="135"/>
      <c r="P327" s="135"/>
      <c r="Q327" s="135"/>
      <c r="R327" s="135"/>
      <c r="S327" s="135"/>
      <c r="T327" s="135"/>
    </row>
    <row r="328" customFormat="false" ht="15.75" hidden="false" customHeight="true" outlineLevel="0" collapsed="false">
      <c r="A328" s="229"/>
      <c r="B328" s="189"/>
      <c r="C328" s="135"/>
      <c r="D328" s="135"/>
      <c r="E328" s="229"/>
      <c r="F328" s="229"/>
      <c r="G328" s="229"/>
      <c r="H328" s="229"/>
      <c r="I328" s="229"/>
      <c r="J328" s="229"/>
      <c r="K328" s="189"/>
      <c r="L328" s="135"/>
      <c r="M328" s="229"/>
      <c r="N328" s="189"/>
      <c r="O328" s="135"/>
      <c r="P328" s="135"/>
      <c r="Q328" s="135"/>
      <c r="R328" s="135"/>
      <c r="S328" s="135"/>
      <c r="T328" s="135"/>
    </row>
    <row r="329" customFormat="false" ht="15.75" hidden="false" customHeight="true" outlineLevel="0" collapsed="false">
      <c r="A329" s="229"/>
      <c r="B329" s="189"/>
      <c r="C329" s="135"/>
      <c r="D329" s="135"/>
      <c r="E329" s="229"/>
      <c r="F329" s="229"/>
      <c r="G329" s="229"/>
      <c r="H329" s="229"/>
      <c r="I329" s="229"/>
      <c r="J329" s="229"/>
      <c r="K329" s="189"/>
      <c r="L329" s="135"/>
      <c r="M329" s="229"/>
      <c r="N329" s="189"/>
      <c r="O329" s="135"/>
      <c r="P329" s="135"/>
      <c r="Q329" s="135"/>
      <c r="R329" s="135"/>
      <c r="S329" s="135"/>
      <c r="T329" s="135"/>
    </row>
    <row r="330" customFormat="false" ht="15.75" hidden="false" customHeight="true" outlineLevel="0" collapsed="false">
      <c r="A330" s="229"/>
      <c r="B330" s="189"/>
      <c r="C330" s="135"/>
      <c r="D330" s="135"/>
      <c r="E330" s="229"/>
      <c r="F330" s="229"/>
      <c r="G330" s="229"/>
      <c r="H330" s="229"/>
      <c r="I330" s="229"/>
      <c r="J330" s="229"/>
      <c r="K330" s="189"/>
      <c r="L330" s="135"/>
      <c r="M330" s="229"/>
      <c r="N330" s="189"/>
      <c r="O330" s="135"/>
      <c r="P330" s="135"/>
      <c r="Q330" s="135"/>
      <c r="R330" s="135"/>
      <c r="S330" s="135"/>
      <c r="T330" s="135"/>
    </row>
    <row r="331" customFormat="false" ht="15.75" hidden="false" customHeight="true" outlineLevel="0" collapsed="false">
      <c r="A331" s="229"/>
      <c r="B331" s="189"/>
      <c r="C331" s="135"/>
      <c r="D331" s="135"/>
      <c r="E331" s="229"/>
      <c r="F331" s="229"/>
      <c r="G331" s="229"/>
      <c r="H331" s="229"/>
      <c r="I331" s="229"/>
      <c r="J331" s="229"/>
      <c r="K331" s="189"/>
      <c r="L331" s="135"/>
      <c r="M331" s="229"/>
      <c r="N331" s="189"/>
      <c r="O331" s="135"/>
      <c r="P331" s="135"/>
      <c r="Q331" s="135"/>
      <c r="R331" s="135"/>
      <c r="S331" s="135"/>
      <c r="T331" s="135"/>
    </row>
    <row r="332" customFormat="false" ht="15.75" hidden="false" customHeight="true" outlineLevel="0" collapsed="false">
      <c r="A332" s="229"/>
      <c r="B332" s="189"/>
      <c r="C332" s="135"/>
      <c r="D332" s="135"/>
      <c r="E332" s="229"/>
      <c r="F332" s="229"/>
      <c r="G332" s="229"/>
      <c r="H332" s="229"/>
      <c r="I332" s="229"/>
      <c r="J332" s="229"/>
      <c r="K332" s="189"/>
      <c r="L332" s="135"/>
      <c r="M332" s="229"/>
      <c r="N332" s="189"/>
      <c r="O332" s="135"/>
      <c r="P332" s="135"/>
      <c r="Q332" s="135"/>
      <c r="R332" s="135"/>
      <c r="S332" s="135"/>
      <c r="T332" s="135"/>
    </row>
    <row r="333" customFormat="false" ht="15.75" hidden="false" customHeight="true" outlineLevel="0" collapsed="false">
      <c r="A333" s="229"/>
      <c r="B333" s="189"/>
      <c r="C333" s="135"/>
      <c r="D333" s="135"/>
      <c r="E333" s="229"/>
      <c r="F333" s="229"/>
      <c r="G333" s="229"/>
      <c r="H333" s="229"/>
      <c r="I333" s="229"/>
      <c r="J333" s="229"/>
      <c r="K333" s="189"/>
      <c r="L333" s="135"/>
      <c r="M333" s="229"/>
      <c r="N333" s="189"/>
      <c r="O333" s="135"/>
      <c r="P333" s="135"/>
      <c r="Q333" s="135"/>
      <c r="R333" s="135"/>
      <c r="S333" s="135"/>
      <c r="T333" s="135"/>
    </row>
    <row r="334" customFormat="false" ht="15.75" hidden="false" customHeight="true" outlineLevel="0" collapsed="false">
      <c r="A334" s="229"/>
      <c r="B334" s="189"/>
      <c r="C334" s="135"/>
      <c r="D334" s="135"/>
      <c r="E334" s="229"/>
      <c r="F334" s="229"/>
      <c r="G334" s="229"/>
      <c r="H334" s="229"/>
      <c r="I334" s="229"/>
      <c r="J334" s="229"/>
      <c r="K334" s="189"/>
      <c r="L334" s="135"/>
      <c r="M334" s="229"/>
      <c r="N334" s="189"/>
      <c r="O334" s="135"/>
      <c r="P334" s="135"/>
      <c r="Q334" s="135"/>
      <c r="R334" s="135"/>
      <c r="S334" s="135"/>
      <c r="T334" s="135"/>
    </row>
    <row r="335" customFormat="false" ht="15.75" hidden="false" customHeight="true" outlineLevel="0" collapsed="false">
      <c r="A335" s="229"/>
      <c r="B335" s="189"/>
      <c r="C335" s="135"/>
      <c r="D335" s="135"/>
      <c r="E335" s="229"/>
      <c r="F335" s="229"/>
      <c r="G335" s="229"/>
      <c r="H335" s="229"/>
      <c r="I335" s="229"/>
      <c r="J335" s="229"/>
      <c r="K335" s="189"/>
      <c r="L335" s="135"/>
      <c r="M335" s="229"/>
      <c r="N335" s="189"/>
      <c r="O335" s="135"/>
      <c r="P335" s="135"/>
      <c r="Q335" s="135"/>
      <c r="R335" s="135"/>
      <c r="S335" s="135"/>
      <c r="T335" s="135"/>
    </row>
    <row r="336" customFormat="false" ht="15.75" hidden="false" customHeight="true" outlineLevel="0" collapsed="false">
      <c r="A336" s="229"/>
      <c r="B336" s="189"/>
      <c r="C336" s="135"/>
      <c r="D336" s="135"/>
      <c r="E336" s="229"/>
      <c r="F336" s="229"/>
      <c r="G336" s="229"/>
      <c r="H336" s="229"/>
      <c r="I336" s="229"/>
      <c r="J336" s="229"/>
      <c r="K336" s="189"/>
      <c r="L336" s="135"/>
      <c r="M336" s="229"/>
      <c r="N336" s="189"/>
      <c r="O336" s="135"/>
      <c r="P336" s="135"/>
      <c r="Q336" s="135"/>
      <c r="R336" s="135"/>
      <c r="S336" s="135"/>
      <c r="T336" s="135"/>
    </row>
    <row r="337" customFormat="false" ht="15.75" hidden="false" customHeight="true" outlineLevel="0" collapsed="false">
      <c r="A337" s="229"/>
      <c r="B337" s="189"/>
      <c r="C337" s="135"/>
      <c r="D337" s="135"/>
      <c r="E337" s="229"/>
      <c r="F337" s="229"/>
      <c r="G337" s="229"/>
      <c r="H337" s="229"/>
      <c r="I337" s="229"/>
      <c r="J337" s="229"/>
      <c r="K337" s="189"/>
      <c r="L337" s="135"/>
      <c r="M337" s="229"/>
      <c r="N337" s="189"/>
      <c r="O337" s="135"/>
      <c r="P337" s="135"/>
      <c r="Q337" s="135"/>
      <c r="R337" s="135"/>
      <c r="S337" s="135"/>
      <c r="T337" s="135"/>
    </row>
    <row r="338" customFormat="false" ht="15.75" hidden="false" customHeight="true" outlineLevel="0" collapsed="false">
      <c r="A338" s="229"/>
      <c r="B338" s="189"/>
      <c r="C338" s="135"/>
      <c r="D338" s="135"/>
      <c r="E338" s="229"/>
      <c r="F338" s="229"/>
      <c r="G338" s="229"/>
      <c r="H338" s="229"/>
      <c r="I338" s="229"/>
      <c r="J338" s="229"/>
      <c r="K338" s="189"/>
      <c r="L338" s="135"/>
      <c r="M338" s="229"/>
      <c r="N338" s="189"/>
      <c r="O338" s="135"/>
      <c r="P338" s="135"/>
      <c r="Q338" s="135"/>
      <c r="R338" s="135"/>
      <c r="S338" s="135"/>
      <c r="T338" s="135"/>
    </row>
    <row r="339" customFormat="false" ht="15.75" hidden="false" customHeight="true" outlineLevel="0" collapsed="false">
      <c r="A339" s="229"/>
      <c r="B339" s="189"/>
      <c r="C339" s="135"/>
      <c r="D339" s="135"/>
      <c r="E339" s="229"/>
      <c r="F339" s="229"/>
      <c r="G339" s="229"/>
      <c r="H339" s="229"/>
      <c r="I339" s="229"/>
      <c r="J339" s="229"/>
      <c r="K339" s="189"/>
      <c r="L339" s="135"/>
      <c r="M339" s="229"/>
      <c r="N339" s="189"/>
      <c r="O339" s="135"/>
      <c r="P339" s="135"/>
      <c r="Q339" s="135"/>
      <c r="R339" s="135"/>
      <c r="S339" s="135"/>
      <c r="T339" s="135"/>
    </row>
    <row r="340" customFormat="false" ht="15.75" hidden="false" customHeight="true" outlineLevel="0" collapsed="false">
      <c r="A340" s="229"/>
      <c r="B340" s="189"/>
      <c r="C340" s="135"/>
      <c r="D340" s="135"/>
      <c r="E340" s="229"/>
      <c r="F340" s="229"/>
      <c r="G340" s="229"/>
      <c r="H340" s="229"/>
      <c r="I340" s="229"/>
      <c r="J340" s="229"/>
      <c r="K340" s="189"/>
      <c r="L340" s="135"/>
      <c r="M340" s="229"/>
      <c r="N340" s="189"/>
      <c r="O340" s="135"/>
      <c r="P340" s="135"/>
      <c r="Q340" s="135"/>
      <c r="R340" s="135"/>
      <c r="S340" s="135"/>
      <c r="T340" s="135"/>
    </row>
    <row r="341" customFormat="false" ht="15.75" hidden="false" customHeight="true" outlineLevel="0" collapsed="false">
      <c r="A341" s="229"/>
      <c r="B341" s="189"/>
      <c r="C341" s="135"/>
      <c r="D341" s="135"/>
      <c r="E341" s="229"/>
      <c r="F341" s="229"/>
      <c r="G341" s="229"/>
      <c r="H341" s="229"/>
      <c r="I341" s="229"/>
      <c r="J341" s="229"/>
      <c r="K341" s="189"/>
      <c r="L341" s="135"/>
      <c r="M341" s="229"/>
      <c r="N341" s="189"/>
      <c r="O341" s="135"/>
      <c r="P341" s="135"/>
      <c r="Q341" s="135"/>
      <c r="R341" s="135"/>
      <c r="S341" s="135"/>
      <c r="T341" s="135"/>
    </row>
    <row r="342" customFormat="false" ht="15.75" hidden="false" customHeight="true" outlineLevel="0" collapsed="false">
      <c r="A342" s="229"/>
      <c r="B342" s="189"/>
      <c r="C342" s="135"/>
      <c r="D342" s="135"/>
      <c r="E342" s="229"/>
      <c r="F342" s="229"/>
      <c r="G342" s="229"/>
      <c r="H342" s="229"/>
      <c r="I342" s="229"/>
      <c r="J342" s="229"/>
      <c r="K342" s="189"/>
      <c r="L342" s="135"/>
      <c r="M342" s="229"/>
      <c r="N342" s="189"/>
      <c r="O342" s="135"/>
      <c r="P342" s="135"/>
      <c r="Q342" s="135"/>
      <c r="R342" s="135"/>
      <c r="S342" s="135"/>
      <c r="T342" s="135"/>
    </row>
    <row r="343" customFormat="false" ht="15.75" hidden="false" customHeight="true" outlineLevel="0" collapsed="false">
      <c r="A343" s="229"/>
      <c r="B343" s="189"/>
      <c r="C343" s="135"/>
      <c r="D343" s="135"/>
      <c r="E343" s="229"/>
      <c r="F343" s="229"/>
      <c r="G343" s="229"/>
      <c r="H343" s="229"/>
      <c r="I343" s="229"/>
      <c r="J343" s="229"/>
      <c r="K343" s="189"/>
      <c r="L343" s="135"/>
      <c r="M343" s="229"/>
      <c r="N343" s="189"/>
      <c r="O343" s="135"/>
      <c r="P343" s="135"/>
      <c r="Q343" s="135"/>
      <c r="R343" s="135"/>
      <c r="S343" s="135"/>
      <c r="T343" s="135"/>
    </row>
    <row r="344" customFormat="false" ht="15.75" hidden="false" customHeight="true" outlineLevel="0" collapsed="false">
      <c r="A344" s="229"/>
      <c r="B344" s="189"/>
      <c r="C344" s="135"/>
      <c r="D344" s="135"/>
      <c r="E344" s="229"/>
      <c r="F344" s="229"/>
      <c r="G344" s="229"/>
      <c r="H344" s="229"/>
      <c r="I344" s="229"/>
      <c r="J344" s="229"/>
      <c r="K344" s="189"/>
      <c r="L344" s="135"/>
      <c r="M344" s="229"/>
      <c r="N344" s="189"/>
      <c r="O344" s="135"/>
      <c r="P344" s="135"/>
      <c r="Q344" s="135"/>
      <c r="R344" s="135"/>
      <c r="S344" s="135"/>
      <c r="T344" s="135"/>
    </row>
    <row r="345" customFormat="false" ht="15.75" hidden="false" customHeight="true" outlineLevel="0" collapsed="false">
      <c r="A345" s="229"/>
      <c r="B345" s="189"/>
      <c r="C345" s="135"/>
      <c r="D345" s="135"/>
      <c r="E345" s="229"/>
      <c r="F345" s="229"/>
      <c r="G345" s="229"/>
      <c r="H345" s="229"/>
      <c r="I345" s="229"/>
      <c r="J345" s="229"/>
      <c r="K345" s="189"/>
      <c r="L345" s="135"/>
      <c r="M345" s="229"/>
      <c r="N345" s="189"/>
      <c r="O345" s="135"/>
      <c r="P345" s="135"/>
      <c r="Q345" s="135"/>
      <c r="R345" s="135"/>
      <c r="S345" s="135"/>
      <c r="T345" s="135"/>
    </row>
    <row r="346" customFormat="false" ht="15.75" hidden="false" customHeight="true" outlineLevel="0" collapsed="false">
      <c r="A346" s="229"/>
      <c r="B346" s="189"/>
      <c r="C346" s="135"/>
      <c r="D346" s="135"/>
      <c r="E346" s="229"/>
      <c r="F346" s="229"/>
      <c r="G346" s="229"/>
      <c r="H346" s="229"/>
      <c r="I346" s="229"/>
      <c r="J346" s="229"/>
      <c r="K346" s="189"/>
      <c r="L346" s="135"/>
      <c r="M346" s="229"/>
      <c r="N346" s="189"/>
      <c r="O346" s="135"/>
      <c r="P346" s="135"/>
      <c r="Q346" s="135"/>
      <c r="R346" s="135"/>
      <c r="S346" s="135"/>
      <c r="T346" s="135"/>
    </row>
    <row r="347" customFormat="false" ht="15.75" hidden="false" customHeight="true" outlineLevel="0" collapsed="false">
      <c r="A347" s="229"/>
      <c r="B347" s="189"/>
      <c r="C347" s="135"/>
      <c r="D347" s="135"/>
      <c r="E347" s="229"/>
      <c r="F347" s="229"/>
      <c r="G347" s="229"/>
      <c r="H347" s="229"/>
      <c r="I347" s="229"/>
      <c r="J347" s="229"/>
      <c r="K347" s="189"/>
      <c r="L347" s="135"/>
      <c r="M347" s="229"/>
      <c r="N347" s="189"/>
      <c r="O347" s="135"/>
      <c r="P347" s="135"/>
      <c r="Q347" s="135"/>
      <c r="R347" s="135"/>
      <c r="S347" s="135"/>
      <c r="T347" s="135"/>
    </row>
    <row r="348" customFormat="false" ht="15.75" hidden="false" customHeight="true" outlineLevel="0" collapsed="false">
      <c r="A348" s="229"/>
      <c r="B348" s="189"/>
      <c r="C348" s="135"/>
      <c r="D348" s="135"/>
      <c r="E348" s="229"/>
      <c r="F348" s="229"/>
      <c r="G348" s="229"/>
      <c r="H348" s="229"/>
      <c r="I348" s="229"/>
      <c r="J348" s="229"/>
      <c r="K348" s="189"/>
      <c r="L348" s="135"/>
      <c r="M348" s="229"/>
      <c r="N348" s="189"/>
      <c r="O348" s="135"/>
      <c r="P348" s="135"/>
      <c r="Q348" s="135"/>
      <c r="R348" s="135"/>
      <c r="S348" s="135"/>
      <c r="T348" s="135"/>
    </row>
    <row r="349" customFormat="false" ht="15.75" hidden="false" customHeight="true" outlineLevel="0" collapsed="false">
      <c r="A349" s="229"/>
      <c r="B349" s="189"/>
      <c r="C349" s="135"/>
      <c r="D349" s="135"/>
      <c r="E349" s="229"/>
      <c r="F349" s="229"/>
      <c r="G349" s="229"/>
      <c r="H349" s="229"/>
      <c r="I349" s="229"/>
      <c r="J349" s="229"/>
      <c r="K349" s="189"/>
      <c r="L349" s="135"/>
      <c r="M349" s="229"/>
      <c r="N349" s="189"/>
      <c r="O349" s="135"/>
      <c r="P349" s="135"/>
      <c r="Q349" s="135"/>
      <c r="R349" s="135"/>
      <c r="S349" s="135"/>
      <c r="T349" s="135"/>
    </row>
    <row r="350" customFormat="false" ht="15.75" hidden="false" customHeight="true" outlineLevel="0" collapsed="false">
      <c r="A350" s="229"/>
      <c r="B350" s="189"/>
      <c r="C350" s="135"/>
      <c r="D350" s="135"/>
      <c r="E350" s="229"/>
      <c r="F350" s="229"/>
      <c r="G350" s="229"/>
      <c r="H350" s="229"/>
      <c r="I350" s="229"/>
      <c r="J350" s="229"/>
      <c r="K350" s="189"/>
      <c r="L350" s="135"/>
      <c r="M350" s="229"/>
      <c r="N350" s="189"/>
      <c r="O350" s="135"/>
      <c r="P350" s="135"/>
      <c r="Q350" s="135"/>
      <c r="R350" s="135"/>
      <c r="S350" s="135"/>
      <c r="T350" s="135"/>
    </row>
    <row r="351" customFormat="false" ht="15.75" hidden="false" customHeight="true" outlineLevel="0" collapsed="false">
      <c r="A351" s="229"/>
      <c r="B351" s="189"/>
      <c r="C351" s="135"/>
      <c r="D351" s="135"/>
      <c r="E351" s="229"/>
      <c r="F351" s="229"/>
      <c r="G351" s="229"/>
      <c r="H351" s="229"/>
      <c r="I351" s="229"/>
      <c r="J351" s="229"/>
      <c r="K351" s="189"/>
      <c r="L351" s="135"/>
      <c r="M351" s="229"/>
      <c r="N351" s="189"/>
      <c r="O351" s="135"/>
      <c r="P351" s="135"/>
      <c r="Q351" s="135"/>
      <c r="R351" s="135"/>
      <c r="S351" s="135"/>
      <c r="T351" s="135"/>
    </row>
    <row r="352" customFormat="false" ht="15.75" hidden="false" customHeight="true" outlineLevel="0" collapsed="false">
      <c r="A352" s="229"/>
      <c r="B352" s="189"/>
      <c r="C352" s="135"/>
      <c r="D352" s="135"/>
      <c r="E352" s="229"/>
      <c r="F352" s="229"/>
      <c r="G352" s="229"/>
      <c r="H352" s="229"/>
      <c r="I352" s="229"/>
      <c r="J352" s="229"/>
      <c r="K352" s="189"/>
      <c r="L352" s="135"/>
      <c r="M352" s="229"/>
      <c r="N352" s="189"/>
      <c r="O352" s="135"/>
      <c r="P352" s="135"/>
      <c r="Q352" s="135"/>
      <c r="R352" s="135"/>
      <c r="S352" s="135"/>
      <c r="T352" s="135"/>
    </row>
    <row r="353" customFormat="false" ht="15.75" hidden="false" customHeight="true" outlineLevel="0" collapsed="false">
      <c r="A353" s="229"/>
      <c r="B353" s="189"/>
      <c r="C353" s="135"/>
      <c r="D353" s="135"/>
      <c r="E353" s="229"/>
      <c r="F353" s="229"/>
      <c r="G353" s="229"/>
      <c r="H353" s="229"/>
      <c r="I353" s="229"/>
      <c r="J353" s="229"/>
      <c r="K353" s="189"/>
      <c r="L353" s="135"/>
      <c r="M353" s="229"/>
      <c r="N353" s="189"/>
      <c r="O353" s="135"/>
      <c r="P353" s="135"/>
      <c r="Q353" s="135"/>
      <c r="R353" s="135"/>
      <c r="S353" s="135"/>
      <c r="T353" s="135"/>
    </row>
    <row r="354" customFormat="false" ht="15.75" hidden="false" customHeight="true" outlineLevel="0" collapsed="false">
      <c r="A354" s="229"/>
      <c r="B354" s="189"/>
      <c r="C354" s="135"/>
      <c r="D354" s="135"/>
      <c r="E354" s="229"/>
      <c r="F354" s="229"/>
      <c r="G354" s="229"/>
      <c r="H354" s="229"/>
      <c r="I354" s="229"/>
      <c r="J354" s="229"/>
      <c r="K354" s="189"/>
      <c r="L354" s="135"/>
      <c r="M354" s="229"/>
      <c r="N354" s="189"/>
      <c r="O354" s="135"/>
      <c r="P354" s="135"/>
      <c r="Q354" s="135"/>
      <c r="R354" s="135"/>
      <c r="S354" s="135"/>
      <c r="T354" s="135"/>
    </row>
    <row r="355" customFormat="false" ht="15.75" hidden="false" customHeight="true" outlineLevel="0" collapsed="false">
      <c r="A355" s="229"/>
      <c r="B355" s="189"/>
      <c r="C355" s="135"/>
      <c r="D355" s="135"/>
      <c r="E355" s="229"/>
      <c r="F355" s="229"/>
      <c r="G355" s="229"/>
      <c r="H355" s="229"/>
      <c r="I355" s="229"/>
      <c r="J355" s="229"/>
      <c r="K355" s="189"/>
      <c r="L355" s="135"/>
      <c r="M355" s="229"/>
      <c r="N355" s="189"/>
      <c r="O355" s="135"/>
      <c r="P355" s="135"/>
      <c r="Q355" s="135"/>
      <c r="R355" s="135"/>
      <c r="S355" s="135"/>
      <c r="T355" s="135"/>
    </row>
    <row r="356" customFormat="false" ht="15.75" hidden="false" customHeight="true" outlineLevel="0" collapsed="false">
      <c r="A356" s="229"/>
      <c r="B356" s="189"/>
      <c r="C356" s="135"/>
      <c r="D356" s="135"/>
      <c r="E356" s="229"/>
      <c r="F356" s="229"/>
      <c r="G356" s="229"/>
      <c r="H356" s="229"/>
      <c r="I356" s="229"/>
      <c r="J356" s="229"/>
      <c r="K356" s="189"/>
      <c r="L356" s="135"/>
      <c r="M356" s="229"/>
      <c r="N356" s="189"/>
      <c r="O356" s="135"/>
      <c r="P356" s="135"/>
      <c r="Q356" s="135"/>
      <c r="R356" s="135"/>
      <c r="S356" s="135"/>
      <c r="T356" s="135"/>
    </row>
    <row r="357" customFormat="false" ht="15.75" hidden="false" customHeight="true" outlineLevel="0" collapsed="false">
      <c r="A357" s="229"/>
      <c r="B357" s="189"/>
      <c r="C357" s="135"/>
      <c r="D357" s="135"/>
      <c r="E357" s="229"/>
      <c r="F357" s="229"/>
      <c r="G357" s="229"/>
      <c r="H357" s="229"/>
      <c r="I357" s="229"/>
      <c r="J357" s="229"/>
      <c r="K357" s="189"/>
      <c r="L357" s="135"/>
      <c r="M357" s="229"/>
      <c r="N357" s="189"/>
      <c r="O357" s="135"/>
      <c r="P357" s="135"/>
      <c r="Q357" s="135"/>
      <c r="R357" s="135"/>
      <c r="S357" s="135"/>
      <c r="T357" s="135"/>
    </row>
    <row r="358" customFormat="false" ht="15.75" hidden="false" customHeight="true" outlineLevel="0" collapsed="false">
      <c r="A358" s="229"/>
      <c r="B358" s="189"/>
      <c r="C358" s="135"/>
      <c r="D358" s="135"/>
      <c r="E358" s="229"/>
      <c r="F358" s="229"/>
      <c r="G358" s="229"/>
      <c r="H358" s="229"/>
      <c r="I358" s="229"/>
      <c r="J358" s="229"/>
      <c r="K358" s="189"/>
      <c r="L358" s="135"/>
      <c r="M358" s="229"/>
      <c r="N358" s="189"/>
      <c r="O358" s="135"/>
      <c r="P358" s="135"/>
      <c r="Q358" s="135"/>
      <c r="R358" s="135"/>
      <c r="S358" s="135"/>
      <c r="T358" s="135"/>
    </row>
    <row r="359" customFormat="false" ht="15.75" hidden="false" customHeight="true" outlineLevel="0" collapsed="false">
      <c r="A359" s="229"/>
      <c r="B359" s="189"/>
      <c r="C359" s="135"/>
      <c r="D359" s="135"/>
      <c r="E359" s="229"/>
      <c r="F359" s="229"/>
      <c r="G359" s="229"/>
      <c r="H359" s="229"/>
      <c r="I359" s="229"/>
      <c r="J359" s="229"/>
      <c r="K359" s="189"/>
      <c r="L359" s="135"/>
      <c r="M359" s="229"/>
      <c r="N359" s="189"/>
      <c r="O359" s="135"/>
      <c r="P359" s="135"/>
      <c r="Q359" s="135"/>
      <c r="R359" s="135"/>
      <c r="S359" s="135"/>
      <c r="T359" s="135"/>
    </row>
    <row r="360" customFormat="false" ht="15.75" hidden="false" customHeight="true" outlineLevel="0" collapsed="false">
      <c r="A360" s="229"/>
      <c r="B360" s="189"/>
      <c r="C360" s="135"/>
      <c r="D360" s="135"/>
      <c r="E360" s="229"/>
      <c r="F360" s="229"/>
      <c r="G360" s="229"/>
      <c r="H360" s="229"/>
      <c r="I360" s="229"/>
      <c r="J360" s="229"/>
      <c r="K360" s="189"/>
      <c r="L360" s="135"/>
      <c r="M360" s="229"/>
      <c r="N360" s="189"/>
      <c r="O360" s="135"/>
      <c r="P360" s="135"/>
      <c r="Q360" s="135"/>
      <c r="R360" s="135"/>
      <c r="S360" s="135"/>
      <c r="T360" s="135"/>
    </row>
    <row r="361" customFormat="false" ht="15.75" hidden="false" customHeight="true" outlineLevel="0" collapsed="false">
      <c r="A361" s="229"/>
      <c r="B361" s="189"/>
      <c r="C361" s="135"/>
      <c r="D361" s="135"/>
      <c r="E361" s="229"/>
      <c r="F361" s="229"/>
      <c r="G361" s="229"/>
      <c r="H361" s="229"/>
      <c r="I361" s="229"/>
      <c r="J361" s="229"/>
      <c r="K361" s="189"/>
      <c r="L361" s="135"/>
      <c r="M361" s="229"/>
      <c r="N361" s="189"/>
      <c r="O361" s="135"/>
      <c r="P361" s="135"/>
      <c r="Q361" s="135"/>
      <c r="R361" s="135"/>
      <c r="S361" s="135"/>
      <c r="T361" s="135"/>
    </row>
    <row r="362" customFormat="false" ht="15.75" hidden="false" customHeight="true" outlineLevel="0" collapsed="false">
      <c r="A362" s="229"/>
      <c r="B362" s="189"/>
      <c r="C362" s="135"/>
      <c r="D362" s="135"/>
      <c r="E362" s="229"/>
      <c r="F362" s="229"/>
      <c r="G362" s="229"/>
      <c r="H362" s="229"/>
      <c r="I362" s="229"/>
      <c r="J362" s="229"/>
      <c r="K362" s="189"/>
      <c r="L362" s="135"/>
      <c r="M362" s="229"/>
      <c r="N362" s="189"/>
      <c r="O362" s="135"/>
      <c r="P362" s="135"/>
      <c r="Q362" s="135"/>
      <c r="R362" s="135"/>
      <c r="S362" s="135"/>
      <c r="T362" s="135"/>
    </row>
    <row r="363" customFormat="false" ht="15.75" hidden="false" customHeight="true" outlineLevel="0" collapsed="false">
      <c r="A363" s="229"/>
      <c r="B363" s="189"/>
      <c r="C363" s="135"/>
      <c r="D363" s="135"/>
      <c r="E363" s="229"/>
      <c r="F363" s="229"/>
      <c r="G363" s="229"/>
      <c r="H363" s="229"/>
      <c r="I363" s="229"/>
      <c r="J363" s="229"/>
      <c r="K363" s="189"/>
      <c r="L363" s="135"/>
      <c r="M363" s="229"/>
      <c r="N363" s="189"/>
      <c r="O363" s="135"/>
      <c r="P363" s="135"/>
      <c r="Q363" s="135"/>
      <c r="R363" s="135"/>
      <c r="S363" s="135"/>
      <c r="T363" s="135"/>
    </row>
    <row r="364" customFormat="false" ht="15.75" hidden="false" customHeight="true" outlineLevel="0" collapsed="false">
      <c r="A364" s="229"/>
      <c r="B364" s="189"/>
      <c r="C364" s="135"/>
      <c r="D364" s="135"/>
      <c r="E364" s="229"/>
      <c r="F364" s="229"/>
      <c r="G364" s="229"/>
      <c r="H364" s="229"/>
      <c r="I364" s="229"/>
      <c r="J364" s="229"/>
      <c r="K364" s="189"/>
      <c r="L364" s="135"/>
      <c r="M364" s="229"/>
      <c r="N364" s="189"/>
      <c r="O364" s="135"/>
      <c r="P364" s="135"/>
      <c r="Q364" s="135"/>
      <c r="R364" s="135"/>
      <c r="S364" s="135"/>
      <c r="T364" s="135"/>
    </row>
    <row r="365" customFormat="false" ht="15.75" hidden="false" customHeight="true" outlineLevel="0" collapsed="false">
      <c r="A365" s="229"/>
      <c r="B365" s="189"/>
      <c r="C365" s="135"/>
      <c r="D365" s="135"/>
      <c r="E365" s="229"/>
      <c r="F365" s="229"/>
      <c r="G365" s="229"/>
      <c r="H365" s="229"/>
      <c r="I365" s="229"/>
      <c r="J365" s="229"/>
      <c r="K365" s="189"/>
      <c r="L365" s="135"/>
      <c r="M365" s="229"/>
      <c r="N365" s="189"/>
      <c r="O365" s="135"/>
      <c r="P365" s="135"/>
      <c r="Q365" s="135"/>
      <c r="R365" s="135"/>
      <c r="S365" s="135"/>
      <c r="T365" s="135"/>
    </row>
    <row r="366" customFormat="false" ht="15.75" hidden="false" customHeight="true" outlineLevel="0" collapsed="false">
      <c r="A366" s="229"/>
      <c r="B366" s="189"/>
      <c r="C366" s="135"/>
      <c r="D366" s="135"/>
      <c r="E366" s="229"/>
      <c r="F366" s="229"/>
      <c r="G366" s="229"/>
      <c r="H366" s="229"/>
      <c r="I366" s="229"/>
      <c r="J366" s="229"/>
      <c r="K366" s="189"/>
      <c r="L366" s="135"/>
      <c r="M366" s="229"/>
      <c r="N366" s="189"/>
      <c r="O366" s="135"/>
      <c r="P366" s="135"/>
      <c r="Q366" s="135"/>
      <c r="R366" s="135"/>
      <c r="S366" s="135"/>
      <c r="T366" s="135"/>
    </row>
    <row r="367" customFormat="false" ht="15.75" hidden="false" customHeight="true" outlineLevel="0" collapsed="false">
      <c r="A367" s="229"/>
      <c r="B367" s="189"/>
      <c r="C367" s="135"/>
      <c r="D367" s="135"/>
      <c r="E367" s="229"/>
      <c r="F367" s="229"/>
      <c r="G367" s="229"/>
      <c r="H367" s="229"/>
      <c r="I367" s="229"/>
      <c r="J367" s="229"/>
      <c r="K367" s="189"/>
      <c r="L367" s="135"/>
      <c r="M367" s="229"/>
      <c r="N367" s="189"/>
      <c r="O367" s="135"/>
      <c r="P367" s="135"/>
      <c r="Q367" s="135"/>
      <c r="R367" s="135"/>
      <c r="S367" s="135"/>
      <c r="T367" s="135"/>
    </row>
    <row r="368" customFormat="false" ht="15.75" hidden="false" customHeight="true" outlineLevel="0" collapsed="false">
      <c r="A368" s="229"/>
      <c r="B368" s="189"/>
      <c r="C368" s="135"/>
      <c r="D368" s="135"/>
      <c r="E368" s="229"/>
      <c r="F368" s="229"/>
      <c r="G368" s="229"/>
      <c r="H368" s="229"/>
      <c r="I368" s="229"/>
      <c r="J368" s="229"/>
      <c r="K368" s="189"/>
      <c r="L368" s="135"/>
      <c r="M368" s="229"/>
      <c r="N368" s="189"/>
      <c r="O368" s="135"/>
      <c r="P368" s="135"/>
      <c r="Q368" s="135"/>
      <c r="R368" s="135"/>
      <c r="S368" s="135"/>
      <c r="T368" s="135"/>
    </row>
    <row r="369" customFormat="false" ht="15.75" hidden="false" customHeight="true" outlineLevel="0" collapsed="false">
      <c r="A369" s="229"/>
      <c r="B369" s="189"/>
      <c r="C369" s="135"/>
      <c r="D369" s="135"/>
      <c r="E369" s="229"/>
      <c r="F369" s="229"/>
      <c r="G369" s="229"/>
      <c r="H369" s="229"/>
      <c r="I369" s="229"/>
      <c r="J369" s="229"/>
      <c r="K369" s="189"/>
      <c r="L369" s="135"/>
      <c r="M369" s="229"/>
      <c r="N369" s="189"/>
      <c r="O369" s="135"/>
      <c r="P369" s="135"/>
      <c r="Q369" s="135"/>
      <c r="R369" s="135"/>
      <c r="S369" s="135"/>
      <c r="T369" s="135"/>
    </row>
    <row r="370" customFormat="false" ht="15.75" hidden="false" customHeight="true" outlineLevel="0" collapsed="false">
      <c r="A370" s="229"/>
      <c r="B370" s="189"/>
      <c r="C370" s="135"/>
      <c r="D370" s="135"/>
      <c r="E370" s="229"/>
      <c r="F370" s="229"/>
      <c r="G370" s="229"/>
      <c r="H370" s="229"/>
      <c r="I370" s="229"/>
      <c r="J370" s="229"/>
      <c r="K370" s="189"/>
      <c r="L370" s="135"/>
      <c r="M370" s="229"/>
      <c r="N370" s="189"/>
      <c r="O370" s="135"/>
      <c r="P370" s="135"/>
      <c r="Q370" s="135"/>
      <c r="R370" s="135"/>
      <c r="S370" s="135"/>
      <c r="T370" s="135"/>
    </row>
    <row r="371" customFormat="false" ht="15.75" hidden="false" customHeight="true" outlineLevel="0" collapsed="false">
      <c r="A371" s="229"/>
      <c r="B371" s="189"/>
      <c r="C371" s="135"/>
      <c r="D371" s="135"/>
      <c r="E371" s="229"/>
      <c r="F371" s="229"/>
      <c r="G371" s="229"/>
      <c r="H371" s="229"/>
      <c r="I371" s="229"/>
      <c r="J371" s="229"/>
      <c r="K371" s="189"/>
      <c r="L371" s="135"/>
      <c r="M371" s="229"/>
      <c r="N371" s="189"/>
      <c r="O371" s="135"/>
      <c r="P371" s="135"/>
      <c r="Q371" s="135"/>
      <c r="R371" s="135"/>
      <c r="S371" s="135"/>
      <c r="T371" s="135"/>
    </row>
    <row r="372" customFormat="false" ht="15.75" hidden="false" customHeight="true" outlineLevel="0" collapsed="false">
      <c r="A372" s="229"/>
      <c r="B372" s="189"/>
      <c r="C372" s="135"/>
      <c r="D372" s="135"/>
      <c r="E372" s="229"/>
      <c r="F372" s="229"/>
      <c r="G372" s="229"/>
      <c r="H372" s="229"/>
      <c r="I372" s="229"/>
      <c r="J372" s="229"/>
      <c r="K372" s="189"/>
      <c r="L372" s="135"/>
      <c r="M372" s="229"/>
      <c r="N372" s="189"/>
      <c r="O372" s="135"/>
      <c r="P372" s="135"/>
      <c r="Q372" s="135"/>
      <c r="R372" s="135"/>
      <c r="S372" s="135"/>
      <c r="T372" s="135"/>
    </row>
    <row r="373" customFormat="false" ht="15.75" hidden="false" customHeight="true" outlineLevel="0" collapsed="false">
      <c r="A373" s="229"/>
      <c r="B373" s="189"/>
      <c r="C373" s="135"/>
      <c r="D373" s="135"/>
      <c r="E373" s="229"/>
      <c r="F373" s="229"/>
      <c r="G373" s="229"/>
      <c r="H373" s="229"/>
      <c r="I373" s="229"/>
      <c r="J373" s="229"/>
      <c r="K373" s="189"/>
      <c r="L373" s="135"/>
      <c r="M373" s="229"/>
      <c r="N373" s="189"/>
      <c r="O373" s="135"/>
      <c r="P373" s="135"/>
      <c r="Q373" s="135"/>
      <c r="R373" s="135"/>
      <c r="S373" s="135"/>
      <c r="T373" s="135"/>
    </row>
    <row r="374" customFormat="false" ht="15.75" hidden="false" customHeight="true" outlineLevel="0" collapsed="false">
      <c r="A374" s="229"/>
      <c r="B374" s="189"/>
      <c r="C374" s="135"/>
      <c r="D374" s="135"/>
      <c r="E374" s="229"/>
      <c r="F374" s="229"/>
      <c r="G374" s="229"/>
      <c r="H374" s="229"/>
      <c r="I374" s="229"/>
      <c r="J374" s="229"/>
      <c r="K374" s="189"/>
      <c r="L374" s="135"/>
      <c r="M374" s="229"/>
      <c r="N374" s="189"/>
      <c r="O374" s="135"/>
      <c r="P374" s="135"/>
      <c r="Q374" s="135"/>
      <c r="R374" s="135"/>
      <c r="S374" s="135"/>
      <c r="T374" s="135"/>
    </row>
    <row r="375" customFormat="false" ht="15.75" hidden="false" customHeight="true" outlineLevel="0" collapsed="false">
      <c r="A375" s="229"/>
      <c r="B375" s="189"/>
      <c r="C375" s="135"/>
      <c r="D375" s="135"/>
      <c r="E375" s="229"/>
      <c r="F375" s="229"/>
      <c r="G375" s="229"/>
      <c r="H375" s="229"/>
      <c r="I375" s="229"/>
      <c r="J375" s="229"/>
      <c r="K375" s="189"/>
      <c r="L375" s="135"/>
      <c r="M375" s="229"/>
      <c r="N375" s="189"/>
      <c r="O375" s="135"/>
      <c r="P375" s="135"/>
      <c r="Q375" s="135"/>
      <c r="R375" s="135"/>
      <c r="S375" s="135"/>
      <c r="T375" s="135"/>
    </row>
    <row r="376" customFormat="false" ht="15.75" hidden="false" customHeight="true" outlineLevel="0" collapsed="false">
      <c r="A376" s="229"/>
      <c r="B376" s="189"/>
      <c r="C376" s="135"/>
      <c r="D376" s="135"/>
      <c r="E376" s="229"/>
      <c r="F376" s="229"/>
      <c r="G376" s="229"/>
      <c r="H376" s="229"/>
      <c r="I376" s="229"/>
      <c r="J376" s="229"/>
      <c r="K376" s="189"/>
      <c r="L376" s="135"/>
      <c r="M376" s="229"/>
      <c r="N376" s="189"/>
      <c r="O376" s="135"/>
      <c r="P376" s="135"/>
      <c r="Q376" s="135"/>
      <c r="R376" s="135"/>
      <c r="S376" s="135"/>
      <c r="T376" s="135"/>
    </row>
    <row r="377" customFormat="false" ht="15.75" hidden="false" customHeight="true" outlineLevel="0" collapsed="false">
      <c r="A377" s="229"/>
      <c r="B377" s="189"/>
      <c r="C377" s="135"/>
      <c r="D377" s="135"/>
      <c r="E377" s="229"/>
      <c r="F377" s="229"/>
      <c r="G377" s="229"/>
      <c r="H377" s="229"/>
      <c r="I377" s="229"/>
      <c r="J377" s="229"/>
      <c r="K377" s="189"/>
      <c r="L377" s="135"/>
      <c r="M377" s="229"/>
      <c r="N377" s="189"/>
      <c r="O377" s="135"/>
      <c r="P377" s="135"/>
      <c r="Q377" s="135"/>
      <c r="R377" s="135"/>
      <c r="S377" s="135"/>
      <c r="T377" s="135"/>
    </row>
    <row r="378" customFormat="false" ht="15.75" hidden="false" customHeight="true" outlineLevel="0" collapsed="false">
      <c r="A378" s="229"/>
      <c r="B378" s="189"/>
      <c r="C378" s="135"/>
      <c r="D378" s="135"/>
      <c r="E378" s="229"/>
      <c r="F378" s="229"/>
      <c r="G378" s="229"/>
      <c r="H378" s="229"/>
      <c r="I378" s="229"/>
      <c r="J378" s="229"/>
      <c r="K378" s="189"/>
      <c r="L378" s="135"/>
      <c r="M378" s="229"/>
      <c r="N378" s="189"/>
      <c r="O378" s="135"/>
      <c r="P378" s="135"/>
      <c r="Q378" s="135"/>
      <c r="R378" s="135"/>
      <c r="S378" s="135"/>
      <c r="T378" s="135"/>
    </row>
    <row r="379" customFormat="false" ht="15.75" hidden="false" customHeight="true" outlineLevel="0" collapsed="false">
      <c r="A379" s="229"/>
      <c r="B379" s="189"/>
      <c r="C379" s="135"/>
      <c r="D379" s="135"/>
      <c r="E379" s="229"/>
      <c r="F379" s="229"/>
      <c r="G379" s="229"/>
      <c r="H379" s="229"/>
      <c r="I379" s="229"/>
      <c r="J379" s="229"/>
      <c r="K379" s="189"/>
      <c r="L379" s="135"/>
      <c r="M379" s="229"/>
      <c r="N379" s="189"/>
      <c r="O379" s="135"/>
      <c r="P379" s="135"/>
      <c r="Q379" s="135"/>
      <c r="R379" s="135"/>
      <c r="S379" s="135"/>
      <c r="T379" s="135"/>
    </row>
    <row r="380" customFormat="false" ht="15.75" hidden="false" customHeight="true" outlineLevel="0" collapsed="false">
      <c r="A380" s="229"/>
      <c r="B380" s="189"/>
      <c r="C380" s="135"/>
      <c r="D380" s="135"/>
      <c r="E380" s="229"/>
      <c r="F380" s="229"/>
      <c r="G380" s="229"/>
      <c r="H380" s="229"/>
      <c r="I380" s="229"/>
      <c r="J380" s="229"/>
      <c r="K380" s="189"/>
      <c r="L380" s="135"/>
      <c r="M380" s="229"/>
      <c r="N380" s="189"/>
      <c r="O380" s="135"/>
      <c r="P380" s="135"/>
      <c r="Q380" s="135"/>
      <c r="R380" s="135"/>
      <c r="S380" s="135"/>
      <c r="T380" s="135"/>
    </row>
    <row r="381" customFormat="false" ht="15.75" hidden="false" customHeight="true" outlineLevel="0" collapsed="false">
      <c r="A381" s="229"/>
      <c r="B381" s="189"/>
      <c r="C381" s="135"/>
      <c r="D381" s="135"/>
      <c r="E381" s="229"/>
      <c r="F381" s="229"/>
      <c r="G381" s="229"/>
      <c r="H381" s="229"/>
      <c r="I381" s="229"/>
      <c r="J381" s="229"/>
      <c r="K381" s="189"/>
      <c r="L381" s="135"/>
      <c r="M381" s="229"/>
      <c r="N381" s="189"/>
      <c r="O381" s="135"/>
      <c r="P381" s="135"/>
      <c r="Q381" s="135"/>
      <c r="R381" s="135"/>
      <c r="S381" s="135"/>
      <c r="T381" s="135"/>
    </row>
    <row r="382" customFormat="false" ht="15.75" hidden="false" customHeight="true" outlineLevel="0" collapsed="false">
      <c r="A382" s="229"/>
      <c r="B382" s="189"/>
      <c r="C382" s="135"/>
      <c r="D382" s="135"/>
      <c r="E382" s="229"/>
      <c r="F382" s="229"/>
      <c r="G382" s="229"/>
      <c r="H382" s="229"/>
      <c r="I382" s="229"/>
      <c r="J382" s="229"/>
      <c r="K382" s="189"/>
      <c r="L382" s="135"/>
      <c r="M382" s="229"/>
      <c r="N382" s="189"/>
      <c r="O382" s="135"/>
      <c r="P382" s="135"/>
      <c r="Q382" s="135"/>
      <c r="R382" s="135"/>
      <c r="S382" s="135"/>
      <c r="T382" s="135"/>
    </row>
    <row r="383" customFormat="false" ht="15.75" hidden="false" customHeight="true" outlineLevel="0" collapsed="false">
      <c r="A383" s="229"/>
      <c r="B383" s="189"/>
      <c r="C383" s="135"/>
      <c r="D383" s="135"/>
      <c r="E383" s="229"/>
      <c r="F383" s="229"/>
      <c r="G383" s="229"/>
      <c r="H383" s="229"/>
      <c r="I383" s="229"/>
      <c r="J383" s="229"/>
      <c r="K383" s="189"/>
      <c r="L383" s="135"/>
      <c r="M383" s="229"/>
      <c r="N383" s="189"/>
      <c r="O383" s="135"/>
      <c r="P383" s="135"/>
      <c r="Q383" s="135"/>
      <c r="R383" s="135"/>
      <c r="S383" s="135"/>
      <c r="T383" s="135"/>
    </row>
    <row r="384" customFormat="false" ht="15.75" hidden="false" customHeight="true" outlineLevel="0" collapsed="false">
      <c r="A384" s="229"/>
      <c r="B384" s="189"/>
      <c r="C384" s="135"/>
      <c r="D384" s="135"/>
      <c r="E384" s="229"/>
      <c r="F384" s="229"/>
      <c r="G384" s="229"/>
      <c r="H384" s="229"/>
      <c r="I384" s="229"/>
      <c r="J384" s="229"/>
      <c r="K384" s="189"/>
      <c r="L384" s="135"/>
      <c r="M384" s="229"/>
      <c r="N384" s="189"/>
      <c r="O384" s="135"/>
      <c r="P384" s="135"/>
      <c r="Q384" s="135"/>
      <c r="R384" s="135"/>
      <c r="S384" s="135"/>
      <c r="T384" s="135"/>
    </row>
    <row r="385" customFormat="false" ht="15.75" hidden="false" customHeight="true" outlineLevel="0" collapsed="false">
      <c r="A385" s="229"/>
      <c r="B385" s="189"/>
      <c r="C385" s="135"/>
      <c r="D385" s="135"/>
      <c r="E385" s="229"/>
      <c r="F385" s="229"/>
      <c r="G385" s="229"/>
      <c r="H385" s="229"/>
      <c r="I385" s="229"/>
      <c r="J385" s="229"/>
      <c r="K385" s="189"/>
      <c r="L385" s="135"/>
      <c r="M385" s="229"/>
      <c r="N385" s="189"/>
      <c r="O385" s="135"/>
      <c r="P385" s="135"/>
      <c r="Q385" s="135"/>
      <c r="R385" s="135"/>
      <c r="S385" s="135"/>
      <c r="T385" s="135"/>
    </row>
    <row r="386" customFormat="false" ht="15.75" hidden="false" customHeight="true" outlineLevel="0" collapsed="false">
      <c r="A386" s="229"/>
      <c r="B386" s="189"/>
      <c r="C386" s="135"/>
      <c r="D386" s="135"/>
      <c r="E386" s="229"/>
      <c r="F386" s="229"/>
      <c r="G386" s="229"/>
      <c r="H386" s="229"/>
      <c r="I386" s="229"/>
      <c r="J386" s="229"/>
      <c r="K386" s="189"/>
      <c r="L386" s="135"/>
      <c r="M386" s="229"/>
      <c r="N386" s="189"/>
      <c r="O386" s="135"/>
      <c r="P386" s="135"/>
      <c r="Q386" s="135"/>
      <c r="R386" s="135"/>
      <c r="S386" s="135"/>
      <c r="T386" s="135"/>
    </row>
    <row r="387" customFormat="false" ht="15.75" hidden="false" customHeight="true" outlineLevel="0" collapsed="false">
      <c r="A387" s="229"/>
      <c r="B387" s="189"/>
      <c r="C387" s="135"/>
      <c r="D387" s="135"/>
      <c r="E387" s="229"/>
      <c r="F387" s="229"/>
      <c r="G387" s="229"/>
      <c r="H387" s="229"/>
      <c r="I387" s="229"/>
      <c r="J387" s="229"/>
      <c r="K387" s="189"/>
      <c r="L387" s="135"/>
      <c r="M387" s="229"/>
      <c r="N387" s="189"/>
      <c r="O387" s="135"/>
      <c r="P387" s="135"/>
      <c r="Q387" s="135"/>
      <c r="R387" s="135"/>
      <c r="S387" s="135"/>
      <c r="T387" s="135"/>
    </row>
    <row r="388" customFormat="false" ht="15.75" hidden="false" customHeight="true" outlineLevel="0" collapsed="false">
      <c r="A388" s="229"/>
      <c r="B388" s="189"/>
      <c r="C388" s="135"/>
      <c r="D388" s="135"/>
      <c r="E388" s="229"/>
      <c r="F388" s="229"/>
      <c r="G388" s="229"/>
      <c r="H388" s="229"/>
      <c r="I388" s="229"/>
      <c r="J388" s="229"/>
      <c r="K388" s="189"/>
      <c r="L388" s="135"/>
      <c r="M388" s="229"/>
      <c r="N388" s="189"/>
      <c r="O388" s="135"/>
      <c r="P388" s="135"/>
      <c r="Q388" s="135"/>
      <c r="R388" s="135"/>
      <c r="S388" s="135"/>
      <c r="T388" s="135"/>
    </row>
    <row r="389" customFormat="false" ht="15.75" hidden="false" customHeight="true" outlineLevel="0" collapsed="false">
      <c r="A389" s="229"/>
      <c r="B389" s="189"/>
      <c r="C389" s="135"/>
      <c r="D389" s="135"/>
      <c r="E389" s="229"/>
      <c r="F389" s="229"/>
      <c r="G389" s="229"/>
      <c r="H389" s="229"/>
      <c r="I389" s="229"/>
      <c r="J389" s="229"/>
      <c r="K389" s="189"/>
      <c r="L389" s="135"/>
      <c r="M389" s="229"/>
      <c r="N389" s="189"/>
      <c r="O389" s="135"/>
      <c r="P389" s="135"/>
      <c r="Q389" s="135"/>
      <c r="R389" s="135"/>
      <c r="S389" s="135"/>
      <c r="T389" s="135"/>
    </row>
    <row r="390" customFormat="false" ht="15.75" hidden="false" customHeight="true" outlineLevel="0" collapsed="false">
      <c r="A390" s="229"/>
      <c r="B390" s="189"/>
      <c r="C390" s="135"/>
      <c r="D390" s="135"/>
      <c r="E390" s="229"/>
      <c r="F390" s="229"/>
      <c r="G390" s="229"/>
      <c r="H390" s="229"/>
      <c r="I390" s="229"/>
      <c r="J390" s="229"/>
      <c r="K390" s="189"/>
      <c r="L390" s="135"/>
      <c r="M390" s="229"/>
      <c r="N390" s="189"/>
      <c r="O390" s="135"/>
      <c r="P390" s="135"/>
      <c r="Q390" s="135"/>
      <c r="R390" s="135"/>
      <c r="S390" s="135"/>
      <c r="T390" s="135"/>
    </row>
    <row r="391" customFormat="false" ht="15.75" hidden="false" customHeight="true" outlineLevel="0" collapsed="false">
      <c r="A391" s="229"/>
      <c r="B391" s="189"/>
      <c r="C391" s="135"/>
      <c r="D391" s="135"/>
      <c r="E391" s="229"/>
      <c r="F391" s="229"/>
      <c r="G391" s="229"/>
      <c r="H391" s="229"/>
      <c r="I391" s="229"/>
      <c r="J391" s="229"/>
      <c r="K391" s="189"/>
      <c r="L391" s="135"/>
      <c r="M391" s="229"/>
      <c r="N391" s="189"/>
      <c r="O391" s="135"/>
      <c r="P391" s="135"/>
      <c r="Q391" s="135"/>
      <c r="R391" s="135"/>
      <c r="S391" s="135"/>
      <c r="T391" s="135"/>
    </row>
    <row r="392" customFormat="false" ht="15.75" hidden="false" customHeight="true" outlineLevel="0" collapsed="false">
      <c r="A392" s="229"/>
      <c r="B392" s="189"/>
      <c r="C392" s="135"/>
      <c r="D392" s="135"/>
      <c r="E392" s="229"/>
      <c r="F392" s="229"/>
      <c r="G392" s="229"/>
      <c r="H392" s="229"/>
      <c r="I392" s="229"/>
      <c r="J392" s="229"/>
      <c r="K392" s="189"/>
      <c r="L392" s="135"/>
      <c r="M392" s="229"/>
      <c r="N392" s="189"/>
      <c r="O392" s="135"/>
      <c r="P392" s="135"/>
      <c r="Q392" s="135"/>
      <c r="R392" s="135"/>
      <c r="S392" s="135"/>
      <c r="T392" s="135"/>
    </row>
    <row r="393" customFormat="false" ht="15.75" hidden="false" customHeight="true" outlineLevel="0" collapsed="false">
      <c r="A393" s="229"/>
      <c r="B393" s="189"/>
      <c r="C393" s="135"/>
      <c r="D393" s="135"/>
      <c r="E393" s="229"/>
      <c r="F393" s="229"/>
      <c r="G393" s="229"/>
      <c r="H393" s="229"/>
      <c r="I393" s="229"/>
      <c r="J393" s="229"/>
      <c r="K393" s="189"/>
      <c r="L393" s="135"/>
      <c r="M393" s="229"/>
      <c r="N393" s="189"/>
      <c r="O393" s="135"/>
      <c r="P393" s="135"/>
      <c r="Q393" s="135"/>
      <c r="R393" s="135"/>
      <c r="S393" s="135"/>
      <c r="T393" s="135"/>
    </row>
    <row r="394" customFormat="false" ht="15.75" hidden="false" customHeight="true" outlineLevel="0" collapsed="false">
      <c r="A394" s="229"/>
      <c r="B394" s="189"/>
      <c r="C394" s="135"/>
      <c r="D394" s="135"/>
      <c r="E394" s="229"/>
      <c r="F394" s="229"/>
      <c r="G394" s="229"/>
      <c r="H394" s="229"/>
      <c r="I394" s="229"/>
      <c r="J394" s="229"/>
      <c r="K394" s="189"/>
      <c r="L394" s="135"/>
      <c r="M394" s="229"/>
      <c r="N394" s="189"/>
      <c r="O394" s="135"/>
      <c r="P394" s="135"/>
      <c r="Q394" s="135"/>
      <c r="R394" s="135"/>
      <c r="S394" s="135"/>
      <c r="T394" s="135"/>
    </row>
    <row r="395" customFormat="false" ht="15.75" hidden="false" customHeight="true" outlineLevel="0" collapsed="false">
      <c r="A395" s="229"/>
      <c r="B395" s="189"/>
      <c r="C395" s="135"/>
      <c r="D395" s="135"/>
      <c r="E395" s="229"/>
      <c r="F395" s="229"/>
      <c r="G395" s="229"/>
      <c r="H395" s="229"/>
      <c r="I395" s="229"/>
      <c r="J395" s="229"/>
      <c r="K395" s="189"/>
      <c r="L395" s="135"/>
      <c r="M395" s="229"/>
      <c r="N395" s="189"/>
      <c r="O395" s="135"/>
      <c r="P395" s="135"/>
      <c r="Q395" s="135"/>
      <c r="R395" s="135"/>
      <c r="S395" s="135"/>
      <c r="T395" s="135"/>
    </row>
    <row r="396" customFormat="false" ht="15.75" hidden="false" customHeight="true" outlineLevel="0" collapsed="false">
      <c r="A396" s="229"/>
      <c r="B396" s="189"/>
      <c r="C396" s="135"/>
      <c r="D396" s="135"/>
      <c r="E396" s="229"/>
      <c r="F396" s="229"/>
      <c r="G396" s="229"/>
      <c r="H396" s="229"/>
      <c r="I396" s="229"/>
      <c r="J396" s="229"/>
      <c r="K396" s="189"/>
      <c r="L396" s="135"/>
      <c r="M396" s="229"/>
      <c r="N396" s="189"/>
      <c r="O396" s="135"/>
      <c r="P396" s="135"/>
      <c r="Q396" s="135"/>
      <c r="R396" s="135"/>
      <c r="S396" s="135"/>
      <c r="T396" s="135"/>
    </row>
    <row r="397" customFormat="false" ht="15.75" hidden="false" customHeight="true" outlineLevel="0" collapsed="false">
      <c r="A397" s="229"/>
      <c r="B397" s="189"/>
      <c r="C397" s="135"/>
      <c r="D397" s="135"/>
      <c r="E397" s="229"/>
      <c r="F397" s="229"/>
      <c r="G397" s="229"/>
      <c r="H397" s="229"/>
      <c r="I397" s="229"/>
      <c r="J397" s="229"/>
      <c r="K397" s="189"/>
      <c r="L397" s="135"/>
      <c r="M397" s="229"/>
      <c r="N397" s="189"/>
      <c r="O397" s="135"/>
      <c r="P397" s="135"/>
      <c r="Q397" s="135"/>
      <c r="R397" s="135"/>
      <c r="S397" s="135"/>
      <c r="T397" s="135"/>
    </row>
    <row r="398" customFormat="false" ht="15.75" hidden="false" customHeight="true" outlineLevel="0" collapsed="false">
      <c r="A398" s="229"/>
      <c r="B398" s="189"/>
      <c r="C398" s="135"/>
      <c r="D398" s="135"/>
      <c r="E398" s="229"/>
      <c r="F398" s="229"/>
      <c r="G398" s="229"/>
      <c r="H398" s="229"/>
      <c r="I398" s="229"/>
      <c r="J398" s="229"/>
      <c r="K398" s="189"/>
      <c r="L398" s="135"/>
      <c r="M398" s="229"/>
      <c r="N398" s="189"/>
      <c r="O398" s="135"/>
      <c r="P398" s="135"/>
      <c r="Q398" s="135"/>
      <c r="R398" s="135"/>
      <c r="S398" s="135"/>
      <c r="T398" s="135"/>
    </row>
    <row r="399" customFormat="false" ht="15.75" hidden="false" customHeight="true" outlineLevel="0" collapsed="false">
      <c r="A399" s="229"/>
      <c r="B399" s="189"/>
      <c r="C399" s="135"/>
      <c r="D399" s="135"/>
      <c r="E399" s="229"/>
      <c r="F399" s="229"/>
      <c r="G399" s="229"/>
      <c r="H399" s="229"/>
      <c r="I399" s="229"/>
      <c r="J399" s="229"/>
      <c r="K399" s="189"/>
      <c r="L399" s="135"/>
      <c r="M399" s="229"/>
      <c r="N399" s="189"/>
      <c r="O399" s="135"/>
      <c r="P399" s="135"/>
      <c r="Q399" s="135"/>
      <c r="R399" s="135"/>
      <c r="S399" s="135"/>
      <c r="T399" s="135"/>
    </row>
    <row r="400" customFormat="false" ht="15.75" hidden="false" customHeight="true" outlineLevel="0" collapsed="false">
      <c r="A400" s="229"/>
      <c r="B400" s="189"/>
      <c r="C400" s="135"/>
      <c r="D400" s="135"/>
      <c r="E400" s="229"/>
      <c r="F400" s="229"/>
      <c r="G400" s="229"/>
      <c r="H400" s="229"/>
      <c r="I400" s="229"/>
      <c r="J400" s="229"/>
      <c r="K400" s="189"/>
      <c r="L400" s="135"/>
      <c r="M400" s="229"/>
      <c r="N400" s="189"/>
      <c r="O400" s="135"/>
      <c r="P400" s="135"/>
      <c r="Q400" s="135"/>
      <c r="R400" s="135"/>
      <c r="S400" s="135"/>
      <c r="T400" s="135"/>
    </row>
    <row r="401" customFormat="false" ht="15.75" hidden="false" customHeight="true" outlineLevel="0" collapsed="false">
      <c r="A401" s="229"/>
      <c r="B401" s="189"/>
      <c r="C401" s="135"/>
      <c r="D401" s="135"/>
      <c r="E401" s="229"/>
      <c r="F401" s="229"/>
      <c r="G401" s="229"/>
      <c r="H401" s="229"/>
      <c r="I401" s="229"/>
      <c r="J401" s="229"/>
      <c r="K401" s="189"/>
      <c r="L401" s="135"/>
      <c r="M401" s="229"/>
      <c r="N401" s="189"/>
      <c r="O401" s="135"/>
      <c r="P401" s="135"/>
      <c r="Q401" s="135"/>
      <c r="R401" s="135"/>
      <c r="S401" s="135"/>
      <c r="T401" s="135"/>
    </row>
    <row r="402" customFormat="false" ht="15.75" hidden="false" customHeight="true" outlineLevel="0" collapsed="false">
      <c r="A402" s="229"/>
      <c r="B402" s="189"/>
      <c r="C402" s="135"/>
      <c r="D402" s="135"/>
      <c r="E402" s="229"/>
      <c r="F402" s="229"/>
      <c r="G402" s="229"/>
      <c r="H402" s="229"/>
      <c r="I402" s="229"/>
      <c r="J402" s="229"/>
      <c r="K402" s="189"/>
      <c r="L402" s="135"/>
      <c r="M402" s="229"/>
      <c r="N402" s="189"/>
      <c r="O402" s="135"/>
      <c r="P402" s="135"/>
      <c r="Q402" s="135"/>
      <c r="R402" s="135"/>
      <c r="S402" s="135"/>
      <c r="T402" s="135"/>
    </row>
    <row r="403" customFormat="false" ht="15.75" hidden="false" customHeight="true" outlineLevel="0" collapsed="false">
      <c r="A403" s="229"/>
      <c r="B403" s="189"/>
      <c r="C403" s="135"/>
      <c r="D403" s="135"/>
      <c r="E403" s="229"/>
      <c r="F403" s="229"/>
      <c r="G403" s="229"/>
      <c r="H403" s="229"/>
      <c r="I403" s="229"/>
      <c r="J403" s="229"/>
      <c r="K403" s="189"/>
      <c r="L403" s="135"/>
      <c r="M403" s="229"/>
      <c r="N403" s="189"/>
      <c r="O403" s="135"/>
      <c r="P403" s="135"/>
      <c r="Q403" s="135"/>
      <c r="R403" s="135"/>
      <c r="S403" s="135"/>
      <c r="T403" s="135"/>
    </row>
    <row r="404" customFormat="false" ht="15.75" hidden="false" customHeight="true" outlineLevel="0" collapsed="false">
      <c r="A404" s="229"/>
      <c r="B404" s="189"/>
      <c r="C404" s="135"/>
      <c r="D404" s="135"/>
      <c r="E404" s="229"/>
      <c r="F404" s="229"/>
      <c r="G404" s="229"/>
      <c r="H404" s="229"/>
      <c r="I404" s="229"/>
      <c r="J404" s="229"/>
      <c r="K404" s="189"/>
      <c r="L404" s="135"/>
      <c r="M404" s="229"/>
      <c r="N404" s="189"/>
      <c r="O404" s="135"/>
      <c r="P404" s="135"/>
      <c r="Q404" s="135"/>
      <c r="R404" s="135"/>
      <c r="S404" s="135"/>
      <c r="T404" s="135"/>
    </row>
    <row r="405" customFormat="false" ht="15.75" hidden="false" customHeight="true" outlineLevel="0" collapsed="false">
      <c r="A405" s="229"/>
      <c r="B405" s="189"/>
      <c r="C405" s="135"/>
      <c r="D405" s="135"/>
      <c r="E405" s="229"/>
      <c r="F405" s="229"/>
      <c r="G405" s="229"/>
      <c r="H405" s="229"/>
      <c r="I405" s="229"/>
      <c r="J405" s="229"/>
      <c r="K405" s="189"/>
      <c r="L405" s="135"/>
      <c r="M405" s="229"/>
      <c r="N405" s="189"/>
      <c r="O405" s="135"/>
      <c r="P405" s="135"/>
      <c r="Q405" s="135"/>
      <c r="R405" s="135"/>
      <c r="S405" s="135"/>
      <c r="T405" s="135"/>
    </row>
    <row r="406" customFormat="false" ht="15.75" hidden="false" customHeight="true" outlineLevel="0" collapsed="false">
      <c r="A406" s="229"/>
      <c r="B406" s="189"/>
      <c r="C406" s="135"/>
      <c r="D406" s="135"/>
      <c r="E406" s="229"/>
      <c r="F406" s="229"/>
      <c r="G406" s="229"/>
      <c r="H406" s="229"/>
      <c r="I406" s="229"/>
      <c r="J406" s="229"/>
      <c r="K406" s="189"/>
      <c r="L406" s="135"/>
      <c r="M406" s="229"/>
      <c r="N406" s="189"/>
      <c r="O406" s="135"/>
      <c r="P406" s="135"/>
      <c r="Q406" s="135"/>
      <c r="R406" s="135"/>
      <c r="S406" s="135"/>
      <c r="T406" s="135"/>
    </row>
    <row r="407" customFormat="false" ht="15.75" hidden="false" customHeight="true" outlineLevel="0" collapsed="false">
      <c r="A407" s="229"/>
      <c r="B407" s="189"/>
      <c r="C407" s="135"/>
      <c r="D407" s="135"/>
      <c r="E407" s="229"/>
      <c r="F407" s="229"/>
      <c r="G407" s="229"/>
      <c r="H407" s="229"/>
      <c r="I407" s="229"/>
      <c r="J407" s="229"/>
      <c r="K407" s="189"/>
      <c r="L407" s="135"/>
      <c r="M407" s="229"/>
      <c r="N407" s="189"/>
      <c r="O407" s="135"/>
      <c r="P407" s="135"/>
      <c r="Q407" s="135"/>
      <c r="R407" s="135"/>
      <c r="S407" s="135"/>
      <c r="T407" s="135"/>
    </row>
    <row r="408" customFormat="false" ht="15.75" hidden="false" customHeight="true" outlineLevel="0" collapsed="false">
      <c r="A408" s="229"/>
      <c r="B408" s="189"/>
      <c r="C408" s="135"/>
      <c r="D408" s="135"/>
      <c r="E408" s="229"/>
      <c r="F408" s="229"/>
      <c r="G408" s="229"/>
      <c r="H408" s="229"/>
      <c r="I408" s="229"/>
      <c r="J408" s="229"/>
      <c r="K408" s="189"/>
      <c r="L408" s="135"/>
      <c r="M408" s="229"/>
      <c r="N408" s="189"/>
      <c r="O408" s="135"/>
      <c r="P408" s="135"/>
      <c r="Q408" s="135"/>
      <c r="R408" s="135"/>
      <c r="S408" s="135"/>
      <c r="T408" s="135"/>
    </row>
    <row r="409" customFormat="false" ht="15.75" hidden="false" customHeight="true" outlineLevel="0" collapsed="false">
      <c r="A409" s="229"/>
      <c r="B409" s="189"/>
      <c r="C409" s="135"/>
      <c r="D409" s="135"/>
      <c r="E409" s="229"/>
      <c r="F409" s="229"/>
      <c r="G409" s="229"/>
      <c r="H409" s="229"/>
      <c r="I409" s="229"/>
      <c r="J409" s="229"/>
      <c r="K409" s="189"/>
      <c r="L409" s="135"/>
      <c r="M409" s="229"/>
      <c r="N409" s="189"/>
      <c r="O409" s="135"/>
      <c r="P409" s="135"/>
      <c r="Q409" s="135"/>
      <c r="R409" s="135"/>
      <c r="S409" s="135"/>
      <c r="T409" s="135"/>
    </row>
    <row r="410" customFormat="false" ht="15.75" hidden="false" customHeight="true" outlineLevel="0" collapsed="false">
      <c r="A410" s="229"/>
      <c r="B410" s="189"/>
      <c r="C410" s="135"/>
      <c r="D410" s="135"/>
      <c r="E410" s="229"/>
      <c r="F410" s="229"/>
      <c r="G410" s="229"/>
      <c r="H410" s="229"/>
      <c r="I410" s="229"/>
      <c r="J410" s="229"/>
      <c r="K410" s="189"/>
      <c r="L410" s="135"/>
      <c r="M410" s="229"/>
      <c r="N410" s="189"/>
      <c r="O410" s="135"/>
      <c r="P410" s="135"/>
      <c r="Q410" s="135"/>
      <c r="R410" s="135"/>
      <c r="S410" s="135"/>
      <c r="T410" s="135"/>
    </row>
    <row r="411" customFormat="false" ht="15.75" hidden="false" customHeight="true" outlineLevel="0" collapsed="false">
      <c r="A411" s="229"/>
      <c r="B411" s="189"/>
      <c r="C411" s="135"/>
      <c r="D411" s="135"/>
      <c r="E411" s="229"/>
      <c r="F411" s="229"/>
      <c r="G411" s="229"/>
      <c r="H411" s="229"/>
      <c r="I411" s="229"/>
      <c r="J411" s="229"/>
      <c r="K411" s="189"/>
      <c r="L411" s="135"/>
      <c r="M411" s="229"/>
      <c r="N411" s="189"/>
      <c r="O411" s="135"/>
      <c r="P411" s="135"/>
      <c r="Q411" s="135"/>
      <c r="R411" s="135"/>
      <c r="S411" s="135"/>
      <c r="T411" s="135"/>
    </row>
    <row r="412" customFormat="false" ht="15.75" hidden="false" customHeight="true" outlineLevel="0" collapsed="false">
      <c r="A412" s="229"/>
      <c r="B412" s="189"/>
      <c r="C412" s="135"/>
      <c r="D412" s="135"/>
      <c r="E412" s="229"/>
      <c r="F412" s="229"/>
      <c r="G412" s="229"/>
      <c r="H412" s="229"/>
      <c r="I412" s="229"/>
      <c r="J412" s="229"/>
      <c r="K412" s="189"/>
      <c r="L412" s="135"/>
      <c r="M412" s="229"/>
      <c r="N412" s="189"/>
      <c r="O412" s="135"/>
      <c r="P412" s="135"/>
      <c r="Q412" s="135"/>
      <c r="R412" s="135"/>
      <c r="S412" s="135"/>
      <c r="T412" s="135"/>
    </row>
    <row r="413" customFormat="false" ht="15.75" hidden="false" customHeight="true" outlineLevel="0" collapsed="false">
      <c r="A413" s="229"/>
      <c r="B413" s="189"/>
      <c r="C413" s="135"/>
      <c r="D413" s="135"/>
      <c r="E413" s="229"/>
      <c r="F413" s="229"/>
      <c r="G413" s="229"/>
      <c r="H413" s="229"/>
      <c r="I413" s="229"/>
      <c r="J413" s="229"/>
      <c r="K413" s="189"/>
      <c r="L413" s="135"/>
      <c r="M413" s="229"/>
      <c r="N413" s="189"/>
      <c r="O413" s="135"/>
      <c r="P413" s="135"/>
      <c r="Q413" s="135"/>
      <c r="R413" s="135"/>
      <c r="S413" s="135"/>
      <c r="T413" s="135"/>
    </row>
    <row r="414" customFormat="false" ht="15.75" hidden="false" customHeight="true" outlineLevel="0" collapsed="false">
      <c r="A414" s="229"/>
      <c r="B414" s="189"/>
      <c r="C414" s="135"/>
      <c r="D414" s="135"/>
      <c r="E414" s="229"/>
      <c r="F414" s="229"/>
      <c r="G414" s="229"/>
      <c r="H414" s="229"/>
      <c r="I414" s="229"/>
      <c r="J414" s="229"/>
      <c r="K414" s="189"/>
      <c r="L414" s="135"/>
      <c r="M414" s="229"/>
      <c r="N414" s="189"/>
      <c r="O414" s="135"/>
      <c r="P414" s="135"/>
      <c r="Q414" s="135"/>
      <c r="R414" s="135"/>
      <c r="S414" s="135"/>
      <c r="T414" s="135"/>
    </row>
    <row r="415" customFormat="false" ht="15.75" hidden="false" customHeight="true" outlineLevel="0" collapsed="false">
      <c r="A415" s="229"/>
      <c r="B415" s="189"/>
      <c r="C415" s="135"/>
      <c r="D415" s="135"/>
      <c r="E415" s="229"/>
      <c r="F415" s="229"/>
      <c r="G415" s="229"/>
      <c r="H415" s="229"/>
      <c r="I415" s="229"/>
      <c r="J415" s="229"/>
      <c r="K415" s="189"/>
      <c r="L415" s="135"/>
      <c r="M415" s="229"/>
      <c r="N415" s="189"/>
      <c r="O415" s="135"/>
      <c r="P415" s="135"/>
      <c r="Q415" s="135"/>
      <c r="R415" s="135"/>
      <c r="S415" s="135"/>
      <c r="T415" s="135"/>
    </row>
    <row r="416" customFormat="false" ht="15.75" hidden="false" customHeight="true" outlineLevel="0" collapsed="false">
      <c r="A416" s="229"/>
      <c r="B416" s="189"/>
      <c r="C416" s="135"/>
      <c r="D416" s="135"/>
      <c r="E416" s="229"/>
      <c r="F416" s="229"/>
      <c r="G416" s="229"/>
      <c r="H416" s="229"/>
      <c r="I416" s="229"/>
      <c r="J416" s="229"/>
      <c r="K416" s="189"/>
      <c r="L416" s="135"/>
      <c r="M416" s="229"/>
      <c r="N416" s="189"/>
      <c r="O416" s="135"/>
      <c r="P416" s="135"/>
      <c r="Q416" s="135"/>
      <c r="R416" s="135"/>
      <c r="S416" s="135"/>
      <c r="T416" s="135"/>
    </row>
    <row r="417" customFormat="false" ht="15.75" hidden="false" customHeight="true" outlineLevel="0" collapsed="false">
      <c r="A417" s="229"/>
      <c r="B417" s="189"/>
      <c r="C417" s="135"/>
      <c r="D417" s="135"/>
      <c r="E417" s="229"/>
      <c r="F417" s="229"/>
      <c r="G417" s="229"/>
      <c r="H417" s="229"/>
      <c r="I417" s="229"/>
      <c r="J417" s="229"/>
      <c r="K417" s="189"/>
      <c r="L417" s="135"/>
      <c r="M417" s="229"/>
      <c r="N417" s="189"/>
      <c r="O417" s="135"/>
      <c r="P417" s="135"/>
      <c r="Q417" s="135"/>
      <c r="R417" s="135"/>
      <c r="S417" s="135"/>
      <c r="T417" s="135"/>
    </row>
    <row r="418" customFormat="false" ht="15.75" hidden="false" customHeight="true" outlineLevel="0" collapsed="false">
      <c r="A418" s="229"/>
      <c r="B418" s="189"/>
      <c r="C418" s="135"/>
      <c r="D418" s="135"/>
      <c r="E418" s="229"/>
      <c r="F418" s="229"/>
      <c r="G418" s="229"/>
      <c r="H418" s="229"/>
      <c r="I418" s="229"/>
      <c r="J418" s="229"/>
      <c r="K418" s="189"/>
      <c r="L418" s="135"/>
      <c r="M418" s="229"/>
      <c r="N418" s="189"/>
      <c r="O418" s="135"/>
      <c r="P418" s="135"/>
      <c r="Q418" s="135"/>
      <c r="R418" s="135"/>
      <c r="S418" s="135"/>
      <c r="T418" s="135"/>
    </row>
    <row r="419" customFormat="false" ht="15.75" hidden="false" customHeight="true" outlineLevel="0" collapsed="false">
      <c r="A419" s="229"/>
      <c r="B419" s="189"/>
      <c r="C419" s="135"/>
      <c r="D419" s="135"/>
      <c r="E419" s="229"/>
      <c r="F419" s="229"/>
      <c r="G419" s="229"/>
      <c r="H419" s="229"/>
      <c r="I419" s="229"/>
      <c r="J419" s="229"/>
      <c r="K419" s="189"/>
      <c r="L419" s="135"/>
      <c r="M419" s="229"/>
      <c r="N419" s="189"/>
      <c r="O419" s="135"/>
      <c r="P419" s="135"/>
      <c r="Q419" s="135"/>
      <c r="R419" s="135"/>
      <c r="S419" s="135"/>
      <c r="T419" s="135"/>
    </row>
    <row r="420" customFormat="false" ht="15.75" hidden="false" customHeight="true" outlineLevel="0" collapsed="false">
      <c r="A420" s="229"/>
      <c r="B420" s="189"/>
      <c r="C420" s="135"/>
      <c r="D420" s="135"/>
      <c r="E420" s="229"/>
      <c r="F420" s="229"/>
      <c r="G420" s="229"/>
      <c r="H420" s="229"/>
      <c r="I420" s="229"/>
      <c r="J420" s="229"/>
      <c r="K420" s="189"/>
      <c r="L420" s="135"/>
      <c r="M420" s="229"/>
      <c r="N420" s="189"/>
      <c r="O420" s="135"/>
      <c r="P420" s="135"/>
      <c r="Q420" s="135"/>
      <c r="R420" s="135"/>
      <c r="S420" s="135"/>
      <c r="T420" s="135"/>
    </row>
    <row r="421" customFormat="false" ht="15.75" hidden="false" customHeight="true" outlineLevel="0" collapsed="false">
      <c r="A421" s="229"/>
      <c r="B421" s="189"/>
      <c r="C421" s="135"/>
      <c r="D421" s="135"/>
      <c r="E421" s="229"/>
      <c r="F421" s="229"/>
      <c r="G421" s="229"/>
      <c r="H421" s="229"/>
      <c r="I421" s="229"/>
      <c r="J421" s="229"/>
      <c r="K421" s="189"/>
      <c r="L421" s="135"/>
      <c r="M421" s="229"/>
      <c r="N421" s="189"/>
      <c r="O421" s="135"/>
      <c r="P421" s="135"/>
      <c r="Q421" s="135"/>
      <c r="R421" s="135"/>
      <c r="S421" s="135"/>
      <c r="T421" s="135"/>
    </row>
    <row r="422" customFormat="false" ht="15.75" hidden="false" customHeight="true" outlineLevel="0" collapsed="false">
      <c r="A422" s="229"/>
      <c r="B422" s="189"/>
      <c r="C422" s="135"/>
      <c r="D422" s="135"/>
      <c r="E422" s="229"/>
      <c r="F422" s="229"/>
      <c r="G422" s="229"/>
      <c r="H422" s="229"/>
      <c r="I422" s="229"/>
      <c r="J422" s="229"/>
      <c r="K422" s="189"/>
      <c r="L422" s="135"/>
      <c r="M422" s="229"/>
      <c r="N422" s="189"/>
      <c r="O422" s="135"/>
      <c r="P422" s="135"/>
      <c r="Q422" s="135"/>
      <c r="R422" s="135"/>
      <c r="S422" s="135"/>
      <c r="T422" s="135"/>
    </row>
    <row r="423" customFormat="false" ht="15.75" hidden="false" customHeight="true" outlineLevel="0" collapsed="false">
      <c r="A423" s="229"/>
      <c r="B423" s="189"/>
      <c r="C423" s="135"/>
      <c r="D423" s="135"/>
      <c r="E423" s="229"/>
      <c r="F423" s="229"/>
      <c r="G423" s="229"/>
      <c r="H423" s="229"/>
      <c r="I423" s="229"/>
      <c r="J423" s="229"/>
      <c r="K423" s="189"/>
      <c r="L423" s="135"/>
      <c r="M423" s="229"/>
      <c r="N423" s="189"/>
      <c r="O423" s="135"/>
      <c r="P423" s="135"/>
      <c r="Q423" s="135"/>
      <c r="R423" s="135"/>
      <c r="S423" s="135"/>
      <c r="T423" s="135"/>
    </row>
    <row r="424" customFormat="false" ht="15.75" hidden="false" customHeight="true" outlineLevel="0" collapsed="false">
      <c r="A424" s="229"/>
      <c r="B424" s="189"/>
      <c r="C424" s="135"/>
      <c r="D424" s="135"/>
      <c r="E424" s="229"/>
      <c r="F424" s="229"/>
      <c r="G424" s="229"/>
      <c r="H424" s="229"/>
      <c r="I424" s="229"/>
      <c r="J424" s="229"/>
      <c r="K424" s="189"/>
      <c r="L424" s="135"/>
      <c r="M424" s="229"/>
      <c r="N424" s="189"/>
      <c r="O424" s="135"/>
      <c r="P424" s="135"/>
      <c r="Q424" s="135"/>
      <c r="R424" s="135"/>
      <c r="S424" s="135"/>
      <c r="T424" s="135"/>
    </row>
    <row r="425" customFormat="false" ht="15.75" hidden="false" customHeight="true" outlineLevel="0" collapsed="false">
      <c r="A425" s="229"/>
      <c r="B425" s="189"/>
      <c r="C425" s="135"/>
      <c r="D425" s="135"/>
      <c r="E425" s="229"/>
      <c r="F425" s="229"/>
      <c r="G425" s="229"/>
      <c r="H425" s="229"/>
      <c r="I425" s="229"/>
      <c r="J425" s="229"/>
      <c r="K425" s="189"/>
      <c r="L425" s="135"/>
      <c r="M425" s="229"/>
      <c r="N425" s="189"/>
      <c r="O425" s="135"/>
      <c r="P425" s="135"/>
      <c r="Q425" s="135"/>
      <c r="R425" s="135"/>
      <c r="S425" s="135"/>
      <c r="T425" s="135"/>
    </row>
    <row r="426" customFormat="false" ht="15.75" hidden="false" customHeight="true" outlineLevel="0" collapsed="false">
      <c r="A426" s="229"/>
      <c r="B426" s="189"/>
      <c r="C426" s="135"/>
      <c r="D426" s="135"/>
      <c r="E426" s="229"/>
      <c r="F426" s="229"/>
      <c r="G426" s="229"/>
      <c r="H426" s="229"/>
      <c r="I426" s="229"/>
      <c r="J426" s="229"/>
      <c r="K426" s="189"/>
      <c r="L426" s="135"/>
      <c r="M426" s="229"/>
      <c r="N426" s="189"/>
      <c r="O426" s="135"/>
      <c r="P426" s="135"/>
      <c r="Q426" s="135"/>
      <c r="R426" s="135"/>
      <c r="S426" s="135"/>
      <c r="T426" s="135"/>
    </row>
    <row r="427" customFormat="false" ht="15.75" hidden="false" customHeight="true" outlineLevel="0" collapsed="false">
      <c r="A427" s="229"/>
      <c r="B427" s="189"/>
      <c r="C427" s="135"/>
      <c r="D427" s="135"/>
      <c r="E427" s="229"/>
      <c r="F427" s="229"/>
      <c r="G427" s="229"/>
      <c r="H427" s="229"/>
      <c r="I427" s="229"/>
      <c r="J427" s="229"/>
      <c r="K427" s="189"/>
      <c r="L427" s="135"/>
      <c r="M427" s="229"/>
      <c r="N427" s="189"/>
      <c r="O427" s="135"/>
      <c r="P427" s="135"/>
      <c r="Q427" s="135"/>
      <c r="R427" s="135"/>
      <c r="S427" s="135"/>
      <c r="T427" s="135"/>
    </row>
    <row r="428" customFormat="false" ht="15.75" hidden="false" customHeight="true" outlineLevel="0" collapsed="false">
      <c r="A428" s="229"/>
      <c r="B428" s="189"/>
      <c r="C428" s="135"/>
      <c r="D428" s="135"/>
      <c r="E428" s="229"/>
      <c r="F428" s="229"/>
      <c r="G428" s="229"/>
      <c r="H428" s="229"/>
      <c r="I428" s="229"/>
      <c r="J428" s="229"/>
      <c r="K428" s="189"/>
      <c r="L428" s="135"/>
      <c r="M428" s="229"/>
      <c r="N428" s="189"/>
      <c r="O428" s="135"/>
      <c r="P428" s="135"/>
      <c r="Q428" s="135"/>
      <c r="R428" s="135"/>
      <c r="S428" s="135"/>
      <c r="T428" s="135"/>
    </row>
    <row r="429" customFormat="false" ht="15.75" hidden="false" customHeight="true" outlineLevel="0" collapsed="false">
      <c r="A429" s="229"/>
      <c r="B429" s="189"/>
      <c r="C429" s="135"/>
      <c r="D429" s="135"/>
      <c r="E429" s="229"/>
      <c r="F429" s="229"/>
      <c r="G429" s="229"/>
      <c r="H429" s="229"/>
      <c r="I429" s="229"/>
      <c r="J429" s="229"/>
      <c r="K429" s="189"/>
      <c r="L429" s="135"/>
      <c r="M429" s="229"/>
      <c r="N429" s="189"/>
      <c r="O429" s="135"/>
      <c r="P429" s="135"/>
      <c r="Q429" s="135"/>
      <c r="R429" s="135"/>
      <c r="S429" s="135"/>
      <c r="T429" s="135"/>
    </row>
    <row r="430" customFormat="false" ht="15.75" hidden="false" customHeight="true" outlineLevel="0" collapsed="false">
      <c r="A430" s="229"/>
      <c r="B430" s="189"/>
      <c r="C430" s="135"/>
      <c r="D430" s="135"/>
      <c r="E430" s="229"/>
      <c r="F430" s="229"/>
      <c r="G430" s="229"/>
      <c r="H430" s="229"/>
      <c r="I430" s="229"/>
      <c r="J430" s="229"/>
      <c r="K430" s="189"/>
      <c r="L430" s="135"/>
      <c r="M430" s="229"/>
      <c r="N430" s="189"/>
      <c r="O430" s="135"/>
      <c r="P430" s="135"/>
      <c r="Q430" s="135"/>
      <c r="R430" s="135"/>
      <c r="S430" s="135"/>
      <c r="T430" s="135"/>
    </row>
    <row r="431" customFormat="false" ht="15.75" hidden="false" customHeight="true" outlineLevel="0" collapsed="false">
      <c r="A431" s="229"/>
      <c r="B431" s="189"/>
      <c r="C431" s="135"/>
      <c r="D431" s="135"/>
      <c r="E431" s="229"/>
      <c r="F431" s="229"/>
      <c r="G431" s="229"/>
      <c r="H431" s="229"/>
      <c r="I431" s="229"/>
      <c r="J431" s="229"/>
      <c r="K431" s="189"/>
      <c r="L431" s="135"/>
      <c r="M431" s="229"/>
      <c r="N431" s="189"/>
      <c r="O431" s="135"/>
      <c r="P431" s="135"/>
      <c r="Q431" s="135"/>
      <c r="R431" s="135"/>
      <c r="S431" s="135"/>
      <c r="T431" s="135"/>
    </row>
    <row r="432" customFormat="false" ht="15.75" hidden="false" customHeight="true" outlineLevel="0" collapsed="false">
      <c r="A432" s="229"/>
      <c r="B432" s="189"/>
      <c r="C432" s="135"/>
      <c r="D432" s="135"/>
      <c r="E432" s="229"/>
      <c r="F432" s="229"/>
      <c r="G432" s="229"/>
      <c r="H432" s="229"/>
      <c r="I432" s="229"/>
      <c r="J432" s="229"/>
      <c r="K432" s="189"/>
      <c r="L432" s="135"/>
      <c r="M432" s="229"/>
      <c r="N432" s="189"/>
      <c r="O432" s="135"/>
      <c r="P432" s="135"/>
      <c r="Q432" s="135"/>
      <c r="R432" s="135"/>
      <c r="S432" s="135"/>
      <c r="T432" s="135"/>
    </row>
    <row r="433" customFormat="false" ht="15.75" hidden="false" customHeight="true" outlineLevel="0" collapsed="false">
      <c r="A433" s="229"/>
      <c r="B433" s="189"/>
      <c r="C433" s="135"/>
      <c r="D433" s="135"/>
      <c r="E433" s="229"/>
      <c r="F433" s="229"/>
      <c r="G433" s="229"/>
      <c r="H433" s="229"/>
      <c r="I433" s="229"/>
      <c r="J433" s="229"/>
      <c r="K433" s="189"/>
      <c r="L433" s="135"/>
      <c r="M433" s="229"/>
      <c r="N433" s="189"/>
      <c r="O433" s="135"/>
      <c r="P433" s="135"/>
      <c r="Q433" s="135"/>
      <c r="R433" s="135"/>
      <c r="S433" s="135"/>
      <c r="T433" s="135"/>
    </row>
    <row r="434" customFormat="false" ht="15.75" hidden="false" customHeight="true" outlineLevel="0" collapsed="false">
      <c r="A434" s="229"/>
      <c r="B434" s="189"/>
      <c r="C434" s="135"/>
      <c r="D434" s="135"/>
      <c r="E434" s="229"/>
      <c r="F434" s="229"/>
      <c r="G434" s="229"/>
      <c r="H434" s="229"/>
      <c r="I434" s="229"/>
      <c r="J434" s="229"/>
      <c r="K434" s="189"/>
      <c r="L434" s="135"/>
      <c r="M434" s="229"/>
      <c r="N434" s="189"/>
      <c r="O434" s="135"/>
      <c r="P434" s="135"/>
      <c r="Q434" s="135"/>
      <c r="R434" s="135"/>
      <c r="S434" s="135"/>
      <c r="T434" s="135"/>
    </row>
    <row r="435" customFormat="false" ht="15.75" hidden="false" customHeight="true" outlineLevel="0" collapsed="false">
      <c r="A435" s="229"/>
      <c r="B435" s="189"/>
      <c r="C435" s="135"/>
      <c r="D435" s="135"/>
      <c r="E435" s="229"/>
      <c r="F435" s="229"/>
      <c r="G435" s="229"/>
      <c r="H435" s="229"/>
      <c r="I435" s="229"/>
      <c r="J435" s="229"/>
      <c r="K435" s="189"/>
      <c r="L435" s="135"/>
      <c r="M435" s="229"/>
      <c r="N435" s="189"/>
      <c r="O435" s="135"/>
      <c r="P435" s="135"/>
      <c r="Q435" s="135"/>
      <c r="R435" s="135"/>
      <c r="S435" s="135"/>
      <c r="T435" s="135"/>
    </row>
    <row r="436" customFormat="false" ht="15.75" hidden="false" customHeight="true" outlineLevel="0" collapsed="false">
      <c r="A436" s="229"/>
      <c r="B436" s="189"/>
      <c r="C436" s="135"/>
      <c r="D436" s="135"/>
      <c r="E436" s="229"/>
      <c r="F436" s="229"/>
      <c r="G436" s="229"/>
      <c r="H436" s="229"/>
      <c r="I436" s="229"/>
      <c r="J436" s="229"/>
      <c r="K436" s="189"/>
      <c r="L436" s="135"/>
      <c r="M436" s="229"/>
      <c r="N436" s="189"/>
      <c r="O436" s="135"/>
      <c r="P436" s="135"/>
      <c r="Q436" s="135"/>
      <c r="R436" s="135"/>
      <c r="S436" s="135"/>
      <c r="T436" s="135"/>
    </row>
    <row r="437" customFormat="false" ht="15.75" hidden="false" customHeight="true" outlineLevel="0" collapsed="false">
      <c r="A437" s="229"/>
      <c r="B437" s="189"/>
      <c r="C437" s="135"/>
      <c r="D437" s="135"/>
      <c r="E437" s="229"/>
      <c r="F437" s="229"/>
      <c r="G437" s="229"/>
      <c r="H437" s="229"/>
      <c r="I437" s="229"/>
      <c r="J437" s="229"/>
      <c r="K437" s="189"/>
      <c r="L437" s="135"/>
      <c r="M437" s="229"/>
      <c r="N437" s="189"/>
      <c r="O437" s="135"/>
      <c r="P437" s="135"/>
      <c r="Q437" s="135"/>
      <c r="R437" s="135"/>
      <c r="S437" s="135"/>
      <c r="T437" s="135"/>
    </row>
    <row r="438" customFormat="false" ht="15.75" hidden="false" customHeight="true" outlineLevel="0" collapsed="false">
      <c r="A438" s="229"/>
      <c r="B438" s="189"/>
      <c r="C438" s="135"/>
      <c r="D438" s="135"/>
      <c r="E438" s="229"/>
      <c r="F438" s="229"/>
      <c r="G438" s="229"/>
      <c r="H438" s="229"/>
      <c r="I438" s="229"/>
      <c r="J438" s="229"/>
      <c r="K438" s="189"/>
      <c r="L438" s="135"/>
      <c r="M438" s="229"/>
      <c r="N438" s="189"/>
      <c r="O438" s="135"/>
      <c r="P438" s="135"/>
      <c r="Q438" s="135"/>
      <c r="R438" s="135"/>
      <c r="S438" s="135"/>
      <c r="T438" s="135"/>
    </row>
    <row r="439" customFormat="false" ht="15.75" hidden="false" customHeight="true" outlineLevel="0" collapsed="false">
      <c r="A439" s="229"/>
      <c r="B439" s="189"/>
      <c r="C439" s="135"/>
      <c r="D439" s="135"/>
      <c r="E439" s="229"/>
      <c r="F439" s="229"/>
      <c r="G439" s="229"/>
      <c r="H439" s="229"/>
      <c r="I439" s="229"/>
      <c r="J439" s="229"/>
      <c r="K439" s="189"/>
      <c r="L439" s="135"/>
      <c r="M439" s="229"/>
      <c r="N439" s="189"/>
      <c r="O439" s="135"/>
      <c r="P439" s="135"/>
      <c r="Q439" s="135"/>
      <c r="R439" s="135"/>
      <c r="S439" s="135"/>
      <c r="T439" s="135"/>
    </row>
    <row r="440" customFormat="false" ht="15.75" hidden="false" customHeight="true" outlineLevel="0" collapsed="false">
      <c r="A440" s="229"/>
      <c r="B440" s="189"/>
      <c r="C440" s="135"/>
      <c r="D440" s="135"/>
      <c r="E440" s="229"/>
      <c r="F440" s="229"/>
      <c r="G440" s="229"/>
      <c r="H440" s="229"/>
      <c r="I440" s="229"/>
      <c r="J440" s="229"/>
      <c r="K440" s="189"/>
      <c r="L440" s="135"/>
      <c r="M440" s="229"/>
      <c r="N440" s="189"/>
      <c r="O440" s="135"/>
      <c r="P440" s="135"/>
      <c r="Q440" s="135"/>
      <c r="R440" s="135"/>
      <c r="S440" s="135"/>
      <c r="T440" s="135"/>
    </row>
    <row r="441" customFormat="false" ht="15.75" hidden="false" customHeight="true" outlineLevel="0" collapsed="false">
      <c r="A441" s="229"/>
      <c r="B441" s="189"/>
      <c r="C441" s="135"/>
      <c r="D441" s="135"/>
      <c r="E441" s="229"/>
      <c r="F441" s="229"/>
      <c r="G441" s="229"/>
      <c r="H441" s="229"/>
      <c r="I441" s="229"/>
      <c r="J441" s="229"/>
      <c r="K441" s="189"/>
      <c r="L441" s="135"/>
      <c r="M441" s="229"/>
      <c r="N441" s="189"/>
      <c r="O441" s="135"/>
      <c r="P441" s="135"/>
      <c r="Q441" s="135"/>
      <c r="R441" s="135"/>
      <c r="S441" s="135"/>
      <c r="T441" s="135"/>
    </row>
    <row r="442" customFormat="false" ht="15.75" hidden="false" customHeight="true" outlineLevel="0" collapsed="false">
      <c r="A442" s="229"/>
      <c r="B442" s="189"/>
      <c r="C442" s="135"/>
      <c r="D442" s="135"/>
      <c r="E442" s="229"/>
      <c r="F442" s="229"/>
      <c r="G442" s="229"/>
      <c r="H442" s="229"/>
      <c r="I442" s="229"/>
      <c r="J442" s="229"/>
      <c r="K442" s="189"/>
      <c r="L442" s="135"/>
      <c r="M442" s="229"/>
      <c r="N442" s="189"/>
      <c r="O442" s="135"/>
      <c r="P442" s="135"/>
      <c r="Q442" s="135"/>
      <c r="R442" s="135"/>
      <c r="S442" s="135"/>
      <c r="T442" s="135"/>
    </row>
    <row r="443" customFormat="false" ht="15.75" hidden="false" customHeight="true" outlineLevel="0" collapsed="false">
      <c r="A443" s="229"/>
      <c r="B443" s="189"/>
      <c r="C443" s="135"/>
      <c r="D443" s="135"/>
      <c r="E443" s="229"/>
      <c r="F443" s="229"/>
      <c r="G443" s="229"/>
      <c r="H443" s="229"/>
      <c r="I443" s="229"/>
      <c r="J443" s="229"/>
      <c r="K443" s="189"/>
      <c r="L443" s="135"/>
      <c r="M443" s="229"/>
      <c r="N443" s="189"/>
      <c r="O443" s="135"/>
      <c r="P443" s="135"/>
      <c r="Q443" s="135"/>
      <c r="R443" s="135"/>
      <c r="S443" s="135"/>
      <c r="T443" s="135"/>
    </row>
    <row r="444" customFormat="false" ht="15.75" hidden="false" customHeight="true" outlineLevel="0" collapsed="false">
      <c r="A444" s="229"/>
      <c r="B444" s="189"/>
      <c r="C444" s="135"/>
      <c r="D444" s="135"/>
      <c r="E444" s="229"/>
      <c r="F444" s="229"/>
      <c r="G444" s="229"/>
      <c r="H444" s="229"/>
      <c r="I444" s="229"/>
      <c r="J444" s="229"/>
      <c r="K444" s="189"/>
      <c r="L444" s="135"/>
      <c r="M444" s="229"/>
      <c r="N444" s="189"/>
      <c r="O444" s="135"/>
      <c r="P444" s="135"/>
      <c r="Q444" s="135"/>
      <c r="R444" s="135"/>
      <c r="S444" s="135"/>
      <c r="T444" s="135"/>
    </row>
    <row r="445" customFormat="false" ht="15.75" hidden="false" customHeight="true" outlineLevel="0" collapsed="false">
      <c r="A445" s="229"/>
      <c r="B445" s="189"/>
      <c r="C445" s="135"/>
      <c r="D445" s="135"/>
      <c r="E445" s="229"/>
      <c r="F445" s="229"/>
      <c r="G445" s="229"/>
      <c r="H445" s="229"/>
      <c r="I445" s="229"/>
      <c r="J445" s="229"/>
      <c r="K445" s="189"/>
      <c r="L445" s="135"/>
      <c r="M445" s="229"/>
      <c r="N445" s="189"/>
      <c r="O445" s="135"/>
      <c r="P445" s="135"/>
      <c r="Q445" s="135"/>
      <c r="R445" s="135"/>
      <c r="S445" s="135"/>
      <c r="T445" s="135"/>
    </row>
    <row r="446" customFormat="false" ht="15.75" hidden="false" customHeight="true" outlineLevel="0" collapsed="false">
      <c r="A446" s="229"/>
      <c r="B446" s="189"/>
      <c r="C446" s="135"/>
      <c r="D446" s="135"/>
      <c r="E446" s="229"/>
      <c r="F446" s="229"/>
      <c r="G446" s="229"/>
      <c r="H446" s="229"/>
      <c r="I446" s="229"/>
      <c r="J446" s="229"/>
      <c r="K446" s="189"/>
      <c r="L446" s="135"/>
      <c r="M446" s="229"/>
      <c r="N446" s="189"/>
      <c r="O446" s="135"/>
      <c r="P446" s="135"/>
      <c r="Q446" s="135"/>
      <c r="R446" s="135"/>
      <c r="S446" s="135"/>
      <c r="T446" s="135"/>
    </row>
    <row r="447" customFormat="false" ht="15.75" hidden="false" customHeight="true" outlineLevel="0" collapsed="false">
      <c r="A447" s="229"/>
      <c r="B447" s="189"/>
      <c r="C447" s="135"/>
      <c r="D447" s="135"/>
      <c r="E447" s="229"/>
      <c r="F447" s="229"/>
      <c r="G447" s="229"/>
      <c r="H447" s="229"/>
      <c r="I447" s="229"/>
      <c r="J447" s="229"/>
      <c r="K447" s="189"/>
      <c r="L447" s="135"/>
      <c r="M447" s="229"/>
      <c r="N447" s="189"/>
      <c r="O447" s="135"/>
      <c r="P447" s="135"/>
      <c r="Q447" s="135"/>
      <c r="R447" s="135"/>
      <c r="S447" s="135"/>
      <c r="T447" s="135"/>
    </row>
    <row r="448" customFormat="false" ht="15.75" hidden="false" customHeight="true" outlineLevel="0" collapsed="false">
      <c r="A448" s="229"/>
      <c r="B448" s="189"/>
      <c r="C448" s="135"/>
      <c r="D448" s="135"/>
      <c r="E448" s="229"/>
      <c r="F448" s="229"/>
      <c r="G448" s="229"/>
      <c r="H448" s="229"/>
      <c r="I448" s="229"/>
      <c r="J448" s="229"/>
      <c r="K448" s="189"/>
      <c r="L448" s="135"/>
      <c r="M448" s="229"/>
      <c r="N448" s="189"/>
      <c r="O448" s="135"/>
      <c r="P448" s="135"/>
      <c r="Q448" s="135"/>
      <c r="R448" s="135"/>
      <c r="S448" s="135"/>
      <c r="T448" s="135"/>
    </row>
    <row r="449" customFormat="false" ht="15.75" hidden="false" customHeight="true" outlineLevel="0" collapsed="false">
      <c r="A449" s="229"/>
      <c r="B449" s="189"/>
      <c r="C449" s="135"/>
      <c r="D449" s="135"/>
      <c r="E449" s="229"/>
      <c r="F449" s="229"/>
      <c r="G449" s="229"/>
      <c r="H449" s="229"/>
      <c r="I449" s="229"/>
      <c r="J449" s="229"/>
      <c r="K449" s="189"/>
      <c r="L449" s="135"/>
      <c r="M449" s="229"/>
      <c r="N449" s="189"/>
      <c r="O449" s="135"/>
      <c r="P449" s="135"/>
      <c r="Q449" s="135"/>
      <c r="R449" s="135"/>
      <c r="S449" s="135"/>
      <c r="T449" s="135"/>
    </row>
    <row r="450" customFormat="false" ht="15.75" hidden="false" customHeight="true" outlineLevel="0" collapsed="false">
      <c r="A450" s="229"/>
      <c r="B450" s="189"/>
      <c r="C450" s="135"/>
      <c r="D450" s="135"/>
      <c r="E450" s="229"/>
      <c r="F450" s="229"/>
      <c r="G450" s="229"/>
      <c r="H450" s="229"/>
      <c r="I450" s="229"/>
      <c r="J450" s="229"/>
      <c r="K450" s="189"/>
      <c r="L450" s="135"/>
      <c r="M450" s="229"/>
      <c r="N450" s="189"/>
      <c r="O450" s="135"/>
      <c r="P450" s="135"/>
      <c r="Q450" s="135"/>
      <c r="R450" s="135"/>
      <c r="S450" s="135"/>
      <c r="T450" s="135"/>
    </row>
    <row r="451" customFormat="false" ht="15.75" hidden="false" customHeight="true" outlineLevel="0" collapsed="false">
      <c r="A451" s="229"/>
      <c r="B451" s="189"/>
      <c r="C451" s="135"/>
      <c r="D451" s="135"/>
      <c r="E451" s="229"/>
      <c r="F451" s="229"/>
      <c r="G451" s="229"/>
      <c r="H451" s="229"/>
      <c r="I451" s="229"/>
      <c r="J451" s="229"/>
      <c r="K451" s="189"/>
      <c r="L451" s="135"/>
      <c r="M451" s="229"/>
      <c r="N451" s="189"/>
      <c r="O451" s="135"/>
      <c r="P451" s="135"/>
      <c r="Q451" s="135"/>
      <c r="R451" s="135"/>
      <c r="S451" s="135"/>
      <c r="T451" s="135"/>
    </row>
    <row r="452" customFormat="false" ht="15.75" hidden="false" customHeight="true" outlineLevel="0" collapsed="false">
      <c r="A452" s="229"/>
      <c r="B452" s="189"/>
      <c r="C452" s="135"/>
      <c r="D452" s="135"/>
      <c r="E452" s="229"/>
      <c r="F452" s="229"/>
      <c r="G452" s="229"/>
      <c r="H452" s="229"/>
      <c r="I452" s="229"/>
      <c r="J452" s="229"/>
      <c r="K452" s="189"/>
      <c r="L452" s="135"/>
      <c r="M452" s="229"/>
      <c r="N452" s="189"/>
      <c r="O452" s="135"/>
      <c r="P452" s="135"/>
      <c r="Q452" s="135"/>
      <c r="R452" s="135"/>
      <c r="S452" s="135"/>
      <c r="T452" s="135"/>
    </row>
    <row r="453" customFormat="false" ht="15.75" hidden="false" customHeight="true" outlineLevel="0" collapsed="false">
      <c r="A453" s="229"/>
      <c r="B453" s="189"/>
      <c r="C453" s="135"/>
      <c r="D453" s="135"/>
      <c r="E453" s="229"/>
      <c r="F453" s="229"/>
      <c r="G453" s="229"/>
      <c r="H453" s="229"/>
      <c r="I453" s="229"/>
      <c r="J453" s="229"/>
      <c r="K453" s="189"/>
      <c r="L453" s="135"/>
      <c r="M453" s="229"/>
      <c r="N453" s="189"/>
      <c r="O453" s="135"/>
      <c r="P453" s="135"/>
      <c r="Q453" s="135"/>
      <c r="R453" s="135"/>
      <c r="S453" s="135"/>
      <c r="T453" s="135"/>
    </row>
    <row r="454" customFormat="false" ht="15.75" hidden="false" customHeight="true" outlineLevel="0" collapsed="false">
      <c r="A454" s="229"/>
      <c r="B454" s="189"/>
      <c r="C454" s="135"/>
      <c r="D454" s="135"/>
      <c r="E454" s="229"/>
      <c r="F454" s="229"/>
      <c r="G454" s="229"/>
      <c r="H454" s="229"/>
      <c r="I454" s="229"/>
      <c r="J454" s="229"/>
      <c r="K454" s="189"/>
      <c r="L454" s="135"/>
      <c r="M454" s="229"/>
      <c r="N454" s="189"/>
      <c r="O454" s="135"/>
      <c r="P454" s="135"/>
      <c r="Q454" s="135"/>
      <c r="R454" s="135"/>
      <c r="S454" s="135"/>
      <c r="T454" s="135"/>
    </row>
    <row r="455" customFormat="false" ht="15.75" hidden="false" customHeight="true" outlineLevel="0" collapsed="false">
      <c r="A455" s="229"/>
      <c r="B455" s="189"/>
      <c r="C455" s="135"/>
      <c r="D455" s="135"/>
      <c r="E455" s="229"/>
      <c r="F455" s="229"/>
      <c r="G455" s="229"/>
      <c r="H455" s="229"/>
      <c r="I455" s="229"/>
      <c r="J455" s="229"/>
      <c r="K455" s="189"/>
      <c r="L455" s="135"/>
      <c r="M455" s="229"/>
      <c r="N455" s="189"/>
      <c r="O455" s="135"/>
      <c r="P455" s="135"/>
      <c r="Q455" s="135"/>
      <c r="R455" s="135"/>
      <c r="S455" s="135"/>
      <c r="T455" s="135"/>
    </row>
    <row r="456" customFormat="false" ht="15.75" hidden="false" customHeight="true" outlineLevel="0" collapsed="false">
      <c r="A456" s="229"/>
      <c r="B456" s="189"/>
      <c r="C456" s="135"/>
      <c r="D456" s="135"/>
      <c r="E456" s="229"/>
      <c r="F456" s="229"/>
      <c r="G456" s="229"/>
      <c r="H456" s="229"/>
      <c r="I456" s="229"/>
      <c r="J456" s="229"/>
      <c r="K456" s="189"/>
      <c r="L456" s="135"/>
      <c r="M456" s="229"/>
      <c r="N456" s="189"/>
      <c r="O456" s="135"/>
      <c r="P456" s="135"/>
      <c r="Q456" s="135"/>
      <c r="R456" s="135"/>
      <c r="S456" s="135"/>
      <c r="T456" s="135"/>
    </row>
    <row r="457" customFormat="false" ht="15.75" hidden="false" customHeight="true" outlineLevel="0" collapsed="false">
      <c r="A457" s="229"/>
      <c r="B457" s="189"/>
      <c r="C457" s="135"/>
      <c r="D457" s="135"/>
      <c r="E457" s="229"/>
      <c r="F457" s="229"/>
      <c r="G457" s="229"/>
      <c r="H457" s="229"/>
      <c r="I457" s="229"/>
      <c r="J457" s="229"/>
      <c r="K457" s="189"/>
      <c r="L457" s="135"/>
      <c r="M457" s="229"/>
      <c r="N457" s="189"/>
      <c r="O457" s="135"/>
      <c r="P457" s="135"/>
      <c r="Q457" s="135"/>
      <c r="R457" s="135"/>
      <c r="S457" s="135"/>
      <c r="T457" s="135"/>
    </row>
    <row r="458" customFormat="false" ht="15.75" hidden="false" customHeight="true" outlineLevel="0" collapsed="false">
      <c r="A458" s="229"/>
      <c r="B458" s="189"/>
      <c r="C458" s="135"/>
      <c r="D458" s="135"/>
      <c r="E458" s="229"/>
      <c r="F458" s="229"/>
      <c r="G458" s="229"/>
      <c r="H458" s="229"/>
      <c r="I458" s="229"/>
      <c r="J458" s="229"/>
      <c r="K458" s="189"/>
      <c r="L458" s="135"/>
      <c r="M458" s="229"/>
      <c r="N458" s="189"/>
      <c r="O458" s="135"/>
      <c r="P458" s="135"/>
      <c r="Q458" s="135"/>
      <c r="R458" s="135"/>
      <c r="S458" s="135"/>
      <c r="T458" s="135"/>
    </row>
    <row r="459" customFormat="false" ht="15.75" hidden="false" customHeight="true" outlineLevel="0" collapsed="false">
      <c r="A459" s="229"/>
      <c r="B459" s="189"/>
      <c r="C459" s="135"/>
      <c r="D459" s="135"/>
      <c r="E459" s="229"/>
      <c r="F459" s="229"/>
      <c r="G459" s="229"/>
      <c r="H459" s="229"/>
      <c r="I459" s="229"/>
      <c r="J459" s="229"/>
      <c r="K459" s="189"/>
      <c r="L459" s="135"/>
      <c r="M459" s="229"/>
      <c r="N459" s="189"/>
      <c r="O459" s="135"/>
      <c r="P459" s="135"/>
      <c r="Q459" s="135"/>
      <c r="R459" s="135"/>
      <c r="S459" s="135"/>
      <c r="T459" s="135"/>
    </row>
    <row r="460" customFormat="false" ht="15.75" hidden="false" customHeight="true" outlineLevel="0" collapsed="false">
      <c r="A460" s="229"/>
      <c r="B460" s="189"/>
      <c r="C460" s="135"/>
      <c r="D460" s="135"/>
      <c r="E460" s="229"/>
      <c r="F460" s="229"/>
      <c r="G460" s="229"/>
      <c r="H460" s="229"/>
      <c r="I460" s="229"/>
      <c r="J460" s="229"/>
      <c r="K460" s="189"/>
      <c r="L460" s="135"/>
      <c r="M460" s="229"/>
      <c r="N460" s="189"/>
      <c r="O460" s="135"/>
      <c r="P460" s="135"/>
      <c r="Q460" s="135"/>
      <c r="R460" s="135"/>
      <c r="S460" s="135"/>
      <c r="T460" s="135"/>
    </row>
    <row r="461" customFormat="false" ht="15.75" hidden="false" customHeight="true" outlineLevel="0" collapsed="false">
      <c r="A461" s="229"/>
      <c r="B461" s="189"/>
      <c r="C461" s="135"/>
      <c r="D461" s="135"/>
      <c r="E461" s="229"/>
      <c r="F461" s="229"/>
      <c r="G461" s="229"/>
      <c r="H461" s="229"/>
      <c r="I461" s="229"/>
      <c r="J461" s="229"/>
      <c r="K461" s="189"/>
      <c r="L461" s="135"/>
      <c r="M461" s="229"/>
      <c r="N461" s="189"/>
      <c r="O461" s="135"/>
      <c r="P461" s="135"/>
      <c r="Q461" s="135"/>
      <c r="R461" s="135"/>
      <c r="S461" s="135"/>
      <c r="T461" s="135"/>
    </row>
    <row r="462" customFormat="false" ht="15.75" hidden="false" customHeight="true" outlineLevel="0" collapsed="false">
      <c r="A462" s="229"/>
      <c r="B462" s="189"/>
      <c r="C462" s="135"/>
      <c r="D462" s="135"/>
      <c r="E462" s="229"/>
      <c r="F462" s="229"/>
      <c r="G462" s="229"/>
      <c r="H462" s="229"/>
      <c r="I462" s="229"/>
      <c r="J462" s="229"/>
      <c r="K462" s="189"/>
      <c r="L462" s="135"/>
      <c r="M462" s="229"/>
      <c r="N462" s="189"/>
      <c r="O462" s="135"/>
      <c r="P462" s="135"/>
      <c r="Q462" s="135"/>
      <c r="R462" s="135"/>
      <c r="S462" s="135"/>
      <c r="T462" s="135"/>
    </row>
    <row r="463" customFormat="false" ht="15.75" hidden="false" customHeight="true" outlineLevel="0" collapsed="false">
      <c r="A463" s="229"/>
      <c r="B463" s="189"/>
      <c r="C463" s="135"/>
      <c r="D463" s="135"/>
      <c r="E463" s="229"/>
      <c r="F463" s="229"/>
      <c r="G463" s="229"/>
      <c r="H463" s="229"/>
      <c r="I463" s="229"/>
      <c r="J463" s="229"/>
      <c r="K463" s="189"/>
      <c r="L463" s="135"/>
      <c r="M463" s="229"/>
      <c r="N463" s="189"/>
      <c r="O463" s="135"/>
      <c r="P463" s="135"/>
      <c r="Q463" s="135"/>
      <c r="R463" s="135"/>
      <c r="S463" s="135"/>
      <c r="T463" s="135"/>
    </row>
    <row r="464" customFormat="false" ht="15.75" hidden="false" customHeight="true" outlineLevel="0" collapsed="false">
      <c r="A464" s="229"/>
      <c r="B464" s="189"/>
      <c r="C464" s="135"/>
      <c r="D464" s="135"/>
      <c r="E464" s="229"/>
      <c r="F464" s="229"/>
      <c r="G464" s="229"/>
      <c r="H464" s="229"/>
      <c r="I464" s="229"/>
      <c r="J464" s="229"/>
      <c r="K464" s="189"/>
      <c r="L464" s="135"/>
      <c r="M464" s="229"/>
      <c r="N464" s="189"/>
      <c r="O464" s="135"/>
      <c r="P464" s="135"/>
      <c r="Q464" s="135"/>
      <c r="R464" s="135"/>
      <c r="S464" s="135"/>
      <c r="T464" s="135"/>
    </row>
    <row r="465" customFormat="false" ht="15.75" hidden="false" customHeight="true" outlineLevel="0" collapsed="false">
      <c r="A465" s="229"/>
      <c r="B465" s="189"/>
      <c r="C465" s="135"/>
      <c r="D465" s="135"/>
      <c r="E465" s="229"/>
      <c r="F465" s="229"/>
      <c r="G465" s="229"/>
      <c r="H465" s="229"/>
      <c r="I465" s="229"/>
      <c r="J465" s="229"/>
      <c r="K465" s="189"/>
      <c r="L465" s="135"/>
      <c r="M465" s="229"/>
      <c r="N465" s="189"/>
      <c r="O465" s="135"/>
      <c r="P465" s="135"/>
      <c r="Q465" s="135"/>
      <c r="R465" s="135"/>
      <c r="S465" s="135"/>
      <c r="T465" s="135"/>
    </row>
    <row r="466" customFormat="false" ht="15.75" hidden="false" customHeight="true" outlineLevel="0" collapsed="false">
      <c r="A466" s="229"/>
      <c r="B466" s="189"/>
      <c r="C466" s="135"/>
      <c r="D466" s="135"/>
      <c r="E466" s="229"/>
      <c r="F466" s="229"/>
      <c r="G466" s="229"/>
      <c r="H466" s="229"/>
      <c r="I466" s="229"/>
      <c r="J466" s="229"/>
      <c r="K466" s="189"/>
      <c r="L466" s="135"/>
      <c r="M466" s="229"/>
      <c r="N466" s="189"/>
      <c r="O466" s="135"/>
      <c r="P466" s="135"/>
      <c r="Q466" s="135"/>
      <c r="R466" s="135"/>
      <c r="S466" s="135"/>
      <c r="T466" s="135"/>
    </row>
    <row r="467" customFormat="false" ht="15.75" hidden="false" customHeight="true" outlineLevel="0" collapsed="false">
      <c r="A467" s="229"/>
      <c r="B467" s="189"/>
      <c r="C467" s="135"/>
      <c r="D467" s="135"/>
      <c r="E467" s="229"/>
      <c r="F467" s="229"/>
      <c r="G467" s="229"/>
      <c r="H467" s="229"/>
      <c r="I467" s="229"/>
      <c r="J467" s="229"/>
      <c r="K467" s="189"/>
      <c r="L467" s="135"/>
      <c r="M467" s="229"/>
      <c r="N467" s="189"/>
      <c r="O467" s="135"/>
      <c r="P467" s="135"/>
      <c r="Q467" s="135"/>
      <c r="R467" s="135"/>
      <c r="S467" s="135"/>
      <c r="T467" s="135"/>
    </row>
    <row r="468" customFormat="false" ht="15.75" hidden="false" customHeight="true" outlineLevel="0" collapsed="false">
      <c r="A468" s="229"/>
      <c r="B468" s="189"/>
      <c r="C468" s="135"/>
      <c r="D468" s="135"/>
      <c r="E468" s="229"/>
      <c r="F468" s="229"/>
      <c r="G468" s="229"/>
      <c r="H468" s="229"/>
      <c r="I468" s="229"/>
      <c r="J468" s="229"/>
      <c r="K468" s="189"/>
      <c r="L468" s="135"/>
      <c r="M468" s="229"/>
      <c r="N468" s="189"/>
      <c r="O468" s="135"/>
      <c r="P468" s="135"/>
      <c r="Q468" s="135"/>
      <c r="R468" s="135"/>
      <c r="S468" s="135"/>
      <c r="T468" s="135"/>
    </row>
    <row r="469" customFormat="false" ht="15.75" hidden="false" customHeight="true" outlineLevel="0" collapsed="false">
      <c r="A469" s="229"/>
      <c r="B469" s="189"/>
      <c r="C469" s="135"/>
      <c r="D469" s="135"/>
      <c r="E469" s="229"/>
      <c r="F469" s="229"/>
      <c r="G469" s="229"/>
      <c r="H469" s="229"/>
      <c r="I469" s="229"/>
      <c r="J469" s="229"/>
      <c r="K469" s="189"/>
      <c r="L469" s="135"/>
      <c r="M469" s="229"/>
      <c r="N469" s="189"/>
      <c r="O469" s="135"/>
      <c r="P469" s="135"/>
      <c r="Q469" s="135"/>
      <c r="R469" s="135"/>
      <c r="S469" s="135"/>
      <c r="T469" s="135"/>
    </row>
    <row r="470" customFormat="false" ht="15.75" hidden="false" customHeight="true" outlineLevel="0" collapsed="false">
      <c r="A470" s="229"/>
      <c r="B470" s="189"/>
      <c r="C470" s="135"/>
      <c r="D470" s="135"/>
      <c r="E470" s="229"/>
      <c r="F470" s="229"/>
      <c r="G470" s="229"/>
      <c r="H470" s="229"/>
      <c r="I470" s="229"/>
      <c r="J470" s="229"/>
      <c r="K470" s="189"/>
      <c r="L470" s="135"/>
      <c r="M470" s="229"/>
      <c r="N470" s="189"/>
      <c r="O470" s="135"/>
      <c r="P470" s="135"/>
      <c r="Q470" s="135"/>
      <c r="R470" s="135"/>
      <c r="S470" s="135"/>
      <c r="T470" s="135"/>
    </row>
    <row r="471" customFormat="false" ht="15.75" hidden="false" customHeight="true" outlineLevel="0" collapsed="false">
      <c r="A471" s="229"/>
      <c r="B471" s="189"/>
      <c r="C471" s="135"/>
      <c r="D471" s="135"/>
      <c r="E471" s="229"/>
      <c r="F471" s="229"/>
      <c r="G471" s="229"/>
      <c r="H471" s="229"/>
      <c r="I471" s="229"/>
      <c r="J471" s="229"/>
      <c r="K471" s="189"/>
      <c r="L471" s="135"/>
      <c r="M471" s="229"/>
      <c r="N471" s="189"/>
      <c r="O471" s="135"/>
      <c r="P471" s="135"/>
      <c r="Q471" s="135"/>
      <c r="R471" s="135"/>
      <c r="S471" s="135"/>
      <c r="T471" s="135"/>
    </row>
    <row r="472" customFormat="false" ht="15.75" hidden="false" customHeight="true" outlineLevel="0" collapsed="false">
      <c r="A472" s="229"/>
      <c r="B472" s="189"/>
      <c r="C472" s="135"/>
      <c r="D472" s="135"/>
      <c r="E472" s="229"/>
      <c r="F472" s="229"/>
      <c r="G472" s="229"/>
      <c r="H472" s="229"/>
      <c r="I472" s="229"/>
      <c r="J472" s="229"/>
      <c r="K472" s="189"/>
      <c r="L472" s="135"/>
      <c r="M472" s="229"/>
      <c r="N472" s="189"/>
      <c r="O472" s="135"/>
      <c r="P472" s="135"/>
      <c r="Q472" s="135"/>
      <c r="R472" s="135"/>
      <c r="S472" s="135"/>
      <c r="T472" s="135"/>
    </row>
    <row r="473" customFormat="false" ht="15.75" hidden="false" customHeight="true" outlineLevel="0" collapsed="false">
      <c r="A473" s="229"/>
      <c r="B473" s="189"/>
      <c r="C473" s="135"/>
      <c r="D473" s="135"/>
      <c r="E473" s="229"/>
      <c r="F473" s="229"/>
      <c r="G473" s="229"/>
      <c r="H473" s="229"/>
      <c r="I473" s="229"/>
      <c r="J473" s="229"/>
      <c r="K473" s="189"/>
      <c r="L473" s="135"/>
      <c r="M473" s="229"/>
      <c r="N473" s="189"/>
      <c r="O473" s="135"/>
      <c r="P473" s="135"/>
      <c r="Q473" s="135"/>
      <c r="R473" s="135"/>
      <c r="S473" s="135"/>
      <c r="T473" s="135"/>
    </row>
    <row r="474" customFormat="false" ht="15.75" hidden="false" customHeight="true" outlineLevel="0" collapsed="false">
      <c r="A474" s="229"/>
      <c r="B474" s="189"/>
      <c r="C474" s="135"/>
      <c r="D474" s="135"/>
      <c r="E474" s="229"/>
      <c r="F474" s="229"/>
      <c r="G474" s="229"/>
      <c r="H474" s="229"/>
      <c r="I474" s="229"/>
      <c r="J474" s="229"/>
      <c r="K474" s="189"/>
      <c r="L474" s="135"/>
      <c r="M474" s="229"/>
      <c r="N474" s="189"/>
      <c r="O474" s="135"/>
      <c r="P474" s="135"/>
      <c r="Q474" s="135"/>
      <c r="R474" s="135"/>
      <c r="S474" s="135"/>
      <c r="T474" s="135"/>
    </row>
    <row r="475" customFormat="false" ht="15.75" hidden="false" customHeight="true" outlineLevel="0" collapsed="false">
      <c r="A475" s="229"/>
      <c r="B475" s="189"/>
      <c r="C475" s="135"/>
      <c r="D475" s="135"/>
      <c r="E475" s="229"/>
      <c r="F475" s="229"/>
      <c r="G475" s="229"/>
      <c r="H475" s="229"/>
      <c r="I475" s="229"/>
      <c r="J475" s="229"/>
      <c r="K475" s="189"/>
      <c r="L475" s="135"/>
      <c r="M475" s="229"/>
      <c r="N475" s="189"/>
      <c r="O475" s="135"/>
      <c r="P475" s="135"/>
      <c r="Q475" s="135"/>
      <c r="R475" s="135"/>
      <c r="S475" s="135"/>
      <c r="T475" s="135"/>
    </row>
    <row r="476" customFormat="false" ht="15.75" hidden="false" customHeight="true" outlineLevel="0" collapsed="false">
      <c r="A476" s="229"/>
      <c r="B476" s="189"/>
      <c r="C476" s="135"/>
      <c r="D476" s="135"/>
      <c r="E476" s="229"/>
      <c r="F476" s="229"/>
      <c r="G476" s="229"/>
      <c r="H476" s="229"/>
      <c r="I476" s="229"/>
      <c r="J476" s="229"/>
      <c r="K476" s="189"/>
      <c r="L476" s="135"/>
      <c r="M476" s="229"/>
      <c r="N476" s="189"/>
      <c r="O476" s="135"/>
      <c r="P476" s="135"/>
      <c r="Q476" s="135"/>
      <c r="R476" s="135"/>
      <c r="S476" s="135"/>
      <c r="T476" s="135"/>
    </row>
    <row r="477" customFormat="false" ht="15.75" hidden="false" customHeight="true" outlineLevel="0" collapsed="false">
      <c r="A477" s="229"/>
      <c r="B477" s="189"/>
      <c r="C477" s="135"/>
      <c r="D477" s="135"/>
      <c r="E477" s="229"/>
      <c r="F477" s="229"/>
      <c r="G477" s="229"/>
      <c r="H477" s="229"/>
      <c r="I477" s="229"/>
      <c r="J477" s="229"/>
      <c r="K477" s="189"/>
      <c r="L477" s="135"/>
      <c r="M477" s="229"/>
      <c r="N477" s="189"/>
      <c r="O477" s="135"/>
      <c r="P477" s="135"/>
      <c r="Q477" s="135"/>
      <c r="R477" s="135"/>
      <c r="S477" s="135"/>
      <c r="T477" s="135"/>
    </row>
    <row r="478" customFormat="false" ht="15.75" hidden="false" customHeight="true" outlineLevel="0" collapsed="false">
      <c r="A478" s="229"/>
      <c r="B478" s="189"/>
      <c r="C478" s="135"/>
      <c r="D478" s="135"/>
      <c r="E478" s="229"/>
      <c r="F478" s="229"/>
      <c r="G478" s="229"/>
      <c r="H478" s="229"/>
      <c r="I478" s="229"/>
      <c r="J478" s="229"/>
      <c r="K478" s="189"/>
      <c r="L478" s="135"/>
      <c r="M478" s="229"/>
      <c r="N478" s="189"/>
      <c r="O478" s="135"/>
      <c r="P478" s="135"/>
      <c r="Q478" s="135"/>
      <c r="R478" s="135"/>
      <c r="S478" s="135"/>
      <c r="T478" s="135"/>
    </row>
    <row r="479" customFormat="false" ht="15.75" hidden="false" customHeight="true" outlineLevel="0" collapsed="false">
      <c r="A479" s="229"/>
      <c r="B479" s="189"/>
      <c r="C479" s="135"/>
      <c r="D479" s="135"/>
      <c r="E479" s="229"/>
      <c r="F479" s="229"/>
      <c r="G479" s="229"/>
      <c r="H479" s="229"/>
      <c r="I479" s="229"/>
      <c r="J479" s="229"/>
      <c r="K479" s="189"/>
      <c r="L479" s="135"/>
      <c r="M479" s="229"/>
      <c r="N479" s="189"/>
      <c r="O479" s="135"/>
      <c r="P479" s="135"/>
      <c r="Q479" s="135"/>
      <c r="R479" s="135"/>
      <c r="S479" s="135"/>
      <c r="T479" s="135"/>
    </row>
    <row r="480" customFormat="false" ht="15.75" hidden="false" customHeight="true" outlineLevel="0" collapsed="false">
      <c r="A480" s="229"/>
      <c r="B480" s="189"/>
      <c r="C480" s="135"/>
      <c r="D480" s="135"/>
      <c r="E480" s="229"/>
      <c r="F480" s="229"/>
      <c r="G480" s="229"/>
      <c r="H480" s="229"/>
      <c r="I480" s="229"/>
      <c r="J480" s="229"/>
      <c r="K480" s="189"/>
      <c r="L480" s="135"/>
      <c r="M480" s="229"/>
      <c r="N480" s="189"/>
      <c r="O480" s="135"/>
      <c r="P480" s="135"/>
      <c r="Q480" s="135"/>
      <c r="R480" s="135"/>
      <c r="S480" s="135"/>
      <c r="T480" s="135"/>
    </row>
    <row r="481" customFormat="false" ht="15.75" hidden="false" customHeight="true" outlineLevel="0" collapsed="false">
      <c r="A481" s="229"/>
      <c r="B481" s="189"/>
      <c r="C481" s="135"/>
      <c r="D481" s="135"/>
      <c r="E481" s="229"/>
      <c r="F481" s="229"/>
      <c r="G481" s="229"/>
      <c r="H481" s="229"/>
      <c r="I481" s="229"/>
      <c r="J481" s="229"/>
      <c r="K481" s="189"/>
      <c r="L481" s="135"/>
      <c r="M481" s="229"/>
      <c r="N481" s="189"/>
      <c r="O481" s="135"/>
      <c r="P481" s="135"/>
      <c r="Q481" s="135"/>
      <c r="R481" s="135"/>
      <c r="S481" s="135"/>
      <c r="T481" s="135"/>
    </row>
    <row r="482" customFormat="false" ht="15.75" hidden="false" customHeight="true" outlineLevel="0" collapsed="false">
      <c r="A482" s="229"/>
      <c r="B482" s="189"/>
      <c r="C482" s="135"/>
      <c r="D482" s="135"/>
      <c r="E482" s="229"/>
      <c r="F482" s="229"/>
      <c r="G482" s="229"/>
      <c r="H482" s="229"/>
      <c r="I482" s="229"/>
      <c r="J482" s="229"/>
      <c r="K482" s="189"/>
      <c r="L482" s="135"/>
      <c r="M482" s="229"/>
      <c r="N482" s="189"/>
      <c r="O482" s="135"/>
      <c r="P482" s="135"/>
      <c r="Q482" s="135"/>
      <c r="R482" s="135"/>
      <c r="S482" s="135"/>
      <c r="T482" s="135"/>
    </row>
    <row r="483" customFormat="false" ht="15.75" hidden="false" customHeight="true" outlineLevel="0" collapsed="false">
      <c r="A483" s="229"/>
      <c r="B483" s="189"/>
      <c r="C483" s="135"/>
      <c r="D483" s="135"/>
      <c r="E483" s="229"/>
      <c r="F483" s="229"/>
      <c r="G483" s="229"/>
      <c r="H483" s="229"/>
      <c r="I483" s="229"/>
      <c r="J483" s="229"/>
      <c r="K483" s="189"/>
      <c r="L483" s="135"/>
      <c r="M483" s="229"/>
      <c r="N483" s="189"/>
      <c r="O483" s="135"/>
      <c r="P483" s="135"/>
      <c r="Q483" s="135"/>
      <c r="R483" s="135"/>
      <c r="S483" s="135"/>
      <c r="T483" s="135"/>
    </row>
    <row r="484" customFormat="false" ht="15.75" hidden="false" customHeight="true" outlineLevel="0" collapsed="false">
      <c r="A484" s="229"/>
      <c r="B484" s="189"/>
      <c r="C484" s="135"/>
      <c r="D484" s="135"/>
      <c r="E484" s="229"/>
      <c r="F484" s="229"/>
      <c r="G484" s="229"/>
      <c r="H484" s="229"/>
      <c r="I484" s="229"/>
      <c r="J484" s="229"/>
      <c r="K484" s="189"/>
      <c r="L484" s="135"/>
      <c r="M484" s="229"/>
      <c r="N484" s="189"/>
      <c r="O484" s="135"/>
      <c r="P484" s="135"/>
      <c r="Q484" s="135"/>
      <c r="R484" s="135"/>
      <c r="S484" s="135"/>
      <c r="T484" s="135"/>
    </row>
    <row r="485" customFormat="false" ht="15.75" hidden="false" customHeight="true" outlineLevel="0" collapsed="false">
      <c r="A485" s="229"/>
      <c r="B485" s="189"/>
      <c r="C485" s="135"/>
      <c r="D485" s="135"/>
      <c r="E485" s="229"/>
      <c r="F485" s="229"/>
      <c r="G485" s="229"/>
      <c r="H485" s="229"/>
      <c r="I485" s="229"/>
      <c r="J485" s="229"/>
      <c r="K485" s="189"/>
      <c r="L485" s="135"/>
      <c r="M485" s="229"/>
      <c r="N485" s="189"/>
      <c r="O485" s="135"/>
      <c r="P485" s="135"/>
      <c r="Q485" s="135"/>
      <c r="R485" s="135"/>
      <c r="S485" s="135"/>
      <c r="T485" s="135"/>
    </row>
    <row r="486" customFormat="false" ht="15.75" hidden="false" customHeight="true" outlineLevel="0" collapsed="false">
      <c r="A486" s="229"/>
      <c r="B486" s="189"/>
      <c r="C486" s="135"/>
      <c r="D486" s="135"/>
      <c r="E486" s="229"/>
      <c r="F486" s="229"/>
      <c r="G486" s="229"/>
      <c r="H486" s="229"/>
      <c r="I486" s="229"/>
      <c r="J486" s="229"/>
      <c r="K486" s="189"/>
      <c r="L486" s="135"/>
      <c r="M486" s="229"/>
      <c r="N486" s="189"/>
      <c r="O486" s="135"/>
      <c r="P486" s="135"/>
      <c r="Q486" s="135"/>
      <c r="R486" s="135"/>
      <c r="S486" s="135"/>
      <c r="T486" s="135"/>
    </row>
    <row r="487" customFormat="false" ht="15.75" hidden="false" customHeight="true" outlineLevel="0" collapsed="false">
      <c r="A487" s="229"/>
      <c r="B487" s="189"/>
      <c r="C487" s="135"/>
      <c r="D487" s="135"/>
      <c r="E487" s="229"/>
      <c r="F487" s="229"/>
      <c r="G487" s="229"/>
      <c r="H487" s="229"/>
      <c r="I487" s="229"/>
      <c r="J487" s="229"/>
      <c r="K487" s="189"/>
      <c r="L487" s="135"/>
      <c r="M487" s="229"/>
      <c r="N487" s="189"/>
      <c r="O487" s="135"/>
      <c r="P487" s="135"/>
      <c r="Q487" s="135"/>
      <c r="R487" s="135"/>
      <c r="S487" s="135"/>
      <c r="T487" s="135"/>
    </row>
    <row r="488" customFormat="false" ht="15.75" hidden="false" customHeight="true" outlineLevel="0" collapsed="false">
      <c r="A488" s="229"/>
      <c r="B488" s="189"/>
      <c r="C488" s="135"/>
      <c r="D488" s="135"/>
      <c r="E488" s="229"/>
      <c r="F488" s="229"/>
      <c r="G488" s="229"/>
      <c r="H488" s="229"/>
      <c r="I488" s="229"/>
      <c r="J488" s="229"/>
      <c r="K488" s="189"/>
      <c r="L488" s="135"/>
      <c r="M488" s="229"/>
      <c r="N488" s="189"/>
      <c r="O488" s="135"/>
      <c r="P488" s="135"/>
      <c r="Q488" s="135"/>
      <c r="R488" s="135"/>
      <c r="S488" s="135"/>
      <c r="T488" s="135"/>
    </row>
    <row r="489" customFormat="false" ht="15.75" hidden="false" customHeight="true" outlineLevel="0" collapsed="false">
      <c r="A489" s="229"/>
      <c r="B489" s="189"/>
      <c r="C489" s="135"/>
      <c r="D489" s="135"/>
      <c r="E489" s="229"/>
      <c r="F489" s="229"/>
      <c r="G489" s="229"/>
      <c r="H489" s="229"/>
      <c r="I489" s="229"/>
      <c r="J489" s="229"/>
      <c r="K489" s="189"/>
      <c r="L489" s="135"/>
      <c r="M489" s="229"/>
      <c r="N489" s="189"/>
      <c r="O489" s="135"/>
      <c r="P489" s="135"/>
      <c r="Q489" s="135"/>
      <c r="R489" s="135"/>
      <c r="S489" s="135"/>
      <c r="T489" s="135"/>
    </row>
    <row r="490" customFormat="false" ht="15.75" hidden="false" customHeight="true" outlineLevel="0" collapsed="false">
      <c r="A490" s="229"/>
      <c r="B490" s="189"/>
      <c r="C490" s="135"/>
      <c r="D490" s="135"/>
      <c r="E490" s="229"/>
      <c r="F490" s="229"/>
      <c r="G490" s="229"/>
      <c r="H490" s="229"/>
      <c r="I490" s="229"/>
      <c r="J490" s="229"/>
      <c r="K490" s="189"/>
      <c r="L490" s="135"/>
      <c r="M490" s="229"/>
      <c r="N490" s="189"/>
      <c r="O490" s="135"/>
      <c r="P490" s="135"/>
      <c r="Q490" s="135"/>
      <c r="R490" s="135"/>
      <c r="S490" s="135"/>
      <c r="T490" s="135"/>
    </row>
    <row r="491" customFormat="false" ht="15.75" hidden="false" customHeight="true" outlineLevel="0" collapsed="false">
      <c r="A491" s="229"/>
      <c r="B491" s="189"/>
      <c r="C491" s="135"/>
      <c r="D491" s="135"/>
      <c r="E491" s="229"/>
      <c r="F491" s="229"/>
      <c r="G491" s="229"/>
      <c r="H491" s="229"/>
      <c r="I491" s="229"/>
      <c r="J491" s="229"/>
      <c r="K491" s="189"/>
      <c r="L491" s="135"/>
      <c r="M491" s="229"/>
      <c r="N491" s="189"/>
      <c r="O491" s="135"/>
      <c r="P491" s="135"/>
      <c r="Q491" s="135"/>
      <c r="R491" s="135"/>
      <c r="S491" s="135"/>
      <c r="T491" s="135"/>
    </row>
    <row r="492" customFormat="false" ht="15.75" hidden="false" customHeight="true" outlineLevel="0" collapsed="false">
      <c r="A492" s="229"/>
      <c r="B492" s="189"/>
      <c r="C492" s="135"/>
      <c r="D492" s="135"/>
      <c r="E492" s="229"/>
      <c r="F492" s="229"/>
      <c r="G492" s="229"/>
      <c r="H492" s="229"/>
      <c r="I492" s="229"/>
      <c r="J492" s="229"/>
      <c r="K492" s="189"/>
      <c r="L492" s="135"/>
      <c r="M492" s="229"/>
      <c r="N492" s="189"/>
      <c r="O492" s="135"/>
      <c r="P492" s="135"/>
      <c r="Q492" s="135"/>
      <c r="R492" s="135"/>
      <c r="S492" s="135"/>
      <c r="T492" s="135"/>
    </row>
    <row r="493" customFormat="false" ht="15.75" hidden="false" customHeight="true" outlineLevel="0" collapsed="false">
      <c r="A493" s="229"/>
      <c r="B493" s="189"/>
      <c r="C493" s="135"/>
      <c r="D493" s="135"/>
      <c r="E493" s="229"/>
      <c r="F493" s="229"/>
      <c r="G493" s="229"/>
      <c r="H493" s="229"/>
      <c r="I493" s="229"/>
      <c r="J493" s="229"/>
      <c r="K493" s="189"/>
      <c r="L493" s="135"/>
      <c r="M493" s="229"/>
      <c r="N493" s="189"/>
      <c r="O493" s="135"/>
      <c r="P493" s="135"/>
      <c r="Q493" s="135"/>
      <c r="R493" s="135"/>
      <c r="S493" s="135"/>
      <c r="T493" s="135"/>
    </row>
    <row r="494" customFormat="false" ht="15.75" hidden="false" customHeight="true" outlineLevel="0" collapsed="false">
      <c r="A494" s="229"/>
      <c r="B494" s="189"/>
      <c r="C494" s="135"/>
      <c r="D494" s="135"/>
      <c r="E494" s="229"/>
      <c r="F494" s="229"/>
      <c r="G494" s="229"/>
      <c r="H494" s="229"/>
      <c r="I494" s="229"/>
      <c r="J494" s="229"/>
      <c r="K494" s="189"/>
      <c r="L494" s="135"/>
      <c r="M494" s="229"/>
      <c r="N494" s="189"/>
      <c r="O494" s="135"/>
      <c r="P494" s="135"/>
      <c r="Q494" s="135"/>
      <c r="R494" s="135"/>
      <c r="S494" s="135"/>
      <c r="T494" s="135"/>
    </row>
    <row r="495" customFormat="false" ht="15.75" hidden="false" customHeight="true" outlineLevel="0" collapsed="false">
      <c r="A495" s="229"/>
      <c r="B495" s="189"/>
      <c r="C495" s="135"/>
      <c r="D495" s="135"/>
      <c r="E495" s="229"/>
      <c r="F495" s="229"/>
      <c r="G495" s="229"/>
      <c r="H495" s="229"/>
      <c r="I495" s="229"/>
      <c r="J495" s="229"/>
      <c r="K495" s="189"/>
      <c r="L495" s="135"/>
      <c r="M495" s="229"/>
      <c r="N495" s="189"/>
      <c r="O495" s="135"/>
      <c r="P495" s="135"/>
      <c r="Q495" s="135"/>
      <c r="R495" s="135"/>
      <c r="S495" s="135"/>
      <c r="T495" s="135"/>
    </row>
    <row r="496" customFormat="false" ht="15.75" hidden="false" customHeight="true" outlineLevel="0" collapsed="false">
      <c r="A496" s="229"/>
      <c r="B496" s="189"/>
      <c r="C496" s="135"/>
      <c r="D496" s="135"/>
      <c r="E496" s="229"/>
      <c r="F496" s="229"/>
      <c r="G496" s="229"/>
      <c r="H496" s="229"/>
      <c r="I496" s="229"/>
      <c r="J496" s="229"/>
      <c r="K496" s="189"/>
      <c r="L496" s="135"/>
      <c r="M496" s="229"/>
      <c r="N496" s="189"/>
      <c r="O496" s="135"/>
      <c r="P496" s="135"/>
      <c r="Q496" s="135"/>
      <c r="R496" s="135"/>
      <c r="S496" s="135"/>
      <c r="T496" s="135"/>
    </row>
    <row r="497" customFormat="false" ht="15.75" hidden="false" customHeight="true" outlineLevel="0" collapsed="false">
      <c r="A497" s="229"/>
      <c r="B497" s="189"/>
      <c r="C497" s="135"/>
      <c r="D497" s="135"/>
      <c r="E497" s="229"/>
      <c r="F497" s="229"/>
      <c r="G497" s="229"/>
      <c r="H497" s="229"/>
      <c r="I497" s="229"/>
      <c r="J497" s="229"/>
      <c r="K497" s="189"/>
      <c r="L497" s="135"/>
      <c r="M497" s="229"/>
      <c r="N497" s="189"/>
      <c r="O497" s="135"/>
      <c r="P497" s="135"/>
      <c r="Q497" s="135"/>
      <c r="R497" s="135"/>
      <c r="S497" s="135"/>
      <c r="T497" s="135"/>
    </row>
    <row r="498" customFormat="false" ht="15.75" hidden="false" customHeight="true" outlineLevel="0" collapsed="false">
      <c r="A498" s="229"/>
      <c r="B498" s="189"/>
      <c r="C498" s="135"/>
      <c r="D498" s="135"/>
      <c r="E498" s="229"/>
      <c r="F498" s="229"/>
      <c r="G498" s="229"/>
      <c r="H498" s="229"/>
      <c r="I498" s="229"/>
      <c r="J498" s="229"/>
      <c r="K498" s="189"/>
      <c r="L498" s="135"/>
      <c r="M498" s="229"/>
      <c r="N498" s="189"/>
      <c r="O498" s="135"/>
      <c r="P498" s="135"/>
      <c r="Q498" s="135"/>
      <c r="R498" s="135"/>
      <c r="S498" s="135"/>
      <c r="T498" s="135"/>
    </row>
    <row r="499" customFormat="false" ht="15.75" hidden="false" customHeight="true" outlineLevel="0" collapsed="false">
      <c r="A499" s="229"/>
      <c r="B499" s="189"/>
      <c r="C499" s="135"/>
      <c r="D499" s="135"/>
      <c r="E499" s="229"/>
      <c r="F499" s="229"/>
      <c r="G499" s="229"/>
      <c r="H499" s="229"/>
      <c r="I499" s="229"/>
      <c r="J499" s="229"/>
      <c r="K499" s="189"/>
      <c r="L499" s="135"/>
      <c r="M499" s="229"/>
      <c r="N499" s="189"/>
      <c r="O499" s="135"/>
      <c r="P499" s="135"/>
      <c r="Q499" s="135"/>
      <c r="R499" s="135"/>
      <c r="S499" s="135"/>
      <c r="T499" s="135"/>
    </row>
    <row r="500" customFormat="false" ht="15.75" hidden="false" customHeight="true" outlineLevel="0" collapsed="false">
      <c r="A500" s="229"/>
      <c r="B500" s="189"/>
      <c r="C500" s="135"/>
      <c r="D500" s="135"/>
      <c r="E500" s="229"/>
      <c r="F500" s="229"/>
      <c r="G500" s="229"/>
      <c r="H500" s="229"/>
      <c r="I500" s="229"/>
      <c r="J500" s="229"/>
      <c r="K500" s="189"/>
      <c r="L500" s="135"/>
      <c r="M500" s="229"/>
      <c r="N500" s="189"/>
      <c r="O500" s="135"/>
      <c r="P500" s="135"/>
      <c r="Q500" s="135"/>
      <c r="R500" s="135"/>
      <c r="S500" s="135"/>
      <c r="T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Q7"/>
  <conditionalFormatting sqref="F4:F1000">
    <cfRule type="expression" priority="2" aboveAverage="0" equalAverage="0" bottom="0" percent="0" rank="0" text="" dxfId="18">
      <formula>ISNUMBER(SEARCH("positive",F4))</formula>
    </cfRule>
    <cfRule type="expression" priority="3" aboveAverage="0" equalAverage="0" bottom="0" percent="0" rank="0" text="" dxfId="14">
      <formula>ISNUMBER(SEARCH("negative",F4))</formula>
    </cfRule>
    <cfRule type="expression" priority="4" aboveAverage="0" equalAverage="0" bottom="0" percent="0" rank="0" text="" dxfId="15">
      <formula>ISNUMBER(SEARCH("neutral",F4))</formula>
    </cfRule>
  </conditionalFormatting>
  <conditionalFormatting sqref="H4:H1000">
    <cfRule type="expression" priority="5" aboveAverage="0" equalAverage="0" bottom="0" percent="0" rank="0" text="" dxfId="14">
      <formula>H4&lt;=2</formula>
    </cfRule>
    <cfRule type="expression" priority="6" aboveAverage="0" equalAverage="0" bottom="0" percent="0" rank="0" text="" dxfId="18">
      <formula>H4&gt;=4</formula>
    </cfRule>
  </conditionalFormatting>
  <conditionalFormatting sqref="R4:R1000">
    <cfRule type="expression" priority="7" aboveAverage="0" equalAverage="0" bottom="0" percent="0" rank="0" text="" dxfId="14">
      <formula>OR(ISNUMBER(SEARCH("Quá SLA",R4)),ISNUMBER(SEARCH("NGAY",R4)),ISNUMBER(SEARCH("trễ",R4)),ISNUMBER(SEARCH("missing",R4)))</formula>
    </cfRule>
    <cfRule type="expression" priority="8" aboveAverage="0" equalAverage="0" bottom="0" percent="0" rank="0" text="" dxfId="15">
      <formula>OR(ISNUMBER(SEARCH("đến hạn",R4)),ISNUMBER(SEARCH("chờ",R4)),ISNUMBER(SEARCH("Chưa",R4)))</formula>
    </cfRule>
    <cfRule type="expression" priority="9" aboveAverage="0" equalAverage="0" bottom="0" percent="0" rank="0" text="" dxfId="19">
      <formula>OR(ISNUMBER(SEARCH(" ngay",R4)),ISNUMBER(SEARCH(" gấp",R4)),ISNUMBER(SEARCH("GỌI",R4)),ISNUMBER(SEARCH("NGUY",R4)))</formula>
    </cfRule>
    <cfRule type="expression" priority="10" aboveAverage="0" equalAverage="0" bottom="0" percent="0" rank="0" text="" dxfId="20">
      <formula>ISNUMBER(SEARCH("Không cần làm gì",R4))</formula>
    </cfRule>
    <cfRule type="expression" priority="11" aboveAverage="0" equalAverage="0" bottom="0" percent="0" rank="0" text="" dxfId="21">
      <formula>LEN(R4)&gt;0</formula>
    </cfRule>
  </conditionalFormatting>
  <dataValidations count="4">
    <dataValidation allowBlank="true" errorStyle="stop" operator="between" showDropDown="false" showErrorMessage="false" showInputMessage="false" sqref="J4:J1000" type="list">
      <formula1>'CH1. Danh mục lựa chọn'!$B$311:$B$313</formula1>
      <formula2>0</formula2>
    </dataValidation>
    <dataValidation allowBlank="true" errorStyle="stop" operator="between" showDropDown="false" showErrorMessage="false" showInputMessage="false" sqref="E4:E1000" type="list">
      <formula1>'CH1. Danh mục lựa chọn'!$B$289:$B$293</formula1>
      <formula2>0</formula2>
    </dataValidation>
    <dataValidation allowBlank="true" errorStyle="stop" operator="between" showDropDown="false" showErrorMessage="false" showInputMessage="false" sqref="F4:F1000" type="list">
      <formula1>'CH1. Danh mục lựa chọn'!$B$297:$B$299</formula1>
      <formula2>0</formula2>
    </dataValidation>
    <dataValidation allowBlank="true" errorStyle="stop" operator="between" showDropDown="false" showErrorMessage="false" showInputMessage="false" sqref="G4:G1000" type="list">
      <formula1>'CH1. Danh mục lựa chọn'!$B$303:$B$307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V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9"/>
    <col collapsed="false" customWidth="true" hidden="false" outlineLevel="0" max="2" min="2" style="1" width="15.71"/>
    <col collapsed="false" customWidth="true" hidden="false" outlineLevel="0" max="3" min="3" style="1" width="17.71"/>
    <col collapsed="false" customWidth="true" hidden="false" outlineLevel="0" max="4" min="4" style="1" width="25.57"/>
    <col collapsed="false" customWidth="true" hidden="false" outlineLevel="0" max="5" min="5" style="1" width="28.43"/>
    <col collapsed="false" customWidth="true" hidden="false" outlineLevel="0" max="6" min="6" style="1" width="21.29"/>
    <col collapsed="false" customWidth="true" hidden="false" outlineLevel="0" max="7" min="7" style="1" width="33"/>
    <col collapsed="false" customWidth="true" hidden="false" outlineLevel="0" max="8" min="8" style="1" width="24.86"/>
    <col collapsed="false" customWidth="true" hidden="false" outlineLevel="0" max="9" min="9" style="1" width="35.43"/>
    <col collapsed="false" customWidth="true" hidden="false" outlineLevel="0" max="10" min="10" style="1" width="27.86"/>
    <col collapsed="false" customWidth="true" hidden="false" outlineLevel="0" max="11" min="11" style="1" width="23.43"/>
    <col collapsed="false" customWidth="true" hidden="false" outlineLevel="0" max="12" min="12" style="1" width="19.14"/>
    <col collapsed="false" customWidth="true" hidden="false" outlineLevel="0" max="13" min="13" style="1" width="38.29"/>
    <col collapsed="false" customWidth="true" hidden="false" outlineLevel="0" max="14" min="14" style="1" width="21.14"/>
    <col collapsed="false" customWidth="true" hidden="false" outlineLevel="0" max="15" min="15" style="1" width="25.14"/>
    <col collapsed="false" customWidth="true" hidden="false" outlineLevel="0" max="16" min="16" style="1" width="30.29"/>
    <col collapsed="false" customWidth="true" hidden="false" outlineLevel="0" max="17" min="17" style="1" width="23.71"/>
    <col collapsed="false" customWidth="true" hidden="false" outlineLevel="0" max="18" min="18" style="1" width="43.71"/>
    <col collapsed="false" customWidth="true" hidden="false" outlineLevel="0" max="19" min="19" style="1" width="10.14"/>
    <col collapsed="false" customWidth="true" hidden="false" outlineLevel="0" max="20" min="20" style="1" width="62"/>
    <col collapsed="false" customWidth="true" hidden="false" outlineLevel="0" max="22" min="21" style="1" width="25.71"/>
    <col collapsed="false" customWidth="true" hidden="false" outlineLevel="0" max="26" min="23" style="1" width="8.71"/>
  </cols>
  <sheetData>
    <row r="1" customFormat="false" ht="21.75" hidden="false" customHeight="true" outlineLevel="0" collapsed="false">
      <c r="A1" s="106" t="s">
        <v>3571</v>
      </c>
      <c r="B1" s="106" t="s">
        <v>850</v>
      </c>
      <c r="C1" s="106" t="s">
        <v>872</v>
      </c>
      <c r="D1" s="106" t="s">
        <v>908</v>
      </c>
      <c r="E1" s="106" t="s">
        <v>3572</v>
      </c>
      <c r="F1" s="106" t="s">
        <v>3573</v>
      </c>
      <c r="G1" s="106" t="s">
        <v>3574</v>
      </c>
      <c r="H1" s="106" t="s">
        <v>3575</v>
      </c>
      <c r="I1" s="106" t="s">
        <v>3576</v>
      </c>
      <c r="J1" s="106" t="s">
        <v>3577</v>
      </c>
      <c r="K1" s="106" t="s">
        <v>3578</v>
      </c>
      <c r="L1" s="106" t="s">
        <v>2989</v>
      </c>
      <c r="M1" s="106" t="s">
        <v>3579</v>
      </c>
      <c r="N1" s="106" t="s">
        <v>3580</v>
      </c>
      <c r="O1" s="106" t="s">
        <v>3581</v>
      </c>
      <c r="P1" s="106" t="s">
        <v>3582</v>
      </c>
      <c r="Q1" s="106" t="s">
        <v>3583</v>
      </c>
      <c r="R1" s="106" t="s">
        <v>874</v>
      </c>
      <c r="S1" s="106" t="s">
        <v>2270</v>
      </c>
      <c r="T1" s="183" t="s">
        <v>480</v>
      </c>
      <c r="U1" s="106" t="s">
        <v>862</v>
      </c>
      <c r="V1" s="106" t="s">
        <v>875</v>
      </c>
    </row>
    <row r="2" customFormat="false" ht="18" hidden="false" customHeight="true" outlineLevel="0" collapsed="false">
      <c r="A2" s="176" t="s">
        <v>3584</v>
      </c>
      <c r="B2" s="176" t="s">
        <v>2857</v>
      </c>
      <c r="C2" s="176" t="s">
        <v>3002</v>
      </c>
      <c r="D2" s="176" t="s">
        <v>3585</v>
      </c>
      <c r="E2" s="176" t="s">
        <v>3586</v>
      </c>
      <c r="F2" s="176" t="s">
        <v>3587</v>
      </c>
      <c r="G2" s="176" t="s">
        <v>3588</v>
      </c>
      <c r="H2" s="176" t="s">
        <v>3589</v>
      </c>
      <c r="I2" s="176" t="s">
        <v>3590</v>
      </c>
      <c r="J2" s="176" t="s">
        <v>3539</v>
      </c>
      <c r="K2" s="176" t="s">
        <v>3591</v>
      </c>
      <c r="L2" s="176" t="s">
        <v>3592</v>
      </c>
      <c r="M2" s="176" t="s">
        <v>3593</v>
      </c>
      <c r="N2" s="176" t="s">
        <v>3594</v>
      </c>
      <c r="O2" s="176" t="s">
        <v>3595</v>
      </c>
      <c r="P2" s="176" t="s">
        <v>3596</v>
      </c>
      <c r="Q2" s="176" t="s">
        <v>3597</v>
      </c>
      <c r="R2" s="176" t="s">
        <v>3009</v>
      </c>
      <c r="S2" s="176" t="s">
        <v>2281</v>
      </c>
      <c r="T2" s="176" t="s">
        <v>2503</v>
      </c>
      <c r="U2" s="176" t="s">
        <v>2873</v>
      </c>
      <c r="V2" s="176" t="s">
        <v>3010</v>
      </c>
    </row>
    <row r="3" customFormat="false" ht="27.75" hidden="false" customHeight="true" outlineLevel="0" collapsed="false">
      <c r="A3" s="195" t="s">
        <v>3598</v>
      </c>
      <c r="B3" s="195" t="s">
        <v>3315</v>
      </c>
      <c r="C3" s="195" t="s">
        <v>3599</v>
      </c>
      <c r="D3" s="195" t="s">
        <v>3600</v>
      </c>
      <c r="E3" s="195" t="s">
        <v>2514</v>
      </c>
      <c r="F3" s="195" t="s">
        <v>2521</v>
      </c>
      <c r="G3" s="195" t="s">
        <v>2514</v>
      </c>
      <c r="H3" s="195" t="s">
        <v>3601</v>
      </c>
      <c r="I3" s="195" t="s">
        <v>3602</v>
      </c>
      <c r="J3" s="195" t="s">
        <v>2514</v>
      </c>
      <c r="K3" s="195" t="s">
        <v>3603</v>
      </c>
      <c r="L3" s="195" t="s">
        <v>2521</v>
      </c>
      <c r="M3" s="195" t="s">
        <v>3604</v>
      </c>
      <c r="N3" s="195" t="s">
        <v>2521</v>
      </c>
      <c r="O3" s="195" t="s">
        <v>3605</v>
      </c>
      <c r="P3" s="195" t="s">
        <v>3606</v>
      </c>
      <c r="Q3" s="195" t="s">
        <v>3607</v>
      </c>
      <c r="R3" s="195" t="s">
        <v>3608</v>
      </c>
      <c r="S3" s="195"/>
      <c r="T3" s="195" t="s">
        <v>2523</v>
      </c>
      <c r="U3" s="195" t="s">
        <v>2888</v>
      </c>
      <c r="V3" s="195" t="s">
        <v>3022</v>
      </c>
    </row>
    <row r="4" customFormat="false" ht="48.75" hidden="false" customHeight="true" outlineLevel="0" collapsed="false">
      <c r="A4" s="209" t="s">
        <v>3558</v>
      </c>
      <c r="B4" s="210" t="str">
        <f aca="false">IFERROR(HYPERLINK("#'DL09. Học viên'!A"&amp;MATCH("HV005",'DL09. Học viên'!A:A,0),"HV005"),"HV005")</f>
        <v>HV005</v>
      </c>
      <c r="C4" s="245" t="str">
        <f aca="false">IFERROR(HYPERLINK("#'DL09. Học viên'!A"&amp;MATCH("LOP-IELTS-6.5-03",'DL10. Lớp học'!A:A,0),"LOP-IELTS-6.5-03"),"LOP-IELTS-6.5-03")</f>
        <v>LOP-IELTS-6.5-03</v>
      </c>
      <c r="D4" s="246" t="str">
        <f aca="false">IFERROR(HYPERLINK("#'DL09. Học viên'!A"&amp;MATCH("FB-2026-002",'DL16. Phản hồi'!A:A,0),"FB-2026-002"),"FB-2026-002")</f>
        <v>FB-2026-002</v>
      </c>
      <c r="E4" s="209" t="s">
        <v>1262</v>
      </c>
      <c r="F4" s="211" t="n">
        <v>46203.4166666667</v>
      </c>
      <c r="G4" s="209" t="s">
        <v>1294</v>
      </c>
      <c r="H4" s="209" t="s">
        <v>1301</v>
      </c>
      <c r="I4" s="209" t="s">
        <v>3609</v>
      </c>
      <c r="J4" s="209" t="s">
        <v>1304</v>
      </c>
      <c r="K4" s="210"/>
      <c r="L4" s="211" t="n">
        <v>46203.5</v>
      </c>
      <c r="M4" s="209"/>
      <c r="N4" s="211"/>
      <c r="O4" s="209"/>
      <c r="P4" s="219"/>
      <c r="Q4" s="209"/>
      <c r="R4" s="221" t="str">
        <f aca="false">IF(L4="","Chưa phân công",IF(N4="","Đang xử lý",IF(N4-F4&lt;=IF(ISNUMBER(SEARCH("high",H4)),0.25,IF(ISNUMBER(SEARCH("medium",H4)),1,3)),"Trong SLA","Quá SLA")))</f>
        <v>Đang xử lý</v>
      </c>
      <c r="S4" s="209"/>
      <c r="T4" s="212" t="str">
        <f aca="true" t="array" ref="T4:T4">IF(AND(ISNUMBER(SEARCH("low",H4)),(NOW()-N(F4))*24&gt;slaKN_low_hours,N4=""),INDEX('CH4. Thông điệp nhắc việc'!$G:$G,MATCH("NA080",'CH4. Thông điệp nhắc việc'!$A:$A,0)),IF(AND(ISNUMBER(SEARCH("new",J4)),(NOW()-N(F4))*24&gt;slaKN_assignment_hours),INDEX('CH4. Thông điệp nhắc việc'!$G:$G,MATCH("NA081",'CH4. Thông điệp nhắc việc'!$A:$A,0)),IF(AND(ISNUMBER(SEARCH("high",H4)),(NOW()-N(F4))*24&gt;slaKN_high_hours,N4=""),INDEX('CH4. Thông điệp nhắc việc'!$G:$G,MATCH("NA038",'CH4. Thông điệp nhắc việc'!$A:$A,0)),IF(AND(ISNUMBER(SEARCH("medium",H4)),(NOW()-N(F4))*24&gt;slaKN_medium_hours,N4=""),INDEX('CH4. Thông điệp nhắc việc'!$G:$G,MATCH("NA039",'CH4. Thông điệp nhắc việc'!$A:$A,0)),IF(AND(ISNUMBER(SEARCH("escalated",J4)),N4=""),INDEX('CH4. Thông điệp nhắc việc'!$G:$G,MATCH("NA040",'CH4. Thông điệp nhắc việc'!$A:$A,0)),IF(AND(ISNUMBER(SEARCH("resolved",J4)),ISNUMBER(SEARCH("accepted",O4))),INDEX('CH4. Thông điệp nhắc việc'!$G:$G,MATCH("NA041",'CH4. Thông điệp nhắc việc'!$A:$A,0)),INDEX('CH4. Thông điệp nhắc việc'!$G:$G,MATCH("NA013",'CH4. Thông điệp nhắc việc'!$A:$A,0))))))))</f>
        <v>Khiếu nại mức cao đã quá 4 giờ (cấu hình slaKN_high_hours) chưa xử lý xong. Việc cần làm: quản lý tham gia xử lý gấp.</v>
      </c>
      <c r="U4" s="224" t="str">
        <f aca="false">IFERROR(VLOOKUP(B4,'DL09. Học viên'!$A:$B,2,FALSE()),"")</f>
        <v>Võ Hoàng Em</v>
      </c>
      <c r="V4" s="179"/>
    </row>
    <row r="5" customFormat="false" ht="48.75" hidden="false" customHeight="true" outlineLevel="0" collapsed="false">
      <c r="A5" s="209" t="s">
        <v>3610</v>
      </c>
      <c r="B5" s="210" t="str">
        <f aca="false">IFERROR(HYPERLINK("#'DL09. Học viên'!A"&amp;MATCH("HV004",'DL09. Học viên'!A:A,0),"HV004"),"HV004")</f>
        <v>HV004</v>
      </c>
      <c r="C5" s="245" t="str">
        <f aca="false">IFERROR(HYPERLINK("#'DL09. Học viên'!A"&amp;MATCH("LOP-IELTS-7.0-02",'DL10. Lớp học'!A:A,0),"LOP-IELTS-7.0-02"),"LOP-IELTS-7.0-02")</f>
        <v>LOP-IELTS-7.0-02</v>
      </c>
      <c r="D5" s="246" t="str">
        <f aca="false">IFERROR(HYPERLINK("#'DL09. Học viên'!A"&amp;MATCH("FB-2026-004",'DL16. Phản hồi'!A:A,0),"FB-2026-004"),"FB-2026-004")</f>
        <v>FB-2026-004</v>
      </c>
      <c r="E5" s="209" t="s">
        <v>999</v>
      </c>
      <c r="F5" s="211" t="n">
        <v>46205.375</v>
      </c>
      <c r="G5" s="209" t="s">
        <v>1280</v>
      </c>
      <c r="H5" s="209" t="s">
        <v>1299</v>
      </c>
      <c r="I5" s="209" t="s">
        <v>3562</v>
      </c>
      <c r="J5" s="209" t="s">
        <v>1304</v>
      </c>
      <c r="K5" s="210"/>
      <c r="L5" s="211" t="n">
        <v>46205.4583333333</v>
      </c>
      <c r="M5" s="209"/>
      <c r="N5" s="211"/>
      <c r="O5" s="209"/>
      <c r="P5" s="219"/>
      <c r="Q5" s="209"/>
      <c r="R5" s="221" t="str">
        <f aca="false">IF(L5="","Chưa phân công",IF(N5="","Đang xử lý",IF(N5-F5&lt;=IF(ISNUMBER(SEARCH("high",H5)),0.25,IF(ISNUMBER(SEARCH("medium",H5)),1,3)),"Trong SLA","Quá SLA")))</f>
        <v>Đang xử lý</v>
      </c>
      <c r="S5" s="209"/>
      <c r="T5" s="212" t="str">
        <f aca="true" t="array" ref="T5:T5">IF(AND(ISNUMBER(SEARCH("low",H5)),(NOW()-N(F5))*24&gt;slaKN_low_hours,N5=""),INDEX('CH4. Thông điệp nhắc việc'!$G:$G,MATCH("NA080",'CH4. Thông điệp nhắc việc'!$A:$A,0)),IF(AND(ISNUMBER(SEARCH("new",J5)),(NOW()-N(F5))*24&gt;slaKN_assignment_hours),INDEX('CH4. Thông điệp nhắc việc'!$G:$G,MATCH("NA081",'CH4. Thông điệp nhắc việc'!$A:$A,0)),IF(AND(ISNUMBER(SEARCH("high",H5)),(NOW()-N(F5))*24&gt;slaKN_high_hours,N5=""),INDEX('CH4. Thông điệp nhắc việc'!$G:$G,MATCH("NA038",'CH4. Thông điệp nhắc việc'!$A:$A,0)),IF(AND(ISNUMBER(SEARCH("medium",H5)),(NOW()-N(F5))*24&gt;slaKN_medium_hours,N5=""),INDEX('CH4. Thông điệp nhắc việc'!$G:$G,MATCH("NA039",'CH4. Thông điệp nhắc việc'!$A:$A,0)),IF(AND(ISNUMBER(SEARCH("escalated",J5)),N5=""),INDEX('CH4. Thông điệp nhắc việc'!$G:$G,MATCH("NA040",'CH4. Thông điệp nhắc việc'!$A:$A,0)),IF(AND(ISNUMBER(SEARCH("resolved",J5)),ISNUMBER(SEARCH("accepted",O5))),INDEX('CH4. Thông điệp nhắc việc'!$G:$G,MATCH("NA041",'CH4. Thông điệp nhắc việc'!$A:$A,0)),INDEX('CH4. Thông điệp nhắc việc'!$G:$G,MATCH("NA013",'CH4. Thông điệp nhắc việc'!$A:$A,0))))))))</f>
        <v>Khiếu nại mức trung bình đã quá 48 giờ (cấu hình slaKN_medium_hours) chưa xử lý. Việc cần làm: xử lý ngay.</v>
      </c>
      <c r="U5" s="224" t="str">
        <f aca="false">IFERROR(VLOOKUP(B5,'DL09. Học viên'!$A:$B,2,FALSE()),"")</f>
        <v>Nguyễn Thị Dung</v>
      </c>
      <c r="V5" s="179"/>
    </row>
    <row r="6" customFormat="false" ht="48.75" hidden="false" customHeight="true" outlineLevel="0" collapsed="false">
      <c r="A6" s="209" t="s">
        <v>3611</v>
      </c>
      <c r="B6" s="210" t="str">
        <f aca="false">IFERROR(HYPERLINK("#'DL09. Học viên'!A"&amp;MATCH("HV003",'DL09. Học viên'!A:A,0),"HV003"),"HV003")</f>
        <v>HV003</v>
      </c>
      <c r="C6" s="245" t="str">
        <f aca="false">IFERROR(HYPERLINK("#'DL09. Học viên'!A"&amp;MATCH("LOP-IELTS-6.0-12",'DL10. Lớp học'!A:A,0),"LOP-IELTS-6.0-12"),"LOP-IELTS-6.0-12")</f>
        <v>LOP-IELTS-6.0-12</v>
      </c>
      <c r="D6" s="219"/>
      <c r="E6" s="209" t="s">
        <v>1288</v>
      </c>
      <c r="F6" s="211" t="n">
        <v>46204.375</v>
      </c>
      <c r="G6" s="209" t="s">
        <v>1276</v>
      </c>
      <c r="H6" s="209" t="s">
        <v>1297</v>
      </c>
      <c r="I6" s="209" t="s">
        <v>3612</v>
      </c>
      <c r="J6" s="209" t="s">
        <v>1303</v>
      </c>
      <c r="K6" s="210"/>
      <c r="L6" s="211"/>
      <c r="M6" s="209"/>
      <c r="N6" s="211"/>
      <c r="O6" s="209"/>
      <c r="P6" s="219"/>
      <c r="Q6" s="209"/>
      <c r="R6" s="221" t="str">
        <f aca="false">IF(L6="","Chưa phân công",IF(N6="","Đang xử lý",IF(N6-F6&lt;=IF(ISNUMBER(SEARCH("high",H6)),0.25,IF(ISNUMBER(SEARCH("medium",H6)),1,3)),"Trong SLA","Quá SLA")))</f>
        <v>Chưa phân công</v>
      </c>
      <c r="S6" s="209"/>
      <c r="T6" s="212" t="str">
        <f aca="true" t="array" ref="T6:T6">IF(AND(ISNUMBER(SEARCH("low",H6)),(NOW()-N(F6))*24&gt;slaKN_low_hours,N6=""),INDEX('CH4. Thông điệp nhắc việc'!$G:$G,MATCH("NA080",'CH4. Thông điệp nhắc việc'!$A:$A,0)),IF(AND(ISNUMBER(SEARCH("new",J6)),(NOW()-N(F6))*24&gt;slaKN_assignment_hours),INDEX('CH4. Thông điệp nhắc việc'!$G:$G,MATCH("NA081",'CH4. Thông điệp nhắc việc'!$A:$A,0)),IF(AND(ISNUMBER(SEARCH("high",H6)),(NOW()-N(F6))*24&gt;slaKN_high_hours,N6=""),INDEX('CH4. Thông điệp nhắc việc'!$G:$G,MATCH("NA038",'CH4. Thông điệp nhắc việc'!$A:$A,0)),IF(AND(ISNUMBER(SEARCH("medium",H6)),(NOW()-N(F6))*24&gt;slaKN_medium_hours,N6=""),INDEX('CH4. Thông điệp nhắc việc'!$G:$G,MATCH("NA039",'CH4. Thông điệp nhắc việc'!$A:$A,0)),IF(AND(ISNUMBER(SEARCH("escalated",J6)),N6=""),INDEX('CH4. Thông điệp nhắc việc'!$G:$G,MATCH("NA040",'CH4. Thông điệp nhắc việc'!$A:$A,0)),IF(AND(ISNUMBER(SEARCH("resolved",J6)),ISNUMBER(SEARCH("accepted",O6))),INDEX('CH4. Thông điệp nhắc việc'!$G:$G,MATCH("NA041",'CH4. Thông điệp nhắc việc'!$A:$A,0)),INDEX('CH4. Thông điệp nhắc việc'!$G:$G,MATCH("NA013",'CH4. Thông điệp nhắc việc'!$A:$A,0))))))))</f>
        <v>Khiếu nại mới đã quá 2 giờ (cấu hình slaKN_assignment_hours) chưa phân công người xử lý. Việc cần làm: phân công gấp.</v>
      </c>
      <c r="U6" s="224" t="str">
        <f aca="false">IFERROR(VLOOKUP(B6,'DL09. Học viên'!$A:$B,2,FALSE()),"")</f>
        <v>Phạm Quốc Cường</v>
      </c>
      <c r="V6" s="179"/>
    </row>
    <row r="7" customFormat="false" ht="48.75" hidden="false" customHeight="true" outlineLevel="0" collapsed="false">
      <c r="A7" s="209" t="s">
        <v>3613</v>
      </c>
      <c r="B7" s="210" t="str">
        <f aca="false">IFERROR(HYPERLINK("#'DL09. Học viên'!A"&amp;MATCH("HV002",'DL09. Học viên'!A:A,0),"HV002"),"HV002")</f>
        <v>HV002</v>
      </c>
      <c r="C7" s="245" t="str">
        <f aca="false">IFERROR(HYPERLINK("#'DL09. Học viên'!A"&amp;MATCH("LOP-IELTS-6.5-04",'DL10. Lớp học'!A:A,0),"LOP-IELTS-6.5-04"),"LOP-IELTS-6.5-04")</f>
        <v>LOP-IELTS-6.5-04</v>
      </c>
      <c r="D7" s="219"/>
      <c r="E7" s="209" t="s">
        <v>1262</v>
      </c>
      <c r="F7" s="211" t="n">
        <v>46188.375</v>
      </c>
      <c r="G7" s="209" t="s">
        <v>1293</v>
      </c>
      <c r="H7" s="209" t="s">
        <v>1299</v>
      </c>
      <c r="I7" s="209" t="s">
        <v>3614</v>
      </c>
      <c r="J7" s="209" t="s">
        <v>1285</v>
      </c>
      <c r="K7" s="210"/>
      <c r="L7" s="211" t="n">
        <v>46188.4583333333</v>
      </c>
      <c r="M7" s="209" t="s">
        <v>3615</v>
      </c>
      <c r="N7" s="211" t="n">
        <v>46189.375</v>
      </c>
      <c r="O7" s="209" t="s">
        <v>1309</v>
      </c>
      <c r="P7" s="219"/>
      <c r="Q7" s="209"/>
      <c r="R7" s="221" t="str">
        <f aca="false">IF(L7="","Chưa phân công",IF(N7="","Đang xử lý",IF(N7-F7&lt;=IF(ISNUMBER(SEARCH("high",H7)),0.25,IF(ISNUMBER(SEARCH("medium",H7)),1,3)),"Trong SLA","Quá SLA")))</f>
        <v>Trong SLA</v>
      </c>
      <c r="S7" s="209"/>
      <c r="T7" s="212" t="str">
        <f aca="true" t="array" ref="T7:T7">IF(AND(ISNUMBER(SEARCH("low",H7)),(NOW()-N(F7))*24&gt;slaKN_low_hours,N7=""),INDEX('CH4. Thông điệp nhắc việc'!$G:$G,MATCH("NA080",'CH4. Thông điệp nhắc việc'!$A:$A,0)),IF(AND(ISNUMBER(SEARCH("new",J7)),(NOW()-N(F7))*24&gt;slaKN_assignment_hours),INDEX('CH4. Thông điệp nhắc việc'!$G:$G,MATCH("NA081",'CH4. Thông điệp nhắc việc'!$A:$A,0)),IF(AND(ISNUMBER(SEARCH("high",H7)),(NOW()-N(F7))*24&gt;slaKN_high_hours,N7=""),INDEX('CH4. Thông điệp nhắc việc'!$G:$G,MATCH("NA038",'CH4. Thông điệp nhắc việc'!$A:$A,0)),IF(AND(ISNUMBER(SEARCH("medium",H7)),(NOW()-N(F7))*24&gt;slaKN_medium_hours,N7=""),INDEX('CH4. Thông điệp nhắc việc'!$G:$G,MATCH("NA039",'CH4. Thông điệp nhắc việc'!$A:$A,0)),IF(AND(ISNUMBER(SEARCH("escalated",J7)),N7=""),INDEX('CH4. Thông điệp nhắc việc'!$G:$G,MATCH("NA040",'CH4. Thông điệp nhắc việc'!$A:$A,0)),IF(AND(ISNUMBER(SEARCH("resolved",J7)),ISNUMBER(SEARCH("accepted",O7))),INDEX('CH4. Thông điệp nhắc việc'!$G:$G,MATCH("NA041",'CH4. Thông điệp nhắc việc'!$A:$A,0)),INDEX('CH4. Thông điệp nhắc việc'!$G:$G,MATCH("NA013",'CH4. Thông điệp nhắc việc'!$A:$A,0))))))))</f>
        <v>Đã giải quyết khiếu nại và HV chấp nhận. Không cần làm gì thêm.</v>
      </c>
      <c r="U7" s="224" t="str">
        <f aca="false">IFERROR(VLOOKUP(B7,'DL09. Học viên'!$A:$B,2,FALSE()),"")</f>
        <v>Lê Thị Bích Ngọc</v>
      </c>
      <c r="V7" s="179"/>
    </row>
    <row r="8" customFormat="false" ht="48.75" hidden="false" customHeight="true" outlineLevel="0" collapsed="false">
      <c r="A8" s="209" t="s">
        <v>3616</v>
      </c>
      <c r="B8" s="210" t="str">
        <f aca="false">IFERROR(HYPERLINK("#'DL09. Học viên'!A"&amp;MATCH("HV006",'DL09. Học viên'!A:A,0),"HV006"),"HV006")</f>
        <v>HV006</v>
      </c>
      <c r="C8" s="245" t="str">
        <f aca="false">IFERROR(HYPERLINK("#'DL09. Học viên'!A"&amp;MATCH("LOP-FOUND-02",'DL10. Lớp học'!A:A,0),"LOP-FOUND-02"),"LOP-FOUND-02")</f>
        <v>LOP-FOUND-02</v>
      </c>
      <c r="D8" s="219"/>
      <c r="E8" s="209" t="s">
        <v>1288</v>
      </c>
      <c r="F8" s="211" t="n">
        <v>46208.4468865741</v>
      </c>
      <c r="G8" s="209" t="s">
        <v>967</v>
      </c>
      <c r="H8" s="209" t="s">
        <v>1299</v>
      </c>
      <c r="I8" s="209" t="s">
        <v>3617</v>
      </c>
      <c r="J8" s="209" t="s">
        <v>1303</v>
      </c>
      <c r="K8" s="210"/>
      <c r="L8" s="211"/>
      <c r="M8" s="209"/>
      <c r="N8" s="211"/>
      <c r="O8" s="209"/>
      <c r="P8" s="219"/>
      <c r="Q8" s="209"/>
      <c r="R8" s="221" t="str">
        <f aca="false">IF(L8="","Chưa phân công",IF(N8="","Đang xử lý",IF(N8-F8&lt;=IF(ISNUMBER(SEARCH("high",H8)),0.25,IF(ISNUMBER(SEARCH("medium",H8)),1,3)),"Trong SLA","Quá SLA")))</f>
        <v>Chưa phân công</v>
      </c>
      <c r="S8" s="209"/>
      <c r="T8" s="212" t="str">
        <f aca="true" t="array" ref="T8:T8">IF(AND(ISNUMBER(SEARCH("low",H8)),(NOW()-N(F8))*24&gt;slaKN_low_hours,N8=""),INDEX('CH4. Thông điệp nhắc việc'!$G:$G,MATCH("NA080",'CH4. Thông điệp nhắc việc'!$A:$A,0)),IF(AND(ISNUMBER(SEARCH("new",J8)),(NOW()-N(F8))*24&gt;slaKN_assignment_hours),INDEX('CH4. Thông điệp nhắc việc'!$G:$G,MATCH("NA081",'CH4. Thông điệp nhắc việc'!$A:$A,0)),IF(AND(ISNUMBER(SEARCH("high",H8)),(NOW()-N(F8))*24&gt;slaKN_high_hours,N8=""),INDEX('CH4. Thông điệp nhắc việc'!$G:$G,MATCH("NA038",'CH4. Thông điệp nhắc việc'!$A:$A,0)),IF(AND(ISNUMBER(SEARCH("medium",H8)),(NOW()-N(F8))*24&gt;slaKN_medium_hours,N8=""),INDEX('CH4. Thông điệp nhắc việc'!$G:$G,MATCH("NA039",'CH4. Thông điệp nhắc việc'!$A:$A,0)),IF(AND(ISNUMBER(SEARCH("escalated",J8)),N8=""),INDEX('CH4. Thông điệp nhắc việc'!$G:$G,MATCH("NA040",'CH4. Thông điệp nhắc việc'!$A:$A,0)),IF(AND(ISNUMBER(SEARCH("resolved",J8)),ISNUMBER(SEARCH("accepted",O8))),INDEX('CH4. Thông điệp nhắc việc'!$G:$G,MATCH("NA041",'CH4. Thông điệp nhắc việc'!$A:$A,0)),INDEX('CH4. Thông điệp nhắc việc'!$G:$G,MATCH("NA013",'CH4. Thông điệp nhắc việc'!$A:$A,0))))))))</f>
        <v>Khiếu nại mới đã quá 2 giờ (cấu hình slaKN_assignment_hours) chưa phân công người xử lý. Việc cần làm: phân công gấp.</v>
      </c>
      <c r="U8" s="224" t="str">
        <f aca="false">IFERROR(VLOOKUP(B8,'DL09. Học viên'!$A:$B,2,FALSE()),"")</f>
        <v>Đặng Thu Hà</v>
      </c>
      <c r="V8" s="179"/>
    </row>
    <row r="9" customFormat="false" ht="23.25" hidden="false" customHeight="true" outlineLevel="0" collapsed="false">
      <c r="A9" s="203"/>
      <c r="B9" s="204"/>
      <c r="C9" s="203"/>
      <c r="D9" s="243"/>
      <c r="E9" s="203"/>
      <c r="F9" s="206"/>
      <c r="G9" s="203"/>
      <c r="H9" s="203"/>
      <c r="I9" s="203"/>
      <c r="J9" s="203"/>
      <c r="K9" s="204"/>
      <c r="L9" s="206"/>
      <c r="M9" s="203"/>
      <c r="N9" s="206"/>
      <c r="O9" s="203"/>
      <c r="P9" s="243"/>
      <c r="Q9" s="203"/>
      <c r="R9" s="247"/>
      <c r="S9" s="203"/>
      <c r="T9" s="244"/>
      <c r="U9" s="208"/>
      <c r="V9" s="179"/>
    </row>
    <row r="10" customFormat="false" ht="23.25" hidden="false" customHeight="true" outlineLevel="0" collapsed="false">
      <c r="A10" s="21"/>
      <c r="B10" s="180"/>
      <c r="C10" s="21"/>
      <c r="D10" s="240"/>
      <c r="E10" s="21"/>
      <c r="F10" s="185"/>
      <c r="G10" s="21"/>
      <c r="H10" s="21"/>
      <c r="I10" s="21"/>
      <c r="J10" s="21"/>
      <c r="K10" s="180"/>
      <c r="L10" s="185"/>
      <c r="M10" s="21"/>
      <c r="N10" s="185"/>
      <c r="O10" s="21"/>
      <c r="P10" s="240"/>
      <c r="Q10" s="21"/>
      <c r="R10" s="248"/>
      <c r="S10" s="21"/>
      <c r="T10" s="136"/>
      <c r="U10" s="181"/>
      <c r="V10" s="179"/>
    </row>
    <row r="11" customFormat="false" ht="23.25" hidden="false" customHeight="true" outlineLevel="0" collapsed="false">
      <c r="A11" s="21"/>
      <c r="B11" s="180"/>
      <c r="C11" s="21"/>
      <c r="D11" s="240"/>
      <c r="E11" s="21"/>
      <c r="F11" s="185"/>
      <c r="G11" s="21"/>
      <c r="H11" s="21"/>
      <c r="I11" s="21"/>
      <c r="J11" s="21"/>
      <c r="K11" s="180"/>
      <c r="L11" s="185"/>
      <c r="M11" s="21"/>
      <c r="N11" s="185"/>
      <c r="O11" s="21"/>
      <c r="P11" s="240"/>
      <c r="Q11" s="21"/>
      <c r="R11" s="248"/>
      <c r="S11" s="21"/>
      <c r="T11" s="136"/>
      <c r="U11" s="181"/>
      <c r="V11" s="179"/>
    </row>
    <row r="12" customFormat="false" ht="23.25" hidden="false" customHeight="true" outlineLevel="0" collapsed="false">
      <c r="A12" s="21"/>
      <c r="B12" s="180"/>
      <c r="C12" s="21"/>
      <c r="D12" s="240"/>
      <c r="E12" s="21"/>
      <c r="F12" s="185"/>
      <c r="G12" s="21"/>
      <c r="H12" s="21"/>
      <c r="I12" s="21"/>
      <c r="J12" s="21"/>
      <c r="K12" s="180"/>
      <c r="L12" s="185"/>
      <c r="M12" s="21"/>
      <c r="N12" s="185"/>
      <c r="O12" s="21"/>
      <c r="P12" s="240"/>
      <c r="Q12" s="21"/>
      <c r="R12" s="248"/>
      <c r="S12" s="21"/>
      <c r="T12" s="136"/>
      <c r="U12" s="181"/>
      <c r="V12" s="179"/>
    </row>
    <row r="13" customFormat="false" ht="15" hidden="false" customHeight="true" outlineLevel="0" collapsed="false">
      <c r="A13" s="135"/>
      <c r="B13" s="135"/>
      <c r="C13" s="135"/>
      <c r="D13" s="229"/>
      <c r="E13" s="135"/>
      <c r="F13" s="189"/>
      <c r="G13" s="135"/>
      <c r="H13" s="135"/>
      <c r="I13" s="135"/>
      <c r="J13" s="135"/>
      <c r="K13" s="135"/>
      <c r="L13" s="189"/>
      <c r="M13" s="135"/>
      <c r="N13" s="189"/>
      <c r="O13" s="135"/>
      <c r="P13" s="229"/>
      <c r="Q13" s="135"/>
      <c r="R13" s="135"/>
      <c r="S13" s="135"/>
      <c r="T13" s="135"/>
      <c r="U13" s="135"/>
      <c r="V13" s="135"/>
    </row>
    <row r="14" customFormat="false" ht="15" hidden="false" customHeight="true" outlineLevel="0" collapsed="false">
      <c r="A14" s="135"/>
      <c r="B14" s="135"/>
      <c r="C14" s="135"/>
      <c r="D14" s="229"/>
      <c r="E14" s="135"/>
      <c r="F14" s="189"/>
      <c r="G14" s="135"/>
      <c r="H14" s="135"/>
      <c r="I14" s="135"/>
      <c r="J14" s="135"/>
      <c r="K14" s="135"/>
      <c r="L14" s="189"/>
      <c r="M14" s="135"/>
      <c r="N14" s="189"/>
      <c r="O14" s="135"/>
      <c r="P14" s="229"/>
      <c r="Q14" s="135"/>
      <c r="R14" s="135"/>
      <c r="S14" s="135"/>
      <c r="T14" s="135"/>
      <c r="U14" s="135"/>
      <c r="V14" s="135"/>
    </row>
    <row r="15" customFormat="false" ht="15" hidden="false" customHeight="true" outlineLevel="0" collapsed="false">
      <c r="A15" s="135"/>
      <c r="B15" s="135"/>
      <c r="C15" s="135"/>
      <c r="D15" s="229"/>
      <c r="E15" s="135"/>
      <c r="F15" s="189"/>
      <c r="G15" s="135"/>
      <c r="H15" s="135"/>
      <c r="I15" s="135"/>
      <c r="J15" s="135"/>
      <c r="K15" s="135"/>
      <c r="L15" s="189"/>
      <c r="M15" s="135"/>
      <c r="N15" s="189"/>
      <c r="O15" s="135"/>
      <c r="P15" s="229"/>
      <c r="Q15" s="135"/>
      <c r="R15" s="135"/>
      <c r="S15" s="135"/>
      <c r="T15" s="135"/>
      <c r="U15" s="135"/>
      <c r="V15" s="135"/>
    </row>
    <row r="16" customFormat="false" ht="15" hidden="false" customHeight="true" outlineLevel="0" collapsed="false">
      <c r="A16" s="135"/>
      <c r="B16" s="135"/>
      <c r="C16" s="135"/>
      <c r="D16" s="229"/>
      <c r="E16" s="135"/>
      <c r="F16" s="189"/>
      <c r="G16" s="135"/>
      <c r="H16" s="135"/>
      <c r="I16" s="135"/>
      <c r="J16" s="135"/>
      <c r="K16" s="135"/>
      <c r="L16" s="189"/>
      <c r="M16" s="135"/>
      <c r="N16" s="189"/>
      <c r="O16" s="135"/>
      <c r="P16" s="229"/>
      <c r="Q16" s="135"/>
      <c r="R16" s="135"/>
      <c r="S16" s="135"/>
      <c r="T16" s="135"/>
      <c r="U16" s="135"/>
      <c r="V16" s="135"/>
    </row>
    <row r="17" customFormat="false" ht="15" hidden="false" customHeight="true" outlineLevel="0" collapsed="false">
      <c r="A17" s="135"/>
      <c r="B17" s="135"/>
      <c r="C17" s="135"/>
      <c r="D17" s="229"/>
      <c r="E17" s="135"/>
      <c r="F17" s="189"/>
      <c r="G17" s="135"/>
      <c r="H17" s="135"/>
      <c r="I17" s="135"/>
      <c r="J17" s="135"/>
      <c r="K17" s="135"/>
      <c r="L17" s="189"/>
      <c r="M17" s="135"/>
      <c r="N17" s="189"/>
      <c r="O17" s="135"/>
      <c r="P17" s="229"/>
      <c r="Q17" s="135"/>
      <c r="R17" s="135"/>
      <c r="S17" s="135"/>
      <c r="T17" s="135"/>
      <c r="U17" s="135"/>
      <c r="V17" s="135"/>
    </row>
    <row r="18" customFormat="false" ht="15" hidden="false" customHeight="true" outlineLevel="0" collapsed="false">
      <c r="A18" s="135"/>
      <c r="B18" s="135"/>
      <c r="C18" s="135"/>
      <c r="D18" s="229"/>
      <c r="E18" s="135"/>
      <c r="F18" s="189"/>
      <c r="G18" s="135"/>
      <c r="H18" s="135"/>
      <c r="I18" s="135"/>
      <c r="J18" s="135"/>
      <c r="K18" s="135"/>
      <c r="L18" s="189"/>
      <c r="M18" s="135"/>
      <c r="N18" s="189"/>
      <c r="O18" s="135"/>
      <c r="P18" s="229"/>
      <c r="Q18" s="135"/>
      <c r="R18" s="135"/>
      <c r="S18" s="135"/>
      <c r="T18" s="135"/>
      <c r="U18" s="135"/>
      <c r="V18" s="135"/>
    </row>
    <row r="19" customFormat="false" ht="15" hidden="false" customHeight="true" outlineLevel="0" collapsed="false">
      <c r="A19" s="135"/>
      <c r="B19" s="135"/>
      <c r="C19" s="135"/>
      <c r="D19" s="229"/>
      <c r="E19" s="135"/>
      <c r="F19" s="189"/>
      <c r="G19" s="135"/>
      <c r="H19" s="135"/>
      <c r="I19" s="135"/>
      <c r="J19" s="135"/>
      <c r="K19" s="135"/>
      <c r="L19" s="189"/>
      <c r="M19" s="135"/>
      <c r="N19" s="189"/>
      <c r="O19" s="135"/>
      <c r="P19" s="229"/>
      <c r="Q19" s="135"/>
      <c r="R19" s="135"/>
      <c r="S19" s="135"/>
      <c r="T19" s="135"/>
      <c r="U19" s="135"/>
      <c r="V19" s="135"/>
    </row>
    <row r="20" customFormat="false" ht="15" hidden="false" customHeight="true" outlineLevel="0" collapsed="false">
      <c r="A20" s="135"/>
      <c r="B20" s="135"/>
      <c r="C20" s="135"/>
      <c r="D20" s="229"/>
      <c r="E20" s="135"/>
      <c r="F20" s="189"/>
      <c r="G20" s="135"/>
      <c r="H20" s="135"/>
      <c r="I20" s="135"/>
      <c r="J20" s="135"/>
      <c r="K20" s="135"/>
      <c r="L20" s="189"/>
      <c r="M20" s="135"/>
      <c r="N20" s="189"/>
      <c r="O20" s="135"/>
      <c r="P20" s="229"/>
      <c r="Q20" s="135"/>
      <c r="R20" s="135"/>
      <c r="S20" s="135"/>
      <c r="T20" s="135"/>
      <c r="U20" s="135"/>
      <c r="V20" s="135"/>
    </row>
    <row r="21" customFormat="false" ht="15.75" hidden="false" customHeight="true" outlineLevel="0" collapsed="false">
      <c r="A21" s="135"/>
      <c r="B21" s="135"/>
      <c r="C21" s="135"/>
      <c r="D21" s="229"/>
      <c r="E21" s="135"/>
      <c r="F21" s="189"/>
      <c r="G21" s="135"/>
      <c r="H21" s="135"/>
      <c r="I21" s="135"/>
      <c r="J21" s="135"/>
      <c r="K21" s="135"/>
      <c r="L21" s="189"/>
      <c r="M21" s="135"/>
      <c r="N21" s="189"/>
      <c r="O21" s="135"/>
      <c r="P21" s="229"/>
      <c r="Q21" s="135"/>
      <c r="R21" s="135"/>
      <c r="S21" s="135"/>
      <c r="T21" s="135"/>
      <c r="U21" s="135"/>
      <c r="V21" s="135"/>
    </row>
    <row r="22" customFormat="false" ht="15.75" hidden="false" customHeight="true" outlineLevel="0" collapsed="false">
      <c r="A22" s="135"/>
      <c r="B22" s="135"/>
      <c r="C22" s="135"/>
      <c r="D22" s="229"/>
      <c r="E22" s="135"/>
      <c r="F22" s="189"/>
      <c r="G22" s="135"/>
      <c r="H22" s="135"/>
      <c r="I22" s="135"/>
      <c r="J22" s="135"/>
      <c r="K22" s="135"/>
      <c r="L22" s="189"/>
      <c r="M22" s="135"/>
      <c r="N22" s="189"/>
      <c r="O22" s="135"/>
      <c r="P22" s="229"/>
      <c r="Q22" s="135"/>
      <c r="R22" s="135"/>
      <c r="S22" s="135"/>
      <c r="T22" s="135"/>
      <c r="U22" s="135"/>
      <c r="V22" s="135"/>
    </row>
    <row r="23" customFormat="false" ht="15.75" hidden="false" customHeight="true" outlineLevel="0" collapsed="false">
      <c r="A23" s="135"/>
      <c r="B23" s="135"/>
      <c r="C23" s="135"/>
      <c r="D23" s="229"/>
      <c r="E23" s="135"/>
      <c r="F23" s="189"/>
      <c r="G23" s="135"/>
      <c r="H23" s="135"/>
      <c r="I23" s="135"/>
      <c r="J23" s="135"/>
      <c r="K23" s="135"/>
      <c r="L23" s="189"/>
      <c r="M23" s="135"/>
      <c r="N23" s="189"/>
      <c r="O23" s="135"/>
      <c r="P23" s="229"/>
      <c r="Q23" s="135"/>
      <c r="R23" s="135"/>
      <c r="S23" s="135"/>
      <c r="T23" s="135"/>
      <c r="U23" s="135"/>
      <c r="V23" s="135"/>
    </row>
    <row r="24" customFormat="false" ht="15.75" hidden="false" customHeight="true" outlineLevel="0" collapsed="false">
      <c r="A24" s="135"/>
      <c r="B24" s="135"/>
      <c r="C24" s="135"/>
      <c r="D24" s="229"/>
      <c r="E24" s="135"/>
      <c r="F24" s="189"/>
      <c r="G24" s="135"/>
      <c r="H24" s="135"/>
      <c r="I24" s="135"/>
      <c r="J24" s="135"/>
      <c r="K24" s="135"/>
      <c r="L24" s="189"/>
      <c r="M24" s="135"/>
      <c r="N24" s="189"/>
      <c r="O24" s="135"/>
      <c r="P24" s="229"/>
      <c r="Q24" s="135"/>
      <c r="R24" s="135"/>
      <c r="S24" s="135"/>
      <c r="T24" s="135"/>
      <c r="U24" s="135"/>
      <c r="V24" s="135"/>
    </row>
    <row r="25" customFormat="false" ht="15.75" hidden="false" customHeight="true" outlineLevel="0" collapsed="false">
      <c r="A25" s="135"/>
      <c r="B25" s="135"/>
      <c r="C25" s="135"/>
      <c r="D25" s="229"/>
      <c r="E25" s="135"/>
      <c r="F25" s="189"/>
      <c r="G25" s="135"/>
      <c r="H25" s="135"/>
      <c r="I25" s="135"/>
      <c r="J25" s="135"/>
      <c r="K25" s="135"/>
      <c r="L25" s="189"/>
      <c r="M25" s="135"/>
      <c r="N25" s="189"/>
      <c r="O25" s="135"/>
      <c r="P25" s="229"/>
      <c r="Q25" s="135"/>
      <c r="R25" s="135"/>
      <c r="S25" s="135"/>
      <c r="T25" s="135"/>
      <c r="U25" s="135"/>
      <c r="V25" s="135"/>
    </row>
    <row r="26" customFormat="false" ht="15.75" hidden="false" customHeight="true" outlineLevel="0" collapsed="false">
      <c r="A26" s="135"/>
      <c r="B26" s="135"/>
      <c r="C26" s="135"/>
      <c r="D26" s="229"/>
      <c r="E26" s="135"/>
      <c r="F26" s="189"/>
      <c r="G26" s="135"/>
      <c r="H26" s="135"/>
      <c r="I26" s="135"/>
      <c r="J26" s="135"/>
      <c r="K26" s="135"/>
      <c r="L26" s="189"/>
      <c r="M26" s="135"/>
      <c r="N26" s="189"/>
      <c r="O26" s="135"/>
      <c r="P26" s="229"/>
      <c r="Q26" s="135"/>
      <c r="R26" s="135"/>
      <c r="S26" s="135"/>
      <c r="T26" s="135"/>
      <c r="U26" s="135"/>
      <c r="V26" s="135"/>
    </row>
    <row r="27" customFormat="false" ht="15.75" hidden="false" customHeight="true" outlineLevel="0" collapsed="false">
      <c r="A27" s="135"/>
      <c r="B27" s="135"/>
      <c r="C27" s="135"/>
      <c r="D27" s="229"/>
      <c r="E27" s="135"/>
      <c r="F27" s="189"/>
      <c r="G27" s="135"/>
      <c r="H27" s="135"/>
      <c r="I27" s="135"/>
      <c r="J27" s="135"/>
      <c r="K27" s="135"/>
      <c r="L27" s="189"/>
      <c r="M27" s="135"/>
      <c r="N27" s="189"/>
      <c r="O27" s="135"/>
      <c r="P27" s="229"/>
      <c r="Q27" s="135"/>
      <c r="R27" s="135"/>
      <c r="S27" s="135"/>
      <c r="T27" s="135"/>
      <c r="U27" s="135"/>
      <c r="V27" s="135"/>
    </row>
    <row r="28" customFormat="false" ht="15.75" hidden="false" customHeight="true" outlineLevel="0" collapsed="false">
      <c r="A28" s="135"/>
      <c r="B28" s="135"/>
      <c r="C28" s="135"/>
      <c r="D28" s="229"/>
      <c r="E28" s="135"/>
      <c r="F28" s="189"/>
      <c r="G28" s="135"/>
      <c r="H28" s="135"/>
      <c r="I28" s="135"/>
      <c r="J28" s="135"/>
      <c r="K28" s="135"/>
      <c r="L28" s="189"/>
      <c r="M28" s="135"/>
      <c r="N28" s="189"/>
      <c r="O28" s="135"/>
      <c r="P28" s="229"/>
      <c r="Q28" s="135"/>
      <c r="R28" s="135"/>
      <c r="S28" s="135"/>
      <c r="T28" s="135"/>
      <c r="U28" s="135"/>
      <c r="V28" s="135"/>
    </row>
    <row r="29" customFormat="false" ht="15.75" hidden="false" customHeight="true" outlineLevel="0" collapsed="false">
      <c r="A29" s="135"/>
      <c r="B29" s="135"/>
      <c r="C29" s="135"/>
      <c r="D29" s="229"/>
      <c r="E29" s="135"/>
      <c r="F29" s="189"/>
      <c r="G29" s="135"/>
      <c r="H29" s="135"/>
      <c r="I29" s="135"/>
      <c r="J29" s="135"/>
      <c r="K29" s="135"/>
      <c r="L29" s="189"/>
      <c r="M29" s="135"/>
      <c r="N29" s="189"/>
      <c r="O29" s="135"/>
      <c r="P29" s="229"/>
      <c r="Q29" s="135"/>
      <c r="R29" s="135"/>
      <c r="S29" s="135"/>
      <c r="T29" s="135"/>
      <c r="U29" s="135"/>
      <c r="V29" s="135"/>
    </row>
    <row r="30" customFormat="false" ht="15.75" hidden="false" customHeight="true" outlineLevel="0" collapsed="false">
      <c r="A30" s="135"/>
      <c r="B30" s="135"/>
      <c r="C30" s="135"/>
      <c r="D30" s="229"/>
      <c r="E30" s="135"/>
      <c r="F30" s="189"/>
      <c r="G30" s="135"/>
      <c r="H30" s="135"/>
      <c r="I30" s="135"/>
      <c r="J30" s="135"/>
      <c r="K30" s="135"/>
      <c r="L30" s="189"/>
      <c r="M30" s="135"/>
      <c r="N30" s="189"/>
      <c r="O30" s="135"/>
      <c r="P30" s="229"/>
      <c r="Q30" s="135"/>
      <c r="R30" s="135"/>
      <c r="S30" s="135"/>
      <c r="T30" s="135"/>
      <c r="U30" s="135"/>
      <c r="V30" s="135"/>
    </row>
    <row r="31" customFormat="false" ht="15.75" hidden="false" customHeight="true" outlineLevel="0" collapsed="false">
      <c r="A31" s="135"/>
      <c r="B31" s="135"/>
      <c r="C31" s="135"/>
      <c r="D31" s="229"/>
      <c r="E31" s="135"/>
      <c r="F31" s="189"/>
      <c r="G31" s="135"/>
      <c r="H31" s="135"/>
      <c r="I31" s="135"/>
      <c r="J31" s="135"/>
      <c r="K31" s="135"/>
      <c r="L31" s="189"/>
      <c r="M31" s="135"/>
      <c r="N31" s="189"/>
      <c r="O31" s="135"/>
      <c r="P31" s="229"/>
      <c r="Q31" s="135"/>
      <c r="R31" s="135"/>
      <c r="S31" s="135"/>
      <c r="T31" s="135"/>
      <c r="U31" s="135"/>
      <c r="V31" s="135"/>
    </row>
    <row r="32" customFormat="false" ht="15.75" hidden="false" customHeight="true" outlineLevel="0" collapsed="false">
      <c r="A32" s="135"/>
      <c r="B32" s="135"/>
      <c r="C32" s="135"/>
      <c r="D32" s="229"/>
      <c r="E32" s="135"/>
      <c r="F32" s="189"/>
      <c r="G32" s="135"/>
      <c r="H32" s="135"/>
      <c r="I32" s="135"/>
      <c r="J32" s="135"/>
      <c r="K32" s="135"/>
      <c r="L32" s="189"/>
      <c r="M32" s="135"/>
      <c r="N32" s="189"/>
      <c r="O32" s="135"/>
      <c r="P32" s="229"/>
      <c r="Q32" s="135"/>
      <c r="R32" s="135"/>
      <c r="S32" s="135"/>
      <c r="T32" s="135"/>
      <c r="U32" s="135"/>
      <c r="V32" s="135"/>
    </row>
    <row r="33" customFormat="false" ht="15.75" hidden="false" customHeight="true" outlineLevel="0" collapsed="false">
      <c r="A33" s="135"/>
      <c r="B33" s="135"/>
      <c r="C33" s="135"/>
      <c r="D33" s="229"/>
      <c r="E33" s="135"/>
      <c r="F33" s="189"/>
      <c r="G33" s="135"/>
      <c r="H33" s="135"/>
      <c r="I33" s="135"/>
      <c r="J33" s="135"/>
      <c r="K33" s="135"/>
      <c r="L33" s="189"/>
      <c r="M33" s="135"/>
      <c r="N33" s="189"/>
      <c r="O33" s="135"/>
      <c r="P33" s="229"/>
      <c r="Q33" s="135"/>
      <c r="R33" s="135"/>
      <c r="S33" s="135"/>
      <c r="T33" s="135"/>
      <c r="U33" s="135"/>
      <c r="V33" s="135"/>
    </row>
    <row r="34" customFormat="false" ht="15.75" hidden="false" customHeight="true" outlineLevel="0" collapsed="false">
      <c r="A34" s="135"/>
      <c r="B34" s="135"/>
      <c r="C34" s="135"/>
      <c r="D34" s="229"/>
      <c r="E34" s="135"/>
      <c r="F34" s="189"/>
      <c r="G34" s="135"/>
      <c r="H34" s="135"/>
      <c r="I34" s="135"/>
      <c r="J34" s="135"/>
      <c r="K34" s="135"/>
      <c r="L34" s="189"/>
      <c r="M34" s="135"/>
      <c r="N34" s="189"/>
      <c r="O34" s="135"/>
      <c r="P34" s="229"/>
      <c r="Q34" s="135"/>
      <c r="R34" s="135"/>
      <c r="S34" s="135"/>
      <c r="T34" s="135"/>
      <c r="U34" s="135"/>
      <c r="V34" s="135"/>
    </row>
    <row r="35" customFormat="false" ht="15.75" hidden="false" customHeight="true" outlineLevel="0" collapsed="false">
      <c r="A35" s="135"/>
      <c r="B35" s="135"/>
      <c r="C35" s="135"/>
      <c r="D35" s="229"/>
      <c r="E35" s="135"/>
      <c r="F35" s="189"/>
      <c r="G35" s="135"/>
      <c r="H35" s="135"/>
      <c r="I35" s="135"/>
      <c r="J35" s="135"/>
      <c r="K35" s="135"/>
      <c r="L35" s="189"/>
      <c r="M35" s="135"/>
      <c r="N35" s="189"/>
      <c r="O35" s="135"/>
      <c r="P35" s="229"/>
      <c r="Q35" s="135"/>
      <c r="R35" s="135"/>
      <c r="S35" s="135"/>
      <c r="T35" s="135"/>
      <c r="U35" s="135"/>
      <c r="V35" s="135"/>
    </row>
    <row r="36" customFormat="false" ht="15.75" hidden="false" customHeight="true" outlineLevel="0" collapsed="false">
      <c r="A36" s="135"/>
      <c r="B36" s="135"/>
      <c r="C36" s="135"/>
      <c r="D36" s="229"/>
      <c r="E36" s="135"/>
      <c r="F36" s="189"/>
      <c r="G36" s="135"/>
      <c r="H36" s="135"/>
      <c r="I36" s="135"/>
      <c r="J36" s="135"/>
      <c r="K36" s="135"/>
      <c r="L36" s="189"/>
      <c r="M36" s="135"/>
      <c r="N36" s="189"/>
      <c r="O36" s="135"/>
      <c r="P36" s="229"/>
      <c r="Q36" s="135"/>
      <c r="R36" s="135"/>
      <c r="S36" s="135"/>
      <c r="T36" s="135"/>
      <c r="U36" s="135"/>
      <c r="V36" s="135"/>
    </row>
    <row r="37" customFormat="false" ht="15.75" hidden="false" customHeight="true" outlineLevel="0" collapsed="false">
      <c r="A37" s="135"/>
      <c r="B37" s="135"/>
      <c r="C37" s="135"/>
      <c r="D37" s="229"/>
      <c r="E37" s="135"/>
      <c r="F37" s="189"/>
      <c r="G37" s="135"/>
      <c r="H37" s="135"/>
      <c r="I37" s="135"/>
      <c r="J37" s="135"/>
      <c r="K37" s="135"/>
      <c r="L37" s="189"/>
      <c r="M37" s="135"/>
      <c r="N37" s="189"/>
      <c r="O37" s="135"/>
      <c r="P37" s="229"/>
      <c r="Q37" s="135"/>
      <c r="R37" s="135"/>
      <c r="S37" s="135"/>
      <c r="T37" s="135"/>
      <c r="U37" s="135"/>
      <c r="V37" s="135"/>
    </row>
    <row r="38" customFormat="false" ht="15.75" hidden="false" customHeight="true" outlineLevel="0" collapsed="false">
      <c r="A38" s="135"/>
      <c r="B38" s="135"/>
      <c r="C38" s="135"/>
      <c r="D38" s="229"/>
      <c r="E38" s="135"/>
      <c r="F38" s="189"/>
      <c r="G38" s="135"/>
      <c r="H38" s="135"/>
      <c r="I38" s="135"/>
      <c r="J38" s="135"/>
      <c r="K38" s="135"/>
      <c r="L38" s="189"/>
      <c r="M38" s="135"/>
      <c r="N38" s="189"/>
      <c r="O38" s="135"/>
      <c r="P38" s="229"/>
      <c r="Q38" s="135"/>
      <c r="R38" s="135"/>
      <c r="S38" s="135"/>
      <c r="T38" s="135"/>
      <c r="U38" s="135"/>
      <c r="V38" s="135"/>
    </row>
    <row r="39" customFormat="false" ht="15.75" hidden="false" customHeight="true" outlineLevel="0" collapsed="false">
      <c r="A39" s="135"/>
      <c r="B39" s="135"/>
      <c r="C39" s="135"/>
      <c r="D39" s="229"/>
      <c r="E39" s="135"/>
      <c r="F39" s="189"/>
      <c r="G39" s="135"/>
      <c r="H39" s="135"/>
      <c r="I39" s="135"/>
      <c r="J39" s="135"/>
      <c r="K39" s="135"/>
      <c r="L39" s="189"/>
      <c r="M39" s="135"/>
      <c r="N39" s="189"/>
      <c r="O39" s="135"/>
      <c r="P39" s="229"/>
      <c r="Q39" s="135"/>
      <c r="R39" s="135"/>
      <c r="S39" s="135"/>
      <c r="T39" s="135"/>
      <c r="U39" s="135"/>
      <c r="V39" s="135"/>
    </row>
    <row r="40" customFormat="false" ht="15.75" hidden="false" customHeight="true" outlineLevel="0" collapsed="false">
      <c r="A40" s="135"/>
      <c r="B40" s="135"/>
      <c r="C40" s="135"/>
      <c r="D40" s="229"/>
      <c r="E40" s="135"/>
      <c r="F40" s="189"/>
      <c r="G40" s="135"/>
      <c r="H40" s="135"/>
      <c r="I40" s="135"/>
      <c r="J40" s="135"/>
      <c r="K40" s="135"/>
      <c r="L40" s="189"/>
      <c r="M40" s="135"/>
      <c r="N40" s="189"/>
      <c r="O40" s="135"/>
      <c r="P40" s="229"/>
      <c r="Q40" s="135"/>
      <c r="R40" s="135"/>
      <c r="S40" s="135"/>
      <c r="T40" s="135"/>
      <c r="U40" s="135"/>
      <c r="V40" s="135"/>
    </row>
    <row r="41" customFormat="false" ht="15.75" hidden="false" customHeight="true" outlineLevel="0" collapsed="false">
      <c r="A41" s="135"/>
      <c r="B41" s="135"/>
      <c r="C41" s="135"/>
      <c r="D41" s="229"/>
      <c r="E41" s="135"/>
      <c r="F41" s="189"/>
      <c r="G41" s="135"/>
      <c r="H41" s="135"/>
      <c r="I41" s="135"/>
      <c r="J41" s="135"/>
      <c r="K41" s="135"/>
      <c r="L41" s="189"/>
      <c r="M41" s="135"/>
      <c r="N41" s="189"/>
      <c r="O41" s="135"/>
      <c r="P41" s="229"/>
      <c r="Q41" s="135"/>
      <c r="R41" s="135"/>
      <c r="S41" s="135"/>
      <c r="T41" s="135"/>
      <c r="U41" s="135"/>
      <c r="V41" s="135"/>
    </row>
    <row r="42" customFormat="false" ht="15.75" hidden="false" customHeight="true" outlineLevel="0" collapsed="false">
      <c r="A42" s="135"/>
      <c r="B42" s="135"/>
      <c r="C42" s="135"/>
      <c r="D42" s="229"/>
      <c r="E42" s="135"/>
      <c r="F42" s="189"/>
      <c r="G42" s="135"/>
      <c r="H42" s="135"/>
      <c r="I42" s="135"/>
      <c r="J42" s="135"/>
      <c r="K42" s="135"/>
      <c r="L42" s="189"/>
      <c r="M42" s="135"/>
      <c r="N42" s="189"/>
      <c r="O42" s="135"/>
      <c r="P42" s="229"/>
      <c r="Q42" s="135"/>
      <c r="R42" s="135"/>
      <c r="S42" s="135"/>
      <c r="T42" s="135"/>
      <c r="U42" s="135"/>
      <c r="V42" s="135"/>
    </row>
    <row r="43" customFormat="false" ht="15.75" hidden="false" customHeight="true" outlineLevel="0" collapsed="false">
      <c r="A43" s="135"/>
      <c r="B43" s="135"/>
      <c r="C43" s="135"/>
      <c r="D43" s="229"/>
      <c r="E43" s="135"/>
      <c r="F43" s="189"/>
      <c r="G43" s="135"/>
      <c r="H43" s="135"/>
      <c r="I43" s="135"/>
      <c r="J43" s="135"/>
      <c r="K43" s="135"/>
      <c r="L43" s="189"/>
      <c r="M43" s="135"/>
      <c r="N43" s="189"/>
      <c r="O43" s="135"/>
      <c r="P43" s="229"/>
      <c r="Q43" s="135"/>
      <c r="R43" s="135"/>
      <c r="S43" s="135"/>
      <c r="T43" s="135"/>
      <c r="U43" s="135"/>
      <c r="V43" s="135"/>
    </row>
    <row r="44" customFormat="false" ht="15.75" hidden="false" customHeight="true" outlineLevel="0" collapsed="false">
      <c r="A44" s="135"/>
      <c r="B44" s="135"/>
      <c r="C44" s="135"/>
      <c r="D44" s="229"/>
      <c r="E44" s="135"/>
      <c r="F44" s="189"/>
      <c r="G44" s="135"/>
      <c r="H44" s="135"/>
      <c r="I44" s="135"/>
      <c r="J44" s="135"/>
      <c r="K44" s="135"/>
      <c r="L44" s="189"/>
      <c r="M44" s="135"/>
      <c r="N44" s="189"/>
      <c r="O44" s="135"/>
      <c r="P44" s="229"/>
      <c r="Q44" s="135"/>
      <c r="R44" s="135"/>
      <c r="S44" s="135"/>
      <c r="T44" s="135"/>
      <c r="U44" s="135"/>
      <c r="V44" s="135"/>
    </row>
    <row r="45" customFormat="false" ht="15.75" hidden="false" customHeight="true" outlineLevel="0" collapsed="false">
      <c r="A45" s="135"/>
      <c r="B45" s="135"/>
      <c r="C45" s="135"/>
      <c r="D45" s="229"/>
      <c r="E45" s="135"/>
      <c r="F45" s="189"/>
      <c r="G45" s="135"/>
      <c r="H45" s="135"/>
      <c r="I45" s="135"/>
      <c r="J45" s="135"/>
      <c r="K45" s="135"/>
      <c r="L45" s="189"/>
      <c r="M45" s="135"/>
      <c r="N45" s="189"/>
      <c r="O45" s="135"/>
      <c r="P45" s="229"/>
      <c r="Q45" s="135"/>
      <c r="R45" s="135"/>
      <c r="S45" s="135"/>
      <c r="T45" s="135"/>
      <c r="U45" s="135"/>
      <c r="V45" s="135"/>
    </row>
    <row r="46" customFormat="false" ht="15.75" hidden="false" customHeight="true" outlineLevel="0" collapsed="false">
      <c r="A46" s="135"/>
      <c r="B46" s="135"/>
      <c r="C46" s="135"/>
      <c r="D46" s="229"/>
      <c r="E46" s="135"/>
      <c r="F46" s="189"/>
      <c r="G46" s="135"/>
      <c r="H46" s="135"/>
      <c r="I46" s="135"/>
      <c r="J46" s="135"/>
      <c r="K46" s="135"/>
      <c r="L46" s="189"/>
      <c r="M46" s="135"/>
      <c r="N46" s="189"/>
      <c r="O46" s="135"/>
      <c r="P46" s="229"/>
      <c r="Q46" s="135"/>
      <c r="R46" s="135"/>
      <c r="S46" s="135"/>
      <c r="T46" s="135"/>
      <c r="U46" s="135"/>
      <c r="V46" s="135"/>
    </row>
    <row r="47" customFormat="false" ht="15.75" hidden="false" customHeight="true" outlineLevel="0" collapsed="false">
      <c r="A47" s="135"/>
      <c r="B47" s="135"/>
      <c r="C47" s="135"/>
      <c r="D47" s="229"/>
      <c r="E47" s="135"/>
      <c r="F47" s="189"/>
      <c r="G47" s="135"/>
      <c r="H47" s="135"/>
      <c r="I47" s="135"/>
      <c r="J47" s="135"/>
      <c r="K47" s="135"/>
      <c r="L47" s="189"/>
      <c r="M47" s="135"/>
      <c r="N47" s="189"/>
      <c r="O47" s="135"/>
      <c r="P47" s="229"/>
      <c r="Q47" s="135"/>
      <c r="R47" s="135"/>
      <c r="S47" s="135"/>
      <c r="T47" s="135"/>
      <c r="U47" s="135"/>
      <c r="V47" s="135"/>
    </row>
    <row r="48" customFormat="false" ht="15.75" hidden="false" customHeight="true" outlineLevel="0" collapsed="false">
      <c r="A48" s="135"/>
      <c r="B48" s="135"/>
      <c r="C48" s="135"/>
      <c r="D48" s="229"/>
      <c r="E48" s="135"/>
      <c r="F48" s="189"/>
      <c r="G48" s="135"/>
      <c r="H48" s="135"/>
      <c r="I48" s="135"/>
      <c r="J48" s="135"/>
      <c r="K48" s="135"/>
      <c r="L48" s="189"/>
      <c r="M48" s="135"/>
      <c r="N48" s="189"/>
      <c r="O48" s="135"/>
      <c r="P48" s="229"/>
      <c r="Q48" s="135"/>
      <c r="R48" s="135"/>
      <c r="S48" s="135"/>
      <c r="T48" s="135"/>
      <c r="U48" s="135"/>
      <c r="V48" s="135"/>
    </row>
    <row r="49" customFormat="false" ht="15.75" hidden="false" customHeight="true" outlineLevel="0" collapsed="false">
      <c r="A49" s="135"/>
      <c r="B49" s="135"/>
      <c r="C49" s="135"/>
      <c r="D49" s="229"/>
      <c r="E49" s="135"/>
      <c r="F49" s="189"/>
      <c r="G49" s="135"/>
      <c r="H49" s="135"/>
      <c r="I49" s="135"/>
      <c r="J49" s="135"/>
      <c r="K49" s="135"/>
      <c r="L49" s="189"/>
      <c r="M49" s="135"/>
      <c r="N49" s="189"/>
      <c r="O49" s="135"/>
      <c r="P49" s="229"/>
      <c r="Q49" s="135"/>
      <c r="R49" s="135"/>
      <c r="S49" s="135"/>
      <c r="T49" s="135"/>
      <c r="U49" s="135"/>
      <c r="V49" s="135"/>
    </row>
    <row r="50" customFormat="false" ht="15.75" hidden="false" customHeight="true" outlineLevel="0" collapsed="false">
      <c r="A50" s="135"/>
      <c r="B50" s="135"/>
      <c r="C50" s="135"/>
      <c r="D50" s="229"/>
      <c r="E50" s="135"/>
      <c r="F50" s="189"/>
      <c r="G50" s="135"/>
      <c r="H50" s="135"/>
      <c r="I50" s="135"/>
      <c r="J50" s="135"/>
      <c r="K50" s="135"/>
      <c r="L50" s="189"/>
      <c r="M50" s="135"/>
      <c r="N50" s="189"/>
      <c r="O50" s="135"/>
      <c r="P50" s="229"/>
      <c r="Q50" s="135"/>
      <c r="R50" s="135"/>
      <c r="S50" s="135"/>
      <c r="T50" s="135"/>
      <c r="U50" s="135"/>
      <c r="V50" s="135"/>
    </row>
    <row r="51" customFormat="false" ht="15.75" hidden="false" customHeight="true" outlineLevel="0" collapsed="false">
      <c r="A51" s="135"/>
      <c r="B51" s="135"/>
      <c r="C51" s="135"/>
      <c r="D51" s="229"/>
      <c r="E51" s="135"/>
      <c r="F51" s="189"/>
      <c r="G51" s="135"/>
      <c r="H51" s="135"/>
      <c r="I51" s="135"/>
      <c r="J51" s="135"/>
      <c r="K51" s="135"/>
      <c r="L51" s="189"/>
      <c r="M51" s="135"/>
      <c r="N51" s="189"/>
      <c r="O51" s="135"/>
      <c r="P51" s="229"/>
      <c r="Q51" s="135"/>
      <c r="R51" s="135"/>
      <c r="S51" s="135"/>
      <c r="T51" s="135"/>
      <c r="U51" s="135"/>
      <c r="V51" s="135"/>
    </row>
    <row r="52" customFormat="false" ht="15.75" hidden="false" customHeight="true" outlineLevel="0" collapsed="false">
      <c r="A52" s="135"/>
      <c r="B52" s="135"/>
      <c r="C52" s="135"/>
      <c r="D52" s="229"/>
      <c r="E52" s="135"/>
      <c r="F52" s="189"/>
      <c r="G52" s="135"/>
      <c r="H52" s="135"/>
      <c r="I52" s="135"/>
      <c r="J52" s="135"/>
      <c r="K52" s="135"/>
      <c r="L52" s="189"/>
      <c r="M52" s="135"/>
      <c r="N52" s="189"/>
      <c r="O52" s="135"/>
      <c r="P52" s="229"/>
      <c r="Q52" s="135"/>
      <c r="R52" s="135"/>
      <c r="S52" s="135"/>
      <c r="T52" s="135"/>
      <c r="U52" s="135"/>
      <c r="V52" s="135"/>
    </row>
    <row r="53" customFormat="false" ht="15.75" hidden="false" customHeight="true" outlineLevel="0" collapsed="false">
      <c r="A53" s="135"/>
      <c r="B53" s="135"/>
      <c r="C53" s="135"/>
      <c r="D53" s="229"/>
      <c r="E53" s="135"/>
      <c r="F53" s="189"/>
      <c r="G53" s="135"/>
      <c r="H53" s="135"/>
      <c r="I53" s="135"/>
      <c r="J53" s="135"/>
      <c r="K53" s="135"/>
      <c r="L53" s="189"/>
      <c r="M53" s="135"/>
      <c r="N53" s="189"/>
      <c r="O53" s="135"/>
      <c r="P53" s="229"/>
      <c r="Q53" s="135"/>
      <c r="R53" s="135"/>
      <c r="S53" s="135"/>
      <c r="T53" s="135"/>
      <c r="U53" s="135"/>
      <c r="V53" s="135"/>
    </row>
    <row r="54" customFormat="false" ht="15.75" hidden="false" customHeight="true" outlineLevel="0" collapsed="false">
      <c r="A54" s="135"/>
      <c r="B54" s="135"/>
      <c r="C54" s="135"/>
      <c r="D54" s="229"/>
      <c r="E54" s="135"/>
      <c r="F54" s="189"/>
      <c r="G54" s="135"/>
      <c r="H54" s="135"/>
      <c r="I54" s="135"/>
      <c r="J54" s="135"/>
      <c r="K54" s="135"/>
      <c r="L54" s="189"/>
      <c r="M54" s="135"/>
      <c r="N54" s="189"/>
      <c r="O54" s="135"/>
      <c r="P54" s="229"/>
      <c r="Q54" s="135"/>
      <c r="R54" s="135"/>
      <c r="S54" s="135"/>
      <c r="T54" s="135"/>
      <c r="U54" s="135"/>
      <c r="V54" s="135"/>
    </row>
    <row r="55" customFormat="false" ht="15.75" hidden="false" customHeight="true" outlineLevel="0" collapsed="false">
      <c r="A55" s="135"/>
      <c r="B55" s="135"/>
      <c r="C55" s="135"/>
      <c r="D55" s="229"/>
      <c r="E55" s="135"/>
      <c r="F55" s="189"/>
      <c r="G55" s="135"/>
      <c r="H55" s="135"/>
      <c r="I55" s="135"/>
      <c r="J55" s="135"/>
      <c r="K55" s="135"/>
      <c r="L55" s="189"/>
      <c r="M55" s="135"/>
      <c r="N55" s="189"/>
      <c r="O55" s="135"/>
      <c r="P55" s="229"/>
      <c r="Q55" s="135"/>
      <c r="R55" s="135"/>
      <c r="S55" s="135"/>
      <c r="T55" s="135"/>
      <c r="U55" s="135"/>
      <c r="V55" s="135"/>
    </row>
    <row r="56" customFormat="false" ht="15.75" hidden="false" customHeight="true" outlineLevel="0" collapsed="false">
      <c r="A56" s="135"/>
      <c r="B56" s="135"/>
      <c r="C56" s="135"/>
      <c r="D56" s="229"/>
      <c r="E56" s="135"/>
      <c r="F56" s="189"/>
      <c r="G56" s="135"/>
      <c r="H56" s="135"/>
      <c r="I56" s="135"/>
      <c r="J56" s="135"/>
      <c r="K56" s="135"/>
      <c r="L56" s="189"/>
      <c r="M56" s="135"/>
      <c r="N56" s="189"/>
      <c r="O56" s="135"/>
      <c r="P56" s="229"/>
      <c r="Q56" s="135"/>
      <c r="R56" s="135"/>
      <c r="S56" s="135"/>
      <c r="T56" s="135"/>
      <c r="U56" s="135"/>
      <c r="V56" s="135"/>
    </row>
    <row r="57" customFormat="false" ht="15.75" hidden="false" customHeight="true" outlineLevel="0" collapsed="false">
      <c r="A57" s="135"/>
      <c r="B57" s="135"/>
      <c r="C57" s="135"/>
      <c r="D57" s="229"/>
      <c r="E57" s="135"/>
      <c r="F57" s="189"/>
      <c r="G57" s="135"/>
      <c r="H57" s="135"/>
      <c r="I57" s="135"/>
      <c r="J57" s="135"/>
      <c r="K57" s="135"/>
      <c r="L57" s="189"/>
      <c r="M57" s="135"/>
      <c r="N57" s="189"/>
      <c r="O57" s="135"/>
      <c r="P57" s="229"/>
      <c r="Q57" s="135"/>
      <c r="R57" s="135"/>
      <c r="S57" s="135"/>
      <c r="T57" s="135"/>
      <c r="U57" s="135"/>
      <c r="V57" s="135"/>
    </row>
    <row r="58" customFormat="false" ht="15.75" hidden="false" customHeight="true" outlineLevel="0" collapsed="false">
      <c r="A58" s="135"/>
      <c r="B58" s="135"/>
      <c r="C58" s="135"/>
      <c r="D58" s="229"/>
      <c r="E58" s="135"/>
      <c r="F58" s="189"/>
      <c r="G58" s="135"/>
      <c r="H58" s="135"/>
      <c r="I58" s="135"/>
      <c r="J58" s="135"/>
      <c r="K58" s="135"/>
      <c r="L58" s="189"/>
      <c r="M58" s="135"/>
      <c r="N58" s="189"/>
      <c r="O58" s="135"/>
      <c r="P58" s="229"/>
      <c r="Q58" s="135"/>
      <c r="R58" s="135"/>
      <c r="S58" s="135"/>
      <c r="T58" s="135"/>
      <c r="U58" s="135"/>
      <c r="V58" s="135"/>
    </row>
    <row r="59" customFormat="false" ht="15.75" hidden="false" customHeight="true" outlineLevel="0" collapsed="false">
      <c r="A59" s="135"/>
      <c r="B59" s="135"/>
      <c r="C59" s="135"/>
      <c r="D59" s="229"/>
      <c r="E59" s="135"/>
      <c r="F59" s="189"/>
      <c r="G59" s="135"/>
      <c r="H59" s="135"/>
      <c r="I59" s="135"/>
      <c r="J59" s="135"/>
      <c r="K59" s="135"/>
      <c r="L59" s="189"/>
      <c r="M59" s="135"/>
      <c r="N59" s="189"/>
      <c r="O59" s="135"/>
      <c r="P59" s="229"/>
      <c r="Q59" s="135"/>
      <c r="R59" s="135"/>
      <c r="S59" s="135"/>
      <c r="T59" s="135"/>
      <c r="U59" s="135"/>
      <c r="V59" s="135"/>
    </row>
    <row r="60" customFormat="false" ht="15.75" hidden="false" customHeight="true" outlineLevel="0" collapsed="false">
      <c r="A60" s="135"/>
      <c r="B60" s="135"/>
      <c r="C60" s="135"/>
      <c r="D60" s="229"/>
      <c r="E60" s="135"/>
      <c r="F60" s="189"/>
      <c r="G60" s="135"/>
      <c r="H60" s="135"/>
      <c r="I60" s="135"/>
      <c r="J60" s="135"/>
      <c r="K60" s="135"/>
      <c r="L60" s="189"/>
      <c r="M60" s="135"/>
      <c r="N60" s="189"/>
      <c r="O60" s="135"/>
      <c r="P60" s="229"/>
      <c r="Q60" s="135"/>
      <c r="R60" s="135"/>
      <c r="S60" s="135"/>
      <c r="T60" s="135"/>
      <c r="U60" s="135"/>
      <c r="V60" s="135"/>
    </row>
    <row r="61" customFormat="false" ht="15.75" hidden="false" customHeight="true" outlineLevel="0" collapsed="false">
      <c r="A61" s="135"/>
      <c r="B61" s="135"/>
      <c r="C61" s="135"/>
      <c r="D61" s="229"/>
      <c r="E61" s="135"/>
      <c r="F61" s="189"/>
      <c r="G61" s="135"/>
      <c r="H61" s="135"/>
      <c r="I61" s="135"/>
      <c r="J61" s="135"/>
      <c r="K61" s="135"/>
      <c r="L61" s="189"/>
      <c r="M61" s="135"/>
      <c r="N61" s="189"/>
      <c r="O61" s="135"/>
      <c r="P61" s="229"/>
      <c r="Q61" s="135"/>
      <c r="R61" s="135"/>
      <c r="S61" s="135"/>
      <c r="T61" s="135"/>
      <c r="U61" s="135"/>
      <c r="V61" s="135"/>
    </row>
    <row r="62" customFormat="false" ht="15.75" hidden="false" customHeight="true" outlineLevel="0" collapsed="false">
      <c r="A62" s="135"/>
      <c r="B62" s="135"/>
      <c r="C62" s="135"/>
      <c r="D62" s="229"/>
      <c r="E62" s="135"/>
      <c r="F62" s="189"/>
      <c r="G62" s="135"/>
      <c r="H62" s="135"/>
      <c r="I62" s="135"/>
      <c r="J62" s="135"/>
      <c r="K62" s="135"/>
      <c r="L62" s="189"/>
      <c r="M62" s="135"/>
      <c r="N62" s="189"/>
      <c r="O62" s="135"/>
      <c r="P62" s="229"/>
      <c r="Q62" s="135"/>
      <c r="R62" s="135"/>
      <c r="S62" s="135"/>
      <c r="T62" s="135"/>
      <c r="U62" s="135"/>
      <c r="V62" s="135"/>
    </row>
    <row r="63" customFormat="false" ht="15.75" hidden="false" customHeight="true" outlineLevel="0" collapsed="false">
      <c r="A63" s="135"/>
      <c r="B63" s="135"/>
      <c r="C63" s="135"/>
      <c r="D63" s="229"/>
      <c r="E63" s="135"/>
      <c r="F63" s="189"/>
      <c r="G63" s="135"/>
      <c r="H63" s="135"/>
      <c r="I63" s="135"/>
      <c r="J63" s="135"/>
      <c r="K63" s="135"/>
      <c r="L63" s="189"/>
      <c r="M63" s="135"/>
      <c r="N63" s="189"/>
      <c r="O63" s="135"/>
      <c r="P63" s="229"/>
      <c r="Q63" s="135"/>
      <c r="R63" s="135"/>
      <c r="S63" s="135"/>
      <c r="T63" s="135"/>
      <c r="U63" s="135"/>
      <c r="V63" s="135"/>
    </row>
    <row r="64" customFormat="false" ht="15.75" hidden="false" customHeight="true" outlineLevel="0" collapsed="false">
      <c r="A64" s="135"/>
      <c r="B64" s="135"/>
      <c r="C64" s="135"/>
      <c r="D64" s="229"/>
      <c r="E64" s="135"/>
      <c r="F64" s="189"/>
      <c r="G64" s="135"/>
      <c r="H64" s="135"/>
      <c r="I64" s="135"/>
      <c r="J64" s="135"/>
      <c r="K64" s="135"/>
      <c r="L64" s="189"/>
      <c r="M64" s="135"/>
      <c r="N64" s="189"/>
      <c r="O64" s="135"/>
      <c r="P64" s="229"/>
      <c r="Q64" s="135"/>
      <c r="R64" s="135"/>
      <c r="S64" s="135"/>
      <c r="T64" s="135"/>
      <c r="U64" s="135"/>
      <c r="V64" s="135"/>
    </row>
    <row r="65" customFormat="false" ht="15.75" hidden="false" customHeight="true" outlineLevel="0" collapsed="false">
      <c r="A65" s="135"/>
      <c r="B65" s="135"/>
      <c r="C65" s="135"/>
      <c r="D65" s="229"/>
      <c r="E65" s="135"/>
      <c r="F65" s="189"/>
      <c r="G65" s="135"/>
      <c r="H65" s="135"/>
      <c r="I65" s="135"/>
      <c r="J65" s="135"/>
      <c r="K65" s="135"/>
      <c r="L65" s="189"/>
      <c r="M65" s="135"/>
      <c r="N65" s="189"/>
      <c r="O65" s="135"/>
      <c r="P65" s="229"/>
      <c r="Q65" s="135"/>
      <c r="R65" s="135"/>
      <c r="S65" s="135"/>
      <c r="T65" s="135"/>
      <c r="U65" s="135"/>
      <c r="V65" s="135"/>
    </row>
    <row r="66" customFormat="false" ht="15.75" hidden="false" customHeight="true" outlineLevel="0" collapsed="false">
      <c r="A66" s="135"/>
      <c r="B66" s="135"/>
      <c r="C66" s="135"/>
      <c r="D66" s="229"/>
      <c r="E66" s="135"/>
      <c r="F66" s="189"/>
      <c r="G66" s="135"/>
      <c r="H66" s="135"/>
      <c r="I66" s="135"/>
      <c r="J66" s="135"/>
      <c r="K66" s="135"/>
      <c r="L66" s="189"/>
      <c r="M66" s="135"/>
      <c r="N66" s="189"/>
      <c r="O66" s="135"/>
      <c r="P66" s="229"/>
      <c r="Q66" s="135"/>
      <c r="R66" s="135"/>
      <c r="S66" s="135"/>
      <c r="T66" s="135"/>
      <c r="U66" s="135"/>
      <c r="V66" s="135"/>
    </row>
    <row r="67" customFormat="false" ht="15.75" hidden="false" customHeight="true" outlineLevel="0" collapsed="false">
      <c r="A67" s="135"/>
      <c r="B67" s="135"/>
      <c r="C67" s="135"/>
      <c r="D67" s="229"/>
      <c r="E67" s="135"/>
      <c r="F67" s="189"/>
      <c r="G67" s="135"/>
      <c r="H67" s="135"/>
      <c r="I67" s="135"/>
      <c r="J67" s="135"/>
      <c r="K67" s="135"/>
      <c r="L67" s="189"/>
      <c r="M67" s="135"/>
      <c r="N67" s="189"/>
      <c r="O67" s="135"/>
      <c r="P67" s="229"/>
      <c r="Q67" s="135"/>
      <c r="R67" s="135"/>
      <c r="S67" s="135"/>
      <c r="T67" s="135"/>
      <c r="U67" s="135"/>
      <c r="V67" s="135"/>
    </row>
    <row r="68" customFormat="false" ht="15.75" hidden="false" customHeight="true" outlineLevel="0" collapsed="false">
      <c r="A68" s="135"/>
      <c r="B68" s="135"/>
      <c r="C68" s="135"/>
      <c r="D68" s="229"/>
      <c r="E68" s="135"/>
      <c r="F68" s="189"/>
      <c r="G68" s="135"/>
      <c r="H68" s="135"/>
      <c r="I68" s="135"/>
      <c r="J68" s="135"/>
      <c r="K68" s="135"/>
      <c r="L68" s="189"/>
      <c r="M68" s="135"/>
      <c r="N68" s="189"/>
      <c r="O68" s="135"/>
      <c r="P68" s="229"/>
      <c r="Q68" s="135"/>
      <c r="R68" s="135"/>
      <c r="S68" s="135"/>
      <c r="T68" s="135"/>
      <c r="U68" s="135"/>
      <c r="V68" s="135"/>
    </row>
    <row r="69" customFormat="false" ht="15.75" hidden="false" customHeight="true" outlineLevel="0" collapsed="false">
      <c r="A69" s="135"/>
      <c r="B69" s="135"/>
      <c r="C69" s="135"/>
      <c r="D69" s="229"/>
      <c r="E69" s="135"/>
      <c r="F69" s="189"/>
      <c r="G69" s="135"/>
      <c r="H69" s="135"/>
      <c r="I69" s="135"/>
      <c r="J69" s="135"/>
      <c r="K69" s="135"/>
      <c r="L69" s="189"/>
      <c r="M69" s="135"/>
      <c r="N69" s="189"/>
      <c r="O69" s="135"/>
      <c r="P69" s="229"/>
      <c r="Q69" s="135"/>
      <c r="R69" s="135"/>
      <c r="S69" s="135"/>
      <c r="T69" s="135"/>
      <c r="U69" s="135"/>
      <c r="V69" s="135"/>
    </row>
    <row r="70" customFormat="false" ht="15.75" hidden="false" customHeight="true" outlineLevel="0" collapsed="false">
      <c r="A70" s="135"/>
      <c r="B70" s="135"/>
      <c r="C70" s="135"/>
      <c r="D70" s="229"/>
      <c r="E70" s="135"/>
      <c r="F70" s="189"/>
      <c r="G70" s="135"/>
      <c r="H70" s="135"/>
      <c r="I70" s="135"/>
      <c r="J70" s="135"/>
      <c r="K70" s="135"/>
      <c r="L70" s="189"/>
      <c r="M70" s="135"/>
      <c r="N70" s="189"/>
      <c r="O70" s="135"/>
      <c r="P70" s="229"/>
      <c r="Q70" s="135"/>
      <c r="R70" s="135"/>
      <c r="S70" s="135"/>
      <c r="T70" s="135"/>
      <c r="U70" s="135"/>
      <c r="V70" s="135"/>
    </row>
    <row r="71" customFormat="false" ht="15.75" hidden="false" customHeight="true" outlineLevel="0" collapsed="false">
      <c r="A71" s="135"/>
      <c r="B71" s="135"/>
      <c r="C71" s="135"/>
      <c r="D71" s="229"/>
      <c r="E71" s="135"/>
      <c r="F71" s="189"/>
      <c r="G71" s="135"/>
      <c r="H71" s="135"/>
      <c r="I71" s="135"/>
      <c r="J71" s="135"/>
      <c r="K71" s="135"/>
      <c r="L71" s="189"/>
      <c r="M71" s="135"/>
      <c r="N71" s="189"/>
      <c r="O71" s="135"/>
      <c r="P71" s="229"/>
      <c r="Q71" s="135"/>
      <c r="R71" s="135"/>
      <c r="S71" s="135"/>
      <c r="T71" s="135"/>
      <c r="U71" s="135"/>
      <c r="V71" s="135"/>
    </row>
    <row r="72" customFormat="false" ht="15.75" hidden="false" customHeight="true" outlineLevel="0" collapsed="false">
      <c r="A72" s="135"/>
      <c r="B72" s="135"/>
      <c r="C72" s="135"/>
      <c r="D72" s="229"/>
      <c r="E72" s="135"/>
      <c r="F72" s="189"/>
      <c r="G72" s="135"/>
      <c r="H72" s="135"/>
      <c r="I72" s="135"/>
      <c r="J72" s="135"/>
      <c r="K72" s="135"/>
      <c r="L72" s="189"/>
      <c r="M72" s="135"/>
      <c r="N72" s="189"/>
      <c r="O72" s="135"/>
      <c r="P72" s="229"/>
      <c r="Q72" s="135"/>
      <c r="R72" s="135"/>
      <c r="S72" s="135"/>
      <c r="T72" s="135"/>
      <c r="U72" s="135"/>
      <c r="V72" s="135"/>
    </row>
    <row r="73" customFormat="false" ht="15.75" hidden="false" customHeight="true" outlineLevel="0" collapsed="false">
      <c r="A73" s="135"/>
      <c r="B73" s="135"/>
      <c r="C73" s="135"/>
      <c r="D73" s="229"/>
      <c r="E73" s="135"/>
      <c r="F73" s="189"/>
      <c r="G73" s="135"/>
      <c r="H73" s="135"/>
      <c r="I73" s="135"/>
      <c r="J73" s="135"/>
      <c r="K73" s="135"/>
      <c r="L73" s="189"/>
      <c r="M73" s="135"/>
      <c r="N73" s="189"/>
      <c r="O73" s="135"/>
      <c r="P73" s="229"/>
      <c r="Q73" s="135"/>
      <c r="R73" s="135"/>
      <c r="S73" s="135"/>
      <c r="T73" s="135"/>
      <c r="U73" s="135"/>
      <c r="V73" s="135"/>
    </row>
    <row r="74" customFormat="false" ht="15.75" hidden="false" customHeight="true" outlineLevel="0" collapsed="false">
      <c r="A74" s="135"/>
      <c r="B74" s="135"/>
      <c r="C74" s="135"/>
      <c r="D74" s="229"/>
      <c r="E74" s="135"/>
      <c r="F74" s="189"/>
      <c r="G74" s="135"/>
      <c r="H74" s="135"/>
      <c r="I74" s="135"/>
      <c r="J74" s="135"/>
      <c r="K74" s="135"/>
      <c r="L74" s="189"/>
      <c r="M74" s="135"/>
      <c r="N74" s="189"/>
      <c r="O74" s="135"/>
      <c r="P74" s="229"/>
      <c r="Q74" s="135"/>
      <c r="R74" s="135"/>
      <c r="S74" s="135"/>
      <c r="T74" s="135"/>
      <c r="U74" s="135"/>
      <c r="V74" s="135"/>
    </row>
    <row r="75" customFormat="false" ht="15.75" hidden="false" customHeight="true" outlineLevel="0" collapsed="false">
      <c r="A75" s="135"/>
      <c r="B75" s="135"/>
      <c r="C75" s="135"/>
      <c r="D75" s="229"/>
      <c r="E75" s="135"/>
      <c r="F75" s="189"/>
      <c r="G75" s="135"/>
      <c r="H75" s="135"/>
      <c r="I75" s="135"/>
      <c r="J75" s="135"/>
      <c r="K75" s="135"/>
      <c r="L75" s="189"/>
      <c r="M75" s="135"/>
      <c r="N75" s="189"/>
      <c r="O75" s="135"/>
      <c r="P75" s="229"/>
      <c r="Q75" s="135"/>
      <c r="R75" s="135"/>
      <c r="S75" s="135"/>
      <c r="T75" s="135"/>
      <c r="U75" s="135"/>
      <c r="V75" s="135"/>
    </row>
    <row r="76" customFormat="false" ht="15.75" hidden="false" customHeight="true" outlineLevel="0" collapsed="false">
      <c r="A76" s="135"/>
      <c r="B76" s="135"/>
      <c r="C76" s="135"/>
      <c r="D76" s="229"/>
      <c r="E76" s="135"/>
      <c r="F76" s="189"/>
      <c r="G76" s="135"/>
      <c r="H76" s="135"/>
      <c r="I76" s="135"/>
      <c r="J76" s="135"/>
      <c r="K76" s="135"/>
      <c r="L76" s="189"/>
      <c r="M76" s="135"/>
      <c r="N76" s="189"/>
      <c r="O76" s="135"/>
      <c r="P76" s="229"/>
      <c r="Q76" s="135"/>
      <c r="R76" s="135"/>
      <c r="S76" s="135"/>
      <c r="T76" s="135"/>
      <c r="U76" s="135"/>
      <c r="V76" s="135"/>
    </row>
    <row r="77" customFormat="false" ht="15.75" hidden="false" customHeight="true" outlineLevel="0" collapsed="false">
      <c r="A77" s="135"/>
      <c r="B77" s="135"/>
      <c r="C77" s="135"/>
      <c r="D77" s="229"/>
      <c r="E77" s="135"/>
      <c r="F77" s="189"/>
      <c r="G77" s="135"/>
      <c r="H77" s="135"/>
      <c r="I77" s="135"/>
      <c r="J77" s="135"/>
      <c r="K77" s="135"/>
      <c r="L77" s="189"/>
      <c r="M77" s="135"/>
      <c r="N77" s="189"/>
      <c r="O77" s="135"/>
      <c r="P77" s="229"/>
      <c r="Q77" s="135"/>
      <c r="R77" s="135"/>
      <c r="S77" s="135"/>
      <c r="T77" s="135"/>
      <c r="U77" s="135"/>
      <c r="V77" s="135"/>
    </row>
    <row r="78" customFormat="false" ht="15.75" hidden="false" customHeight="true" outlineLevel="0" collapsed="false">
      <c r="A78" s="135"/>
      <c r="B78" s="135"/>
      <c r="C78" s="135"/>
      <c r="D78" s="229"/>
      <c r="E78" s="135"/>
      <c r="F78" s="189"/>
      <c r="G78" s="135"/>
      <c r="H78" s="135"/>
      <c r="I78" s="135"/>
      <c r="J78" s="135"/>
      <c r="K78" s="135"/>
      <c r="L78" s="189"/>
      <c r="M78" s="135"/>
      <c r="N78" s="189"/>
      <c r="O78" s="135"/>
      <c r="P78" s="229"/>
      <c r="Q78" s="135"/>
      <c r="R78" s="135"/>
      <c r="S78" s="135"/>
      <c r="T78" s="135"/>
      <c r="U78" s="135"/>
      <c r="V78" s="135"/>
    </row>
    <row r="79" customFormat="false" ht="15.75" hidden="false" customHeight="true" outlineLevel="0" collapsed="false">
      <c r="A79" s="135"/>
      <c r="B79" s="135"/>
      <c r="C79" s="135"/>
      <c r="D79" s="229"/>
      <c r="E79" s="135"/>
      <c r="F79" s="189"/>
      <c r="G79" s="135"/>
      <c r="H79" s="135"/>
      <c r="I79" s="135"/>
      <c r="J79" s="135"/>
      <c r="K79" s="135"/>
      <c r="L79" s="189"/>
      <c r="M79" s="135"/>
      <c r="N79" s="189"/>
      <c r="O79" s="135"/>
      <c r="P79" s="229"/>
      <c r="Q79" s="135"/>
      <c r="R79" s="135"/>
      <c r="S79" s="135"/>
      <c r="T79" s="135"/>
      <c r="U79" s="135"/>
      <c r="V79" s="135"/>
    </row>
    <row r="80" customFormat="false" ht="15.75" hidden="false" customHeight="true" outlineLevel="0" collapsed="false">
      <c r="A80" s="135"/>
      <c r="B80" s="135"/>
      <c r="C80" s="135"/>
      <c r="D80" s="229"/>
      <c r="E80" s="135"/>
      <c r="F80" s="189"/>
      <c r="G80" s="135"/>
      <c r="H80" s="135"/>
      <c r="I80" s="135"/>
      <c r="J80" s="135"/>
      <c r="K80" s="135"/>
      <c r="L80" s="189"/>
      <c r="M80" s="135"/>
      <c r="N80" s="189"/>
      <c r="O80" s="135"/>
      <c r="P80" s="229"/>
      <c r="Q80" s="135"/>
      <c r="R80" s="135"/>
      <c r="S80" s="135"/>
      <c r="T80" s="135"/>
      <c r="U80" s="135"/>
      <c r="V80" s="135"/>
    </row>
    <row r="81" customFormat="false" ht="15.75" hidden="false" customHeight="true" outlineLevel="0" collapsed="false">
      <c r="A81" s="135"/>
      <c r="B81" s="135"/>
      <c r="C81" s="135"/>
      <c r="D81" s="229"/>
      <c r="E81" s="135"/>
      <c r="F81" s="189"/>
      <c r="G81" s="135"/>
      <c r="H81" s="135"/>
      <c r="I81" s="135"/>
      <c r="J81" s="135"/>
      <c r="K81" s="135"/>
      <c r="L81" s="189"/>
      <c r="M81" s="135"/>
      <c r="N81" s="189"/>
      <c r="O81" s="135"/>
      <c r="P81" s="229"/>
      <c r="Q81" s="135"/>
      <c r="R81" s="135"/>
      <c r="S81" s="135"/>
      <c r="T81" s="135"/>
      <c r="U81" s="135"/>
      <c r="V81" s="135"/>
    </row>
    <row r="82" customFormat="false" ht="15.75" hidden="false" customHeight="true" outlineLevel="0" collapsed="false">
      <c r="A82" s="135"/>
      <c r="B82" s="135"/>
      <c r="C82" s="135"/>
      <c r="D82" s="229"/>
      <c r="E82" s="135"/>
      <c r="F82" s="189"/>
      <c r="G82" s="135"/>
      <c r="H82" s="135"/>
      <c r="I82" s="135"/>
      <c r="J82" s="135"/>
      <c r="K82" s="135"/>
      <c r="L82" s="189"/>
      <c r="M82" s="135"/>
      <c r="N82" s="189"/>
      <c r="O82" s="135"/>
      <c r="P82" s="229"/>
      <c r="Q82" s="135"/>
      <c r="R82" s="135"/>
      <c r="S82" s="135"/>
      <c r="T82" s="135"/>
      <c r="U82" s="135"/>
      <c r="V82" s="135"/>
    </row>
    <row r="83" customFormat="false" ht="15.75" hidden="false" customHeight="true" outlineLevel="0" collapsed="false">
      <c r="A83" s="135"/>
      <c r="B83" s="135"/>
      <c r="C83" s="135"/>
      <c r="D83" s="229"/>
      <c r="E83" s="135"/>
      <c r="F83" s="189"/>
      <c r="G83" s="135"/>
      <c r="H83" s="135"/>
      <c r="I83" s="135"/>
      <c r="J83" s="135"/>
      <c r="K83" s="135"/>
      <c r="L83" s="189"/>
      <c r="M83" s="135"/>
      <c r="N83" s="189"/>
      <c r="O83" s="135"/>
      <c r="P83" s="229"/>
      <c r="Q83" s="135"/>
      <c r="R83" s="135"/>
      <c r="S83" s="135"/>
      <c r="T83" s="135"/>
      <c r="U83" s="135"/>
      <c r="V83" s="135"/>
    </row>
    <row r="84" customFormat="false" ht="15.75" hidden="false" customHeight="true" outlineLevel="0" collapsed="false">
      <c r="A84" s="135"/>
      <c r="B84" s="135"/>
      <c r="C84" s="135"/>
      <c r="D84" s="229"/>
      <c r="E84" s="135"/>
      <c r="F84" s="189"/>
      <c r="G84" s="135"/>
      <c r="H84" s="135"/>
      <c r="I84" s="135"/>
      <c r="J84" s="135"/>
      <c r="K84" s="135"/>
      <c r="L84" s="189"/>
      <c r="M84" s="135"/>
      <c r="N84" s="189"/>
      <c r="O84" s="135"/>
      <c r="P84" s="229"/>
      <c r="Q84" s="135"/>
      <c r="R84" s="135"/>
      <c r="S84" s="135"/>
      <c r="T84" s="135"/>
      <c r="U84" s="135"/>
      <c r="V84" s="135"/>
    </row>
    <row r="85" customFormat="false" ht="15.75" hidden="false" customHeight="true" outlineLevel="0" collapsed="false">
      <c r="A85" s="135"/>
      <c r="B85" s="135"/>
      <c r="C85" s="135"/>
      <c r="D85" s="229"/>
      <c r="E85" s="135"/>
      <c r="F85" s="189"/>
      <c r="G85" s="135"/>
      <c r="H85" s="135"/>
      <c r="I85" s="135"/>
      <c r="J85" s="135"/>
      <c r="K85" s="135"/>
      <c r="L85" s="189"/>
      <c r="M85" s="135"/>
      <c r="N85" s="189"/>
      <c r="O85" s="135"/>
      <c r="P85" s="229"/>
      <c r="Q85" s="135"/>
      <c r="R85" s="135"/>
      <c r="S85" s="135"/>
      <c r="T85" s="135"/>
      <c r="U85" s="135"/>
      <c r="V85" s="135"/>
    </row>
    <row r="86" customFormat="false" ht="15.75" hidden="false" customHeight="true" outlineLevel="0" collapsed="false">
      <c r="A86" s="135"/>
      <c r="B86" s="135"/>
      <c r="C86" s="135"/>
      <c r="D86" s="229"/>
      <c r="E86" s="135"/>
      <c r="F86" s="189"/>
      <c r="G86" s="135"/>
      <c r="H86" s="135"/>
      <c r="I86" s="135"/>
      <c r="J86" s="135"/>
      <c r="K86" s="135"/>
      <c r="L86" s="189"/>
      <c r="M86" s="135"/>
      <c r="N86" s="189"/>
      <c r="O86" s="135"/>
      <c r="P86" s="229"/>
      <c r="Q86" s="135"/>
      <c r="R86" s="135"/>
      <c r="S86" s="135"/>
      <c r="T86" s="135"/>
      <c r="U86" s="135"/>
      <c r="V86" s="135"/>
    </row>
    <row r="87" customFormat="false" ht="15.75" hidden="false" customHeight="true" outlineLevel="0" collapsed="false">
      <c r="A87" s="135"/>
      <c r="B87" s="135"/>
      <c r="C87" s="135"/>
      <c r="D87" s="229"/>
      <c r="E87" s="135"/>
      <c r="F87" s="189"/>
      <c r="G87" s="135"/>
      <c r="H87" s="135"/>
      <c r="I87" s="135"/>
      <c r="J87" s="135"/>
      <c r="K87" s="135"/>
      <c r="L87" s="189"/>
      <c r="M87" s="135"/>
      <c r="N87" s="189"/>
      <c r="O87" s="135"/>
      <c r="P87" s="229"/>
      <c r="Q87" s="135"/>
      <c r="R87" s="135"/>
      <c r="S87" s="135"/>
      <c r="T87" s="135"/>
      <c r="U87" s="135"/>
      <c r="V87" s="135"/>
    </row>
    <row r="88" customFormat="false" ht="15.75" hidden="false" customHeight="true" outlineLevel="0" collapsed="false">
      <c r="A88" s="135"/>
      <c r="B88" s="135"/>
      <c r="C88" s="135"/>
      <c r="D88" s="229"/>
      <c r="E88" s="135"/>
      <c r="F88" s="189"/>
      <c r="G88" s="135"/>
      <c r="H88" s="135"/>
      <c r="I88" s="135"/>
      <c r="J88" s="135"/>
      <c r="K88" s="135"/>
      <c r="L88" s="189"/>
      <c r="M88" s="135"/>
      <c r="N88" s="189"/>
      <c r="O88" s="135"/>
      <c r="P88" s="229"/>
      <c r="Q88" s="135"/>
      <c r="R88" s="135"/>
      <c r="S88" s="135"/>
      <c r="T88" s="135"/>
      <c r="U88" s="135"/>
      <c r="V88" s="135"/>
    </row>
    <row r="89" customFormat="false" ht="15.75" hidden="false" customHeight="true" outlineLevel="0" collapsed="false">
      <c r="A89" s="135"/>
      <c r="B89" s="135"/>
      <c r="C89" s="135"/>
      <c r="D89" s="229"/>
      <c r="E89" s="135"/>
      <c r="F89" s="189"/>
      <c r="G89" s="135"/>
      <c r="H89" s="135"/>
      <c r="I89" s="135"/>
      <c r="J89" s="135"/>
      <c r="K89" s="135"/>
      <c r="L89" s="189"/>
      <c r="M89" s="135"/>
      <c r="N89" s="189"/>
      <c r="O89" s="135"/>
      <c r="P89" s="229"/>
      <c r="Q89" s="135"/>
      <c r="R89" s="135"/>
      <c r="S89" s="135"/>
      <c r="T89" s="135"/>
      <c r="U89" s="135"/>
      <c r="V89" s="135"/>
    </row>
    <row r="90" customFormat="false" ht="15.75" hidden="false" customHeight="true" outlineLevel="0" collapsed="false">
      <c r="A90" s="135"/>
      <c r="B90" s="135"/>
      <c r="C90" s="135"/>
      <c r="D90" s="229"/>
      <c r="E90" s="135"/>
      <c r="F90" s="189"/>
      <c r="G90" s="135"/>
      <c r="H90" s="135"/>
      <c r="I90" s="135"/>
      <c r="J90" s="135"/>
      <c r="K90" s="135"/>
      <c r="L90" s="189"/>
      <c r="M90" s="135"/>
      <c r="N90" s="189"/>
      <c r="O90" s="135"/>
      <c r="P90" s="229"/>
      <c r="Q90" s="135"/>
      <c r="R90" s="135"/>
      <c r="S90" s="135"/>
      <c r="T90" s="135"/>
      <c r="U90" s="135"/>
      <c r="V90" s="135"/>
    </row>
    <row r="91" customFormat="false" ht="15.75" hidden="false" customHeight="true" outlineLevel="0" collapsed="false">
      <c r="A91" s="135"/>
      <c r="B91" s="135"/>
      <c r="C91" s="135"/>
      <c r="D91" s="229"/>
      <c r="E91" s="135"/>
      <c r="F91" s="189"/>
      <c r="G91" s="135"/>
      <c r="H91" s="135"/>
      <c r="I91" s="135"/>
      <c r="J91" s="135"/>
      <c r="K91" s="135"/>
      <c r="L91" s="189"/>
      <c r="M91" s="135"/>
      <c r="N91" s="189"/>
      <c r="O91" s="135"/>
      <c r="P91" s="229"/>
      <c r="Q91" s="135"/>
      <c r="R91" s="135"/>
      <c r="S91" s="135"/>
      <c r="T91" s="135"/>
      <c r="U91" s="135"/>
      <c r="V91" s="135"/>
    </row>
    <row r="92" customFormat="false" ht="15.75" hidden="false" customHeight="true" outlineLevel="0" collapsed="false">
      <c r="A92" s="135"/>
      <c r="B92" s="135"/>
      <c r="C92" s="135"/>
      <c r="D92" s="229"/>
      <c r="E92" s="135"/>
      <c r="F92" s="189"/>
      <c r="G92" s="135"/>
      <c r="H92" s="135"/>
      <c r="I92" s="135"/>
      <c r="J92" s="135"/>
      <c r="K92" s="135"/>
      <c r="L92" s="189"/>
      <c r="M92" s="135"/>
      <c r="N92" s="189"/>
      <c r="O92" s="135"/>
      <c r="P92" s="229"/>
      <c r="Q92" s="135"/>
      <c r="R92" s="135"/>
      <c r="S92" s="135"/>
      <c r="T92" s="135"/>
      <c r="U92" s="135"/>
      <c r="V92" s="135"/>
    </row>
    <row r="93" customFormat="false" ht="15.75" hidden="false" customHeight="true" outlineLevel="0" collapsed="false">
      <c r="A93" s="135"/>
      <c r="B93" s="135"/>
      <c r="C93" s="135"/>
      <c r="D93" s="229"/>
      <c r="E93" s="135"/>
      <c r="F93" s="189"/>
      <c r="G93" s="135"/>
      <c r="H93" s="135"/>
      <c r="I93" s="135"/>
      <c r="J93" s="135"/>
      <c r="K93" s="135"/>
      <c r="L93" s="189"/>
      <c r="M93" s="135"/>
      <c r="N93" s="189"/>
      <c r="O93" s="135"/>
      <c r="P93" s="229"/>
      <c r="Q93" s="135"/>
      <c r="R93" s="135"/>
      <c r="S93" s="135"/>
      <c r="T93" s="135"/>
      <c r="U93" s="135"/>
      <c r="V93" s="135"/>
    </row>
    <row r="94" customFormat="false" ht="15.75" hidden="false" customHeight="true" outlineLevel="0" collapsed="false">
      <c r="A94" s="135"/>
      <c r="B94" s="135"/>
      <c r="C94" s="135"/>
      <c r="D94" s="229"/>
      <c r="E94" s="135"/>
      <c r="F94" s="189"/>
      <c r="G94" s="135"/>
      <c r="H94" s="135"/>
      <c r="I94" s="135"/>
      <c r="J94" s="135"/>
      <c r="K94" s="135"/>
      <c r="L94" s="189"/>
      <c r="M94" s="135"/>
      <c r="N94" s="189"/>
      <c r="O94" s="135"/>
      <c r="P94" s="229"/>
      <c r="Q94" s="135"/>
      <c r="R94" s="135"/>
      <c r="S94" s="135"/>
      <c r="T94" s="135"/>
      <c r="U94" s="135"/>
      <c r="V94" s="135"/>
    </row>
    <row r="95" customFormat="false" ht="15.75" hidden="false" customHeight="true" outlineLevel="0" collapsed="false">
      <c r="A95" s="135"/>
      <c r="B95" s="135"/>
      <c r="C95" s="135"/>
      <c r="D95" s="229"/>
      <c r="E95" s="135"/>
      <c r="F95" s="189"/>
      <c r="G95" s="135"/>
      <c r="H95" s="135"/>
      <c r="I95" s="135"/>
      <c r="J95" s="135"/>
      <c r="K95" s="135"/>
      <c r="L95" s="189"/>
      <c r="M95" s="135"/>
      <c r="N95" s="189"/>
      <c r="O95" s="135"/>
      <c r="P95" s="229"/>
      <c r="Q95" s="135"/>
      <c r="R95" s="135"/>
      <c r="S95" s="135"/>
      <c r="T95" s="135"/>
      <c r="U95" s="135"/>
      <c r="V95" s="135"/>
    </row>
    <row r="96" customFormat="false" ht="15.75" hidden="false" customHeight="true" outlineLevel="0" collapsed="false">
      <c r="A96" s="135"/>
      <c r="B96" s="135"/>
      <c r="C96" s="135"/>
      <c r="D96" s="229"/>
      <c r="E96" s="135"/>
      <c r="F96" s="189"/>
      <c r="G96" s="135"/>
      <c r="H96" s="135"/>
      <c r="I96" s="135"/>
      <c r="J96" s="135"/>
      <c r="K96" s="135"/>
      <c r="L96" s="189"/>
      <c r="M96" s="135"/>
      <c r="N96" s="189"/>
      <c r="O96" s="135"/>
      <c r="P96" s="229"/>
      <c r="Q96" s="135"/>
      <c r="R96" s="135"/>
      <c r="S96" s="135"/>
      <c r="T96" s="135"/>
      <c r="U96" s="135"/>
      <c r="V96" s="135"/>
    </row>
    <row r="97" customFormat="false" ht="15.75" hidden="false" customHeight="true" outlineLevel="0" collapsed="false">
      <c r="A97" s="135"/>
      <c r="B97" s="135"/>
      <c r="C97" s="135"/>
      <c r="D97" s="229"/>
      <c r="E97" s="135"/>
      <c r="F97" s="189"/>
      <c r="G97" s="135"/>
      <c r="H97" s="135"/>
      <c r="I97" s="135"/>
      <c r="J97" s="135"/>
      <c r="K97" s="135"/>
      <c r="L97" s="189"/>
      <c r="M97" s="135"/>
      <c r="N97" s="189"/>
      <c r="O97" s="135"/>
      <c r="P97" s="229"/>
      <c r="Q97" s="135"/>
      <c r="R97" s="135"/>
      <c r="S97" s="135"/>
      <c r="T97" s="135"/>
      <c r="U97" s="135"/>
      <c r="V97" s="135"/>
    </row>
    <row r="98" customFormat="false" ht="15.75" hidden="false" customHeight="true" outlineLevel="0" collapsed="false">
      <c r="A98" s="135"/>
      <c r="B98" s="135"/>
      <c r="C98" s="135"/>
      <c r="D98" s="229"/>
      <c r="E98" s="135"/>
      <c r="F98" s="189"/>
      <c r="G98" s="135"/>
      <c r="H98" s="135"/>
      <c r="I98" s="135"/>
      <c r="J98" s="135"/>
      <c r="K98" s="135"/>
      <c r="L98" s="189"/>
      <c r="M98" s="135"/>
      <c r="N98" s="189"/>
      <c r="O98" s="135"/>
      <c r="P98" s="229"/>
      <c r="Q98" s="135"/>
      <c r="R98" s="135"/>
      <c r="S98" s="135"/>
      <c r="T98" s="135"/>
      <c r="U98" s="135"/>
      <c r="V98" s="135"/>
    </row>
    <row r="99" customFormat="false" ht="15.75" hidden="false" customHeight="true" outlineLevel="0" collapsed="false">
      <c r="A99" s="135"/>
      <c r="B99" s="135"/>
      <c r="C99" s="135"/>
      <c r="D99" s="229"/>
      <c r="E99" s="135"/>
      <c r="F99" s="189"/>
      <c r="G99" s="135"/>
      <c r="H99" s="135"/>
      <c r="I99" s="135"/>
      <c r="J99" s="135"/>
      <c r="K99" s="135"/>
      <c r="L99" s="189"/>
      <c r="M99" s="135"/>
      <c r="N99" s="189"/>
      <c r="O99" s="135"/>
      <c r="P99" s="229"/>
      <c r="Q99" s="135"/>
      <c r="R99" s="135"/>
      <c r="S99" s="135"/>
      <c r="T99" s="135"/>
      <c r="U99" s="135"/>
      <c r="V99" s="135"/>
    </row>
    <row r="100" customFormat="false" ht="15.75" hidden="false" customHeight="true" outlineLevel="0" collapsed="false">
      <c r="A100" s="135"/>
      <c r="B100" s="135"/>
      <c r="C100" s="135"/>
      <c r="D100" s="229"/>
      <c r="E100" s="135"/>
      <c r="F100" s="189"/>
      <c r="G100" s="135"/>
      <c r="H100" s="135"/>
      <c r="I100" s="135"/>
      <c r="J100" s="135"/>
      <c r="K100" s="135"/>
      <c r="L100" s="189"/>
      <c r="M100" s="135"/>
      <c r="N100" s="189"/>
      <c r="O100" s="135"/>
      <c r="P100" s="229"/>
      <c r="Q100" s="135"/>
      <c r="R100" s="135"/>
      <c r="S100" s="135"/>
      <c r="T100" s="135"/>
      <c r="U100" s="135"/>
      <c r="V100" s="135"/>
    </row>
    <row r="101" customFormat="false" ht="15.75" hidden="false" customHeight="true" outlineLevel="0" collapsed="false">
      <c r="A101" s="135"/>
      <c r="B101" s="135"/>
      <c r="C101" s="135"/>
      <c r="D101" s="229"/>
      <c r="E101" s="135"/>
      <c r="F101" s="189"/>
      <c r="G101" s="135"/>
      <c r="H101" s="135"/>
      <c r="I101" s="135"/>
      <c r="J101" s="135"/>
      <c r="K101" s="135"/>
      <c r="L101" s="189"/>
      <c r="M101" s="135"/>
      <c r="N101" s="189"/>
      <c r="O101" s="135"/>
      <c r="P101" s="229"/>
      <c r="Q101" s="135"/>
      <c r="R101" s="135"/>
      <c r="S101" s="135"/>
      <c r="T101" s="135"/>
      <c r="U101" s="135"/>
      <c r="V101" s="135"/>
    </row>
    <row r="102" customFormat="false" ht="15.75" hidden="false" customHeight="true" outlineLevel="0" collapsed="false">
      <c r="A102" s="135"/>
      <c r="B102" s="135"/>
      <c r="C102" s="135"/>
      <c r="D102" s="229"/>
      <c r="E102" s="135"/>
      <c r="F102" s="189"/>
      <c r="G102" s="135"/>
      <c r="H102" s="135"/>
      <c r="I102" s="135"/>
      <c r="J102" s="135"/>
      <c r="K102" s="135"/>
      <c r="L102" s="189"/>
      <c r="M102" s="135"/>
      <c r="N102" s="189"/>
      <c r="O102" s="135"/>
      <c r="P102" s="229"/>
      <c r="Q102" s="135"/>
      <c r="R102" s="135"/>
      <c r="S102" s="135"/>
      <c r="T102" s="135"/>
      <c r="U102" s="135"/>
      <c r="V102" s="135"/>
    </row>
    <row r="103" customFormat="false" ht="15.75" hidden="false" customHeight="true" outlineLevel="0" collapsed="false">
      <c r="A103" s="135"/>
      <c r="B103" s="135"/>
      <c r="C103" s="135"/>
      <c r="D103" s="229"/>
      <c r="E103" s="135"/>
      <c r="F103" s="189"/>
      <c r="G103" s="135"/>
      <c r="H103" s="135"/>
      <c r="I103" s="135"/>
      <c r="J103" s="135"/>
      <c r="K103" s="135"/>
      <c r="L103" s="189"/>
      <c r="M103" s="135"/>
      <c r="N103" s="189"/>
      <c r="O103" s="135"/>
      <c r="P103" s="229"/>
      <c r="Q103" s="135"/>
      <c r="R103" s="135"/>
      <c r="S103" s="135"/>
      <c r="T103" s="135"/>
      <c r="U103" s="135"/>
      <c r="V103" s="135"/>
    </row>
    <row r="104" customFormat="false" ht="15.75" hidden="false" customHeight="true" outlineLevel="0" collapsed="false">
      <c r="A104" s="135"/>
      <c r="B104" s="135"/>
      <c r="C104" s="135"/>
      <c r="D104" s="229"/>
      <c r="E104" s="135"/>
      <c r="F104" s="189"/>
      <c r="G104" s="135"/>
      <c r="H104" s="135"/>
      <c r="I104" s="135"/>
      <c r="J104" s="135"/>
      <c r="K104" s="135"/>
      <c r="L104" s="189"/>
      <c r="M104" s="135"/>
      <c r="N104" s="189"/>
      <c r="O104" s="135"/>
      <c r="P104" s="229"/>
      <c r="Q104" s="135"/>
      <c r="R104" s="135"/>
      <c r="S104" s="135"/>
      <c r="T104" s="135"/>
      <c r="U104" s="135"/>
      <c r="V104" s="135"/>
    </row>
    <row r="105" customFormat="false" ht="15.75" hidden="false" customHeight="true" outlineLevel="0" collapsed="false">
      <c r="A105" s="135"/>
      <c r="B105" s="135"/>
      <c r="C105" s="135"/>
      <c r="D105" s="229"/>
      <c r="E105" s="135"/>
      <c r="F105" s="189"/>
      <c r="G105" s="135"/>
      <c r="H105" s="135"/>
      <c r="I105" s="135"/>
      <c r="J105" s="135"/>
      <c r="K105" s="135"/>
      <c r="L105" s="189"/>
      <c r="M105" s="135"/>
      <c r="N105" s="189"/>
      <c r="O105" s="135"/>
      <c r="P105" s="229"/>
      <c r="Q105" s="135"/>
      <c r="R105" s="135"/>
      <c r="S105" s="135"/>
      <c r="T105" s="135"/>
      <c r="U105" s="135"/>
      <c r="V105" s="135"/>
    </row>
    <row r="106" customFormat="false" ht="15.75" hidden="false" customHeight="true" outlineLevel="0" collapsed="false">
      <c r="A106" s="135"/>
      <c r="B106" s="135"/>
      <c r="C106" s="135"/>
      <c r="D106" s="229"/>
      <c r="E106" s="135"/>
      <c r="F106" s="189"/>
      <c r="G106" s="135"/>
      <c r="H106" s="135"/>
      <c r="I106" s="135"/>
      <c r="J106" s="135"/>
      <c r="K106" s="135"/>
      <c r="L106" s="189"/>
      <c r="M106" s="135"/>
      <c r="N106" s="189"/>
      <c r="O106" s="135"/>
      <c r="P106" s="229"/>
      <c r="Q106" s="135"/>
      <c r="R106" s="135"/>
      <c r="S106" s="135"/>
      <c r="T106" s="135"/>
      <c r="U106" s="135"/>
      <c r="V106" s="135"/>
    </row>
    <row r="107" customFormat="false" ht="15.75" hidden="false" customHeight="true" outlineLevel="0" collapsed="false">
      <c r="A107" s="135"/>
      <c r="B107" s="135"/>
      <c r="C107" s="135"/>
      <c r="D107" s="229"/>
      <c r="E107" s="135"/>
      <c r="F107" s="189"/>
      <c r="G107" s="135"/>
      <c r="H107" s="135"/>
      <c r="I107" s="135"/>
      <c r="J107" s="135"/>
      <c r="K107" s="135"/>
      <c r="L107" s="189"/>
      <c r="M107" s="135"/>
      <c r="N107" s="189"/>
      <c r="O107" s="135"/>
      <c r="P107" s="229"/>
      <c r="Q107" s="135"/>
      <c r="R107" s="135"/>
      <c r="S107" s="135"/>
      <c r="T107" s="135"/>
      <c r="U107" s="135"/>
      <c r="V107" s="135"/>
    </row>
    <row r="108" customFormat="false" ht="15.75" hidden="false" customHeight="true" outlineLevel="0" collapsed="false">
      <c r="A108" s="135"/>
      <c r="B108" s="135"/>
      <c r="C108" s="135"/>
      <c r="D108" s="229"/>
      <c r="E108" s="135"/>
      <c r="F108" s="189"/>
      <c r="G108" s="135"/>
      <c r="H108" s="135"/>
      <c r="I108" s="135"/>
      <c r="J108" s="135"/>
      <c r="K108" s="135"/>
      <c r="L108" s="189"/>
      <c r="M108" s="135"/>
      <c r="N108" s="189"/>
      <c r="O108" s="135"/>
      <c r="P108" s="229"/>
      <c r="Q108" s="135"/>
      <c r="R108" s="135"/>
      <c r="S108" s="135"/>
      <c r="T108" s="135"/>
      <c r="U108" s="135"/>
      <c r="V108" s="135"/>
    </row>
    <row r="109" customFormat="false" ht="15.75" hidden="false" customHeight="true" outlineLevel="0" collapsed="false">
      <c r="A109" s="135"/>
      <c r="B109" s="135"/>
      <c r="C109" s="135"/>
      <c r="D109" s="229"/>
      <c r="E109" s="135"/>
      <c r="F109" s="189"/>
      <c r="G109" s="135"/>
      <c r="H109" s="135"/>
      <c r="I109" s="135"/>
      <c r="J109" s="135"/>
      <c r="K109" s="135"/>
      <c r="L109" s="189"/>
      <c r="M109" s="135"/>
      <c r="N109" s="189"/>
      <c r="O109" s="135"/>
      <c r="P109" s="229"/>
      <c r="Q109" s="135"/>
      <c r="R109" s="135"/>
      <c r="S109" s="135"/>
      <c r="T109" s="135"/>
      <c r="U109" s="135"/>
      <c r="V109" s="135"/>
    </row>
    <row r="110" customFormat="false" ht="15.75" hidden="false" customHeight="true" outlineLevel="0" collapsed="false">
      <c r="A110" s="135"/>
      <c r="B110" s="135"/>
      <c r="C110" s="135"/>
      <c r="D110" s="229"/>
      <c r="E110" s="135"/>
      <c r="F110" s="189"/>
      <c r="G110" s="135"/>
      <c r="H110" s="135"/>
      <c r="I110" s="135"/>
      <c r="J110" s="135"/>
      <c r="K110" s="135"/>
      <c r="L110" s="189"/>
      <c r="M110" s="135"/>
      <c r="N110" s="189"/>
      <c r="O110" s="135"/>
      <c r="P110" s="229"/>
      <c r="Q110" s="135"/>
      <c r="R110" s="135"/>
      <c r="S110" s="135"/>
      <c r="T110" s="135"/>
      <c r="U110" s="135"/>
      <c r="V110" s="135"/>
    </row>
    <row r="111" customFormat="false" ht="15.75" hidden="false" customHeight="true" outlineLevel="0" collapsed="false">
      <c r="A111" s="135"/>
      <c r="B111" s="135"/>
      <c r="C111" s="135"/>
      <c r="D111" s="229"/>
      <c r="E111" s="135"/>
      <c r="F111" s="189"/>
      <c r="G111" s="135"/>
      <c r="H111" s="135"/>
      <c r="I111" s="135"/>
      <c r="J111" s="135"/>
      <c r="K111" s="135"/>
      <c r="L111" s="189"/>
      <c r="M111" s="135"/>
      <c r="N111" s="189"/>
      <c r="O111" s="135"/>
      <c r="P111" s="229"/>
      <c r="Q111" s="135"/>
      <c r="R111" s="135"/>
      <c r="S111" s="135"/>
      <c r="T111" s="135"/>
      <c r="U111" s="135"/>
      <c r="V111" s="135"/>
    </row>
    <row r="112" customFormat="false" ht="15.75" hidden="false" customHeight="true" outlineLevel="0" collapsed="false">
      <c r="A112" s="135"/>
      <c r="B112" s="135"/>
      <c r="C112" s="135"/>
      <c r="D112" s="229"/>
      <c r="E112" s="135"/>
      <c r="F112" s="189"/>
      <c r="G112" s="135"/>
      <c r="H112" s="135"/>
      <c r="I112" s="135"/>
      <c r="J112" s="135"/>
      <c r="K112" s="135"/>
      <c r="L112" s="189"/>
      <c r="M112" s="135"/>
      <c r="N112" s="189"/>
      <c r="O112" s="135"/>
      <c r="P112" s="229"/>
      <c r="Q112" s="135"/>
      <c r="R112" s="135"/>
      <c r="S112" s="135"/>
      <c r="T112" s="135"/>
      <c r="U112" s="135"/>
      <c r="V112" s="135"/>
    </row>
    <row r="113" customFormat="false" ht="15.75" hidden="false" customHeight="true" outlineLevel="0" collapsed="false">
      <c r="A113" s="135"/>
      <c r="B113" s="135"/>
      <c r="C113" s="135"/>
      <c r="D113" s="229"/>
      <c r="E113" s="135"/>
      <c r="F113" s="189"/>
      <c r="G113" s="135"/>
      <c r="H113" s="135"/>
      <c r="I113" s="135"/>
      <c r="J113" s="135"/>
      <c r="K113" s="135"/>
      <c r="L113" s="189"/>
      <c r="M113" s="135"/>
      <c r="N113" s="189"/>
      <c r="O113" s="135"/>
      <c r="P113" s="229"/>
      <c r="Q113" s="135"/>
      <c r="R113" s="135"/>
      <c r="S113" s="135"/>
      <c r="T113" s="135"/>
      <c r="U113" s="135"/>
      <c r="V113" s="135"/>
    </row>
    <row r="114" customFormat="false" ht="15.75" hidden="false" customHeight="true" outlineLevel="0" collapsed="false">
      <c r="A114" s="135"/>
      <c r="B114" s="135"/>
      <c r="C114" s="135"/>
      <c r="D114" s="229"/>
      <c r="E114" s="135"/>
      <c r="F114" s="189"/>
      <c r="G114" s="135"/>
      <c r="H114" s="135"/>
      <c r="I114" s="135"/>
      <c r="J114" s="135"/>
      <c r="K114" s="135"/>
      <c r="L114" s="189"/>
      <c r="M114" s="135"/>
      <c r="N114" s="189"/>
      <c r="O114" s="135"/>
      <c r="P114" s="229"/>
      <c r="Q114" s="135"/>
      <c r="R114" s="135"/>
      <c r="S114" s="135"/>
      <c r="T114" s="135"/>
      <c r="U114" s="135"/>
      <c r="V114" s="135"/>
    </row>
    <row r="115" customFormat="false" ht="15.75" hidden="false" customHeight="true" outlineLevel="0" collapsed="false">
      <c r="A115" s="135"/>
      <c r="B115" s="135"/>
      <c r="C115" s="135"/>
      <c r="D115" s="229"/>
      <c r="E115" s="135"/>
      <c r="F115" s="189"/>
      <c r="G115" s="135"/>
      <c r="H115" s="135"/>
      <c r="I115" s="135"/>
      <c r="J115" s="135"/>
      <c r="K115" s="135"/>
      <c r="L115" s="189"/>
      <c r="M115" s="135"/>
      <c r="N115" s="189"/>
      <c r="O115" s="135"/>
      <c r="P115" s="229"/>
      <c r="Q115" s="135"/>
      <c r="R115" s="135"/>
      <c r="S115" s="135"/>
      <c r="T115" s="135"/>
      <c r="U115" s="135"/>
      <c r="V115" s="135"/>
    </row>
    <row r="116" customFormat="false" ht="15.75" hidden="false" customHeight="true" outlineLevel="0" collapsed="false">
      <c r="A116" s="135"/>
      <c r="B116" s="135"/>
      <c r="C116" s="135"/>
      <c r="D116" s="229"/>
      <c r="E116" s="135"/>
      <c r="F116" s="189"/>
      <c r="G116" s="135"/>
      <c r="H116" s="135"/>
      <c r="I116" s="135"/>
      <c r="J116" s="135"/>
      <c r="K116" s="135"/>
      <c r="L116" s="189"/>
      <c r="M116" s="135"/>
      <c r="N116" s="189"/>
      <c r="O116" s="135"/>
      <c r="P116" s="229"/>
      <c r="Q116" s="135"/>
      <c r="R116" s="135"/>
      <c r="S116" s="135"/>
      <c r="T116" s="135"/>
      <c r="U116" s="135"/>
      <c r="V116" s="135"/>
    </row>
    <row r="117" customFormat="false" ht="15.75" hidden="false" customHeight="true" outlineLevel="0" collapsed="false">
      <c r="A117" s="135"/>
      <c r="B117" s="135"/>
      <c r="C117" s="135"/>
      <c r="D117" s="229"/>
      <c r="E117" s="135"/>
      <c r="F117" s="189"/>
      <c r="G117" s="135"/>
      <c r="H117" s="135"/>
      <c r="I117" s="135"/>
      <c r="J117" s="135"/>
      <c r="K117" s="135"/>
      <c r="L117" s="189"/>
      <c r="M117" s="135"/>
      <c r="N117" s="189"/>
      <c r="O117" s="135"/>
      <c r="P117" s="229"/>
      <c r="Q117" s="135"/>
      <c r="R117" s="135"/>
      <c r="S117" s="135"/>
      <c r="T117" s="135"/>
      <c r="U117" s="135"/>
      <c r="V117" s="135"/>
    </row>
    <row r="118" customFormat="false" ht="15.75" hidden="false" customHeight="true" outlineLevel="0" collapsed="false">
      <c r="A118" s="135"/>
      <c r="B118" s="135"/>
      <c r="C118" s="135"/>
      <c r="D118" s="229"/>
      <c r="E118" s="135"/>
      <c r="F118" s="189"/>
      <c r="G118" s="135"/>
      <c r="H118" s="135"/>
      <c r="I118" s="135"/>
      <c r="J118" s="135"/>
      <c r="K118" s="135"/>
      <c r="L118" s="189"/>
      <c r="M118" s="135"/>
      <c r="N118" s="189"/>
      <c r="O118" s="135"/>
      <c r="P118" s="229"/>
      <c r="Q118" s="135"/>
      <c r="R118" s="135"/>
      <c r="S118" s="135"/>
      <c r="T118" s="135"/>
      <c r="U118" s="135"/>
      <c r="V118" s="135"/>
    </row>
    <row r="119" customFormat="false" ht="15.75" hidden="false" customHeight="true" outlineLevel="0" collapsed="false">
      <c r="A119" s="135"/>
      <c r="B119" s="135"/>
      <c r="C119" s="135"/>
      <c r="D119" s="229"/>
      <c r="E119" s="135"/>
      <c r="F119" s="189"/>
      <c r="G119" s="135"/>
      <c r="H119" s="135"/>
      <c r="I119" s="135"/>
      <c r="J119" s="135"/>
      <c r="K119" s="135"/>
      <c r="L119" s="189"/>
      <c r="M119" s="135"/>
      <c r="N119" s="189"/>
      <c r="O119" s="135"/>
      <c r="P119" s="229"/>
      <c r="Q119" s="135"/>
      <c r="R119" s="135"/>
      <c r="S119" s="135"/>
      <c r="T119" s="135"/>
      <c r="U119" s="135"/>
      <c r="V119" s="135"/>
    </row>
    <row r="120" customFormat="false" ht="15.75" hidden="false" customHeight="true" outlineLevel="0" collapsed="false">
      <c r="A120" s="135"/>
      <c r="B120" s="135"/>
      <c r="C120" s="135"/>
      <c r="D120" s="229"/>
      <c r="E120" s="135"/>
      <c r="F120" s="189"/>
      <c r="G120" s="135"/>
      <c r="H120" s="135"/>
      <c r="I120" s="135"/>
      <c r="J120" s="135"/>
      <c r="K120" s="135"/>
      <c r="L120" s="189"/>
      <c r="M120" s="135"/>
      <c r="N120" s="189"/>
      <c r="O120" s="135"/>
      <c r="P120" s="229"/>
      <c r="Q120" s="135"/>
      <c r="R120" s="135"/>
      <c r="S120" s="135"/>
      <c r="T120" s="135"/>
      <c r="U120" s="135"/>
      <c r="V120" s="135"/>
    </row>
    <row r="121" customFormat="false" ht="15.75" hidden="false" customHeight="true" outlineLevel="0" collapsed="false">
      <c r="A121" s="135"/>
      <c r="B121" s="135"/>
      <c r="C121" s="135"/>
      <c r="D121" s="229"/>
      <c r="E121" s="135"/>
      <c r="F121" s="189"/>
      <c r="G121" s="135"/>
      <c r="H121" s="135"/>
      <c r="I121" s="135"/>
      <c r="J121" s="135"/>
      <c r="K121" s="135"/>
      <c r="L121" s="189"/>
      <c r="M121" s="135"/>
      <c r="N121" s="189"/>
      <c r="O121" s="135"/>
      <c r="P121" s="229"/>
      <c r="Q121" s="135"/>
      <c r="R121" s="135"/>
      <c r="S121" s="135"/>
      <c r="T121" s="135"/>
      <c r="U121" s="135"/>
      <c r="V121" s="135"/>
    </row>
    <row r="122" customFormat="false" ht="15.75" hidden="false" customHeight="true" outlineLevel="0" collapsed="false">
      <c r="A122" s="135"/>
      <c r="B122" s="135"/>
      <c r="C122" s="135"/>
      <c r="D122" s="229"/>
      <c r="E122" s="135"/>
      <c r="F122" s="189"/>
      <c r="G122" s="135"/>
      <c r="H122" s="135"/>
      <c r="I122" s="135"/>
      <c r="J122" s="135"/>
      <c r="K122" s="135"/>
      <c r="L122" s="189"/>
      <c r="M122" s="135"/>
      <c r="N122" s="189"/>
      <c r="O122" s="135"/>
      <c r="P122" s="229"/>
      <c r="Q122" s="135"/>
      <c r="R122" s="135"/>
      <c r="S122" s="135"/>
      <c r="T122" s="135"/>
      <c r="U122" s="135"/>
      <c r="V122" s="135"/>
    </row>
    <row r="123" customFormat="false" ht="15.75" hidden="false" customHeight="true" outlineLevel="0" collapsed="false">
      <c r="A123" s="135"/>
      <c r="B123" s="135"/>
      <c r="C123" s="135"/>
      <c r="D123" s="229"/>
      <c r="E123" s="135"/>
      <c r="F123" s="189"/>
      <c r="G123" s="135"/>
      <c r="H123" s="135"/>
      <c r="I123" s="135"/>
      <c r="J123" s="135"/>
      <c r="K123" s="135"/>
      <c r="L123" s="189"/>
      <c r="M123" s="135"/>
      <c r="N123" s="189"/>
      <c r="O123" s="135"/>
      <c r="P123" s="229"/>
      <c r="Q123" s="135"/>
      <c r="R123" s="135"/>
      <c r="S123" s="135"/>
      <c r="T123" s="135"/>
      <c r="U123" s="135"/>
      <c r="V123" s="135"/>
    </row>
    <row r="124" customFormat="false" ht="15.75" hidden="false" customHeight="true" outlineLevel="0" collapsed="false">
      <c r="A124" s="135"/>
      <c r="B124" s="135"/>
      <c r="C124" s="135"/>
      <c r="D124" s="229"/>
      <c r="E124" s="135"/>
      <c r="F124" s="189"/>
      <c r="G124" s="135"/>
      <c r="H124" s="135"/>
      <c r="I124" s="135"/>
      <c r="J124" s="135"/>
      <c r="K124" s="135"/>
      <c r="L124" s="189"/>
      <c r="M124" s="135"/>
      <c r="N124" s="189"/>
      <c r="O124" s="135"/>
      <c r="P124" s="229"/>
      <c r="Q124" s="135"/>
      <c r="R124" s="135"/>
      <c r="S124" s="135"/>
      <c r="T124" s="135"/>
      <c r="U124" s="135"/>
      <c r="V124" s="135"/>
    </row>
    <row r="125" customFormat="false" ht="15.75" hidden="false" customHeight="true" outlineLevel="0" collapsed="false">
      <c r="A125" s="135"/>
      <c r="B125" s="135"/>
      <c r="C125" s="135"/>
      <c r="D125" s="229"/>
      <c r="E125" s="135"/>
      <c r="F125" s="189"/>
      <c r="G125" s="135"/>
      <c r="H125" s="135"/>
      <c r="I125" s="135"/>
      <c r="J125" s="135"/>
      <c r="K125" s="135"/>
      <c r="L125" s="189"/>
      <c r="M125" s="135"/>
      <c r="N125" s="189"/>
      <c r="O125" s="135"/>
      <c r="P125" s="229"/>
      <c r="Q125" s="135"/>
      <c r="R125" s="135"/>
      <c r="S125" s="135"/>
      <c r="T125" s="135"/>
      <c r="U125" s="135"/>
      <c r="V125" s="135"/>
    </row>
    <row r="126" customFormat="false" ht="15.75" hidden="false" customHeight="true" outlineLevel="0" collapsed="false">
      <c r="A126" s="135"/>
      <c r="B126" s="135"/>
      <c r="C126" s="135"/>
      <c r="D126" s="229"/>
      <c r="E126" s="135"/>
      <c r="F126" s="189"/>
      <c r="G126" s="135"/>
      <c r="H126" s="135"/>
      <c r="I126" s="135"/>
      <c r="J126" s="135"/>
      <c r="K126" s="135"/>
      <c r="L126" s="189"/>
      <c r="M126" s="135"/>
      <c r="N126" s="189"/>
      <c r="O126" s="135"/>
      <c r="P126" s="229"/>
      <c r="Q126" s="135"/>
      <c r="R126" s="135"/>
      <c r="S126" s="135"/>
      <c r="T126" s="135"/>
      <c r="U126" s="135"/>
      <c r="V126" s="135"/>
    </row>
    <row r="127" customFormat="false" ht="15.75" hidden="false" customHeight="true" outlineLevel="0" collapsed="false">
      <c r="A127" s="135"/>
      <c r="B127" s="135"/>
      <c r="C127" s="135"/>
      <c r="D127" s="229"/>
      <c r="E127" s="135"/>
      <c r="F127" s="189"/>
      <c r="G127" s="135"/>
      <c r="H127" s="135"/>
      <c r="I127" s="135"/>
      <c r="J127" s="135"/>
      <c r="K127" s="135"/>
      <c r="L127" s="189"/>
      <c r="M127" s="135"/>
      <c r="N127" s="189"/>
      <c r="O127" s="135"/>
      <c r="P127" s="229"/>
      <c r="Q127" s="135"/>
      <c r="R127" s="135"/>
      <c r="S127" s="135"/>
      <c r="T127" s="135"/>
      <c r="U127" s="135"/>
      <c r="V127" s="135"/>
    </row>
    <row r="128" customFormat="false" ht="15.75" hidden="false" customHeight="true" outlineLevel="0" collapsed="false">
      <c r="A128" s="135"/>
      <c r="B128" s="135"/>
      <c r="C128" s="135"/>
      <c r="D128" s="229"/>
      <c r="E128" s="135"/>
      <c r="F128" s="189"/>
      <c r="G128" s="135"/>
      <c r="H128" s="135"/>
      <c r="I128" s="135"/>
      <c r="J128" s="135"/>
      <c r="K128" s="135"/>
      <c r="L128" s="189"/>
      <c r="M128" s="135"/>
      <c r="N128" s="189"/>
      <c r="O128" s="135"/>
      <c r="P128" s="229"/>
      <c r="Q128" s="135"/>
      <c r="R128" s="135"/>
      <c r="S128" s="135"/>
      <c r="T128" s="135"/>
      <c r="U128" s="135"/>
      <c r="V128" s="135"/>
    </row>
    <row r="129" customFormat="false" ht="15.75" hidden="false" customHeight="true" outlineLevel="0" collapsed="false">
      <c r="A129" s="135"/>
      <c r="B129" s="135"/>
      <c r="C129" s="135"/>
      <c r="D129" s="229"/>
      <c r="E129" s="135"/>
      <c r="F129" s="189"/>
      <c r="G129" s="135"/>
      <c r="H129" s="135"/>
      <c r="I129" s="135"/>
      <c r="J129" s="135"/>
      <c r="K129" s="135"/>
      <c r="L129" s="189"/>
      <c r="M129" s="135"/>
      <c r="N129" s="189"/>
      <c r="O129" s="135"/>
      <c r="P129" s="229"/>
      <c r="Q129" s="135"/>
      <c r="R129" s="135"/>
      <c r="S129" s="135"/>
      <c r="T129" s="135"/>
      <c r="U129" s="135"/>
      <c r="V129" s="135"/>
    </row>
    <row r="130" customFormat="false" ht="15.75" hidden="false" customHeight="true" outlineLevel="0" collapsed="false">
      <c r="A130" s="135"/>
      <c r="B130" s="135"/>
      <c r="C130" s="135"/>
      <c r="D130" s="229"/>
      <c r="E130" s="135"/>
      <c r="F130" s="189"/>
      <c r="G130" s="135"/>
      <c r="H130" s="135"/>
      <c r="I130" s="135"/>
      <c r="J130" s="135"/>
      <c r="K130" s="135"/>
      <c r="L130" s="189"/>
      <c r="M130" s="135"/>
      <c r="N130" s="189"/>
      <c r="O130" s="135"/>
      <c r="P130" s="229"/>
      <c r="Q130" s="135"/>
      <c r="R130" s="135"/>
      <c r="S130" s="135"/>
      <c r="T130" s="135"/>
      <c r="U130" s="135"/>
      <c r="V130" s="135"/>
    </row>
    <row r="131" customFormat="false" ht="15.75" hidden="false" customHeight="true" outlineLevel="0" collapsed="false">
      <c r="A131" s="135"/>
      <c r="B131" s="135"/>
      <c r="C131" s="135"/>
      <c r="D131" s="229"/>
      <c r="E131" s="135"/>
      <c r="F131" s="189"/>
      <c r="G131" s="135"/>
      <c r="H131" s="135"/>
      <c r="I131" s="135"/>
      <c r="J131" s="135"/>
      <c r="K131" s="135"/>
      <c r="L131" s="189"/>
      <c r="M131" s="135"/>
      <c r="N131" s="189"/>
      <c r="O131" s="135"/>
      <c r="P131" s="229"/>
      <c r="Q131" s="135"/>
      <c r="R131" s="135"/>
      <c r="S131" s="135"/>
      <c r="T131" s="135"/>
      <c r="U131" s="135"/>
      <c r="V131" s="135"/>
    </row>
    <row r="132" customFormat="false" ht="15.75" hidden="false" customHeight="true" outlineLevel="0" collapsed="false">
      <c r="A132" s="135"/>
      <c r="B132" s="135"/>
      <c r="C132" s="135"/>
      <c r="D132" s="229"/>
      <c r="E132" s="135"/>
      <c r="F132" s="189"/>
      <c r="G132" s="135"/>
      <c r="H132" s="135"/>
      <c r="I132" s="135"/>
      <c r="J132" s="135"/>
      <c r="K132" s="135"/>
      <c r="L132" s="189"/>
      <c r="M132" s="135"/>
      <c r="N132" s="189"/>
      <c r="O132" s="135"/>
      <c r="P132" s="229"/>
      <c r="Q132" s="135"/>
      <c r="R132" s="135"/>
      <c r="S132" s="135"/>
      <c r="T132" s="135"/>
      <c r="U132" s="135"/>
      <c r="V132" s="135"/>
    </row>
    <row r="133" customFormat="false" ht="15.75" hidden="false" customHeight="true" outlineLevel="0" collapsed="false">
      <c r="A133" s="135"/>
      <c r="B133" s="135"/>
      <c r="C133" s="135"/>
      <c r="D133" s="229"/>
      <c r="E133" s="135"/>
      <c r="F133" s="189"/>
      <c r="G133" s="135"/>
      <c r="H133" s="135"/>
      <c r="I133" s="135"/>
      <c r="J133" s="135"/>
      <c r="K133" s="135"/>
      <c r="L133" s="189"/>
      <c r="M133" s="135"/>
      <c r="N133" s="189"/>
      <c r="O133" s="135"/>
      <c r="P133" s="229"/>
      <c r="Q133" s="135"/>
      <c r="R133" s="135"/>
      <c r="S133" s="135"/>
      <c r="T133" s="135"/>
      <c r="U133" s="135"/>
      <c r="V133" s="135"/>
    </row>
    <row r="134" customFormat="false" ht="15.75" hidden="false" customHeight="true" outlineLevel="0" collapsed="false">
      <c r="A134" s="135"/>
      <c r="B134" s="135"/>
      <c r="C134" s="135"/>
      <c r="D134" s="229"/>
      <c r="E134" s="135"/>
      <c r="F134" s="189"/>
      <c r="G134" s="135"/>
      <c r="H134" s="135"/>
      <c r="I134" s="135"/>
      <c r="J134" s="135"/>
      <c r="K134" s="135"/>
      <c r="L134" s="189"/>
      <c r="M134" s="135"/>
      <c r="N134" s="189"/>
      <c r="O134" s="135"/>
      <c r="P134" s="229"/>
      <c r="Q134" s="135"/>
      <c r="R134" s="135"/>
      <c r="S134" s="135"/>
      <c r="T134" s="135"/>
      <c r="U134" s="135"/>
      <c r="V134" s="135"/>
    </row>
    <row r="135" customFormat="false" ht="15.75" hidden="false" customHeight="true" outlineLevel="0" collapsed="false">
      <c r="A135" s="135"/>
      <c r="B135" s="135"/>
      <c r="C135" s="135"/>
      <c r="D135" s="229"/>
      <c r="E135" s="135"/>
      <c r="F135" s="189"/>
      <c r="G135" s="135"/>
      <c r="H135" s="135"/>
      <c r="I135" s="135"/>
      <c r="J135" s="135"/>
      <c r="K135" s="135"/>
      <c r="L135" s="189"/>
      <c r="M135" s="135"/>
      <c r="N135" s="189"/>
      <c r="O135" s="135"/>
      <c r="P135" s="229"/>
      <c r="Q135" s="135"/>
      <c r="R135" s="135"/>
      <c r="S135" s="135"/>
      <c r="T135" s="135"/>
      <c r="U135" s="135"/>
      <c r="V135" s="135"/>
    </row>
    <row r="136" customFormat="false" ht="15.75" hidden="false" customHeight="true" outlineLevel="0" collapsed="false">
      <c r="A136" s="135"/>
      <c r="B136" s="135"/>
      <c r="C136" s="135"/>
      <c r="D136" s="229"/>
      <c r="E136" s="135"/>
      <c r="F136" s="189"/>
      <c r="G136" s="135"/>
      <c r="H136" s="135"/>
      <c r="I136" s="135"/>
      <c r="J136" s="135"/>
      <c r="K136" s="135"/>
      <c r="L136" s="189"/>
      <c r="M136" s="135"/>
      <c r="N136" s="189"/>
      <c r="O136" s="135"/>
      <c r="P136" s="229"/>
      <c r="Q136" s="135"/>
      <c r="R136" s="135"/>
      <c r="S136" s="135"/>
      <c r="T136" s="135"/>
      <c r="U136" s="135"/>
      <c r="V136" s="135"/>
    </row>
    <row r="137" customFormat="false" ht="15.75" hidden="false" customHeight="true" outlineLevel="0" collapsed="false">
      <c r="A137" s="135"/>
      <c r="B137" s="135"/>
      <c r="C137" s="135"/>
      <c r="D137" s="229"/>
      <c r="E137" s="135"/>
      <c r="F137" s="189"/>
      <c r="G137" s="135"/>
      <c r="H137" s="135"/>
      <c r="I137" s="135"/>
      <c r="J137" s="135"/>
      <c r="K137" s="135"/>
      <c r="L137" s="189"/>
      <c r="M137" s="135"/>
      <c r="N137" s="189"/>
      <c r="O137" s="135"/>
      <c r="P137" s="229"/>
      <c r="Q137" s="135"/>
      <c r="R137" s="135"/>
      <c r="S137" s="135"/>
      <c r="T137" s="135"/>
      <c r="U137" s="135"/>
      <c r="V137" s="135"/>
    </row>
    <row r="138" customFormat="false" ht="15.75" hidden="false" customHeight="true" outlineLevel="0" collapsed="false">
      <c r="A138" s="135"/>
      <c r="B138" s="135"/>
      <c r="C138" s="135"/>
      <c r="D138" s="229"/>
      <c r="E138" s="135"/>
      <c r="F138" s="189"/>
      <c r="G138" s="135"/>
      <c r="H138" s="135"/>
      <c r="I138" s="135"/>
      <c r="J138" s="135"/>
      <c r="K138" s="135"/>
      <c r="L138" s="189"/>
      <c r="M138" s="135"/>
      <c r="N138" s="189"/>
      <c r="O138" s="135"/>
      <c r="P138" s="229"/>
      <c r="Q138" s="135"/>
      <c r="R138" s="135"/>
      <c r="S138" s="135"/>
      <c r="T138" s="135"/>
      <c r="U138" s="135"/>
      <c r="V138" s="135"/>
    </row>
    <row r="139" customFormat="false" ht="15.75" hidden="false" customHeight="true" outlineLevel="0" collapsed="false">
      <c r="A139" s="135"/>
      <c r="B139" s="135"/>
      <c r="C139" s="135"/>
      <c r="D139" s="229"/>
      <c r="E139" s="135"/>
      <c r="F139" s="189"/>
      <c r="G139" s="135"/>
      <c r="H139" s="135"/>
      <c r="I139" s="135"/>
      <c r="J139" s="135"/>
      <c r="K139" s="135"/>
      <c r="L139" s="189"/>
      <c r="M139" s="135"/>
      <c r="N139" s="189"/>
      <c r="O139" s="135"/>
      <c r="P139" s="229"/>
      <c r="Q139" s="135"/>
      <c r="R139" s="135"/>
      <c r="S139" s="135"/>
      <c r="T139" s="135"/>
      <c r="U139" s="135"/>
      <c r="V139" s="135"/>
    </row>
    <row r="140" customFormat="false" ht="15.75" hidden="false" customHeight="true" outlineLevel="0" collapsed="false">
      <c r="A140" s="135"/>
      <c r="B140" s="135"/>
      <c r="C140" s="135"/>
      <c r="D140" s="229"/>
      <c r="E140" s="135"/>
      <c r="F140" s="189"/>
      <c r="G140" s="135"/>
      <c r="H140" s="135"/>
      <c r="I140" s="135"/>
      <c r="J140" s="135"/>
      <c r="K140" s="135"/>
      <c r="L140" s="189"/>
      <c r="M140" s="135"/>
      <c r="N140" s="189"/>
      <c r="O140" s="135"/>
      <c r="P140" s="229"/>
      <c r="Q140" s="135"/>
      <c r="R140" s="135"/>
      <c r="S140" s="135"/>
      <c r="T140" s="135"/>
      <c r="U140" s="135"/>
      <c r="V140" s="135"/>
    </row>
    <row r="141" customFormat="false" ht="15.75" hidden="false" customHeight="true" outlineLevel="0" collapsed="false">
      <c r="A141" s="135"/>
      <c r="B141" s="135"/>
      <c r="C141" s="135"/>
      <c r="D141" s="229"/>
      <c r="E141" s="135"/>
      <c r="F141" s="189"/>
      <c r="G141" s="135"/>
      <c r="H141" s="135"/>
      <c r="I141" s="135"/>
      <c r="J141" s="135"/>
      <c r="K141" s="135"/>
      <c r="L141" s="189"/>
      <c r="M141" s="135"/>
      <c r="N141" s="189"/>
      <c r="O141" s="135"/>
      <c r="P141" s="229"/>
      <c r="Q141" s="135"/>
      <c r="R141" s="135"/>
      <c r="S141" s="135"/>
      <c r="T141" s="135"/>
      <c r="U141" s="135"/>
      <c r="V141" s="135"/>
    </row>
    <row r="142" customFormat="false" ht="15.75" hidden="false" customHeight="true" outlineLevel="0" collapsed="false">
      <c r="A142" s="135"/>
      <c r="B142" s="135"/>
      <c r="C142" s="135"/>
      <c r="D142" s="229"/>
      <c r="E142" s="135"/>
      <c r="F142" s="189"/>
      <c r="G142" s="135"/>
      <c r="H142" s="135"/>
      <c r="I142" s="135"/>
      <c r="J142" s="135"/>
      <c r="K142" s="135"/>
      <c r="L142" s="189"/>
      <c r="M142" s="135"/>
      <c r="N142" s="189"/>
      <c r="O142" s="135"/>
      <c r="P142" s="229"/>
      <c r="Q142" s="135"/>
      <c r="R142" s="135"/>
      <c r="S142" s="135"/>
      <c r="T142" s="135"/>
      <c r="U142" s="135"/>
      <c r="V142" s="135"/>
    </row>
    <row r="143" customFormat="false" ht="15.75" hidden="false" customHeight="true" outlineLevel="0" collapsed="false">
      <c r="A143" s="135"/>
      <c r="B143" s="135"/>
      <c r="C143" s="135"/>
      <c r="D143" s="229"/>
      <c r="E143" s="135"/>
      <c r="F143" s="189"/>
      <c r="G143" s="135"/>
      <c r="H143" s="135"/>
      <c r="I143" s="135"/>
      <c r="J143" s="135"/>
      <c r="K143" s="135"/>
      <c r="L143" s="189"/>
      <c r="M143" s="135"/>
      <c r="N143" s="189"/>
      <c r="O143" s="135"/>
      <c r="P143" s="229"/>
      <c r="Q143" s="135"/>
      <c r="R143" s="135"/>
      <c r="S143" s="135"/>
      <c r="T143" s="135"/>
      <c r="U143" s="135"/>
      <c r="V143" s="135"/>
    </row>
    <row r="144" customFormat="false" ht="15.75" hidden="false" customHeight="true" outlineLevel="0" collapsed="false">
      <c r="A144" s="135"/>
      <c r="B144" s="135"/>
      <c r="C144" s="135"/>
      <c r="D144" s="229"/>
      <c r="E144" s="135"/>
      <c r="F144" s="189"/>
      <c r="G144" s="135"/>
      <c r="H144" s="135"/>
      <c r="I144" s="135"/>
      <c r="J144" s="135"/>
      <c r="K144" s="135"/>
      <c r="L144" s="189"/>
      <c r="M144" s="135"/>
      <c r="N144" s="189"/>
      <c r="O144" s="135"/>
      <c r="P144" s="229"/>
      <c r="Q144" s="135"/>
      <c r="R144" s="135"/>
      <c r="S144" s="135"/>
      <c r="T144" s="135"/>
      <c r="U144" s="135"/>
      <c r="V144" s="135"/>
    </row>
    <row r="145" customFormat="false" ht="15.75" hidden="false" customHeight="true" outlineLevel="0" collapsed="false">
      <c r="A145" s="135"/>
      <c r="B145" s="135"/>
      <c r="C145" s="135"/>
      <c r="D145" s="229"/>
      <c r="E145" s="135"/>
      <c r="F145" s="189"/>
      <c r="G145" s="135"/>
      <c r="H145" s="135"/>
      <c r="I145" s="135"/>
      <c r="J145" s="135"/>
      <c r="K145" s="135"/>
      <c r="L145" s="189"/>
      <c r="M145" s="135"/>
      <c r="N145" s="189"/>
      <c r="O145" s="135"/>
      <c r="P145" s="229"/>
      <c r="Q145" s="135"/>
      <c r="R145" s="135"/>
      <c r="S145" s="135"/>
      <c r="T145" s="135"/>
      <c r="U145" s="135"/>
      <c r="V145" s="135"/>
    </row>
    <row r="146" customFormat="false" ht="15.75" hidden="false" customHeight="true" outlineLevel="0" collapsed="false">
      <c r="A146" s="135"/>
      <c r="B146" s="135"/>
      <c r="C146" s="135"/>
      <c r="D146" s="229"/>
      <c r="E146" s="135"/>
      <c r="F146" s="189"/>
      <c r="G146" s="135"/>
      <c r="H146" s="135"/>
      <c r="I146" s="135"/>
      <c r="J146" s="135"/>
      <c r="K146" s="135"/>
      <c r="L146" s="189"/>
      <c r="M146" s="135"/>
      <c r="N146" s="189"/>
      <c r="O146" s="135"/>
      <c r="P146" s="229"/>
      <c r="Q146" s="135"/>
      <c r="R146" s="135"/>
      <c r="S146" s="135"/>
      <c r="T146" s="135"/>
      <c r="U146" s="135"/>
      <c r="V146" s="135"/>
    </row>
    <row r="147" customFormat="false" ht="15.75" hidden="false" customHeight="true" outlineLevel="0" collapsed="false">
      <c r="A147" s="135"/>
      <c r="B147" s="135"/>
      <c r="C147" s="135"/>
      <c r="D147" s="229"/>
      <c r="E147" s="135"/>
      <c r="F147" s="189"/>
      <c r="G147" s="135"/>
      <c r="H147" s="135"/>
      <c r="I147" s="135"/>
      <c r="J147" s="135"/>
      <c r="K147" s="135"/>
      <c r="L147" s="189"/>
      <c r="M147" s="135"/>
      <c r="N147" s="189"/>
      <c r="O147" s="135"/>
      <c r="P147" s="229"/>
      <c r="Q147" s="135"/>
      <c r="R147" s="135"/>
      <c r="S147" s="135"/>
      <c r="T147" s="135"/>
      <c r="U147" s="135"/>
      <c r="V147" s="135"/>
    </row>
    <row r="148" customFormat="false" ht="15.75" hidden="false" customHeight="true" outlineLevel="0" collapsed="false">
      <c r="A148" s="135"/>
      <c r="B148" s="135"/>
      <c r="C148" s="135"/>
      <c r="D148" s="229"/>
      <c r="E148" s="135"/>
      <c r="F148" s="189"/>
      <c r="G148" s="135"/>
      <c r="H148" s="135"/>
      <c r="I148" s="135"/>
      <c r="J148" s="135"/>
      <c r="K148" s="135"/>
      <c r="L148" s="189"/>
      <c r="M148" s="135"/>
      <c r="N148" s="189"/>
      <c r="O148" s="135"/>
      <c r="P148" s="229"/>
      <c r="Q148" s="135"/>
      <c r="R148" s="135"/>
      <c r="S148" s="135"/>
      <c r="T148" s="135"/>
      <c r="U148" s="135"/>
      <c r="V148" s="135"/>
    </row>
    <row r="149" customFormat="false" ht="15.75" hidden="false" customHeight="true" outlineLevel="0" collapsed="false">
      <c r="A149" s="135"/>
      <c r="B149" s="135"/>
      <c r="C149" s="135"/>
      <c r="D149" s="229"/>
      <c r="E149" s="135"/>
      <c r="F149" s="189"/>
      <c r="G149" s="135"/>
      <c r="H149" s="135"/>
      <c r="I149" s="135"/>
      <c r="J149" s="135"/>
      <c r="K149" s="135"/>
      <c r="L149" s="189"/>
      <c r="M149" s="135"/>
      <c r="N149" s="189"/>
      <c r="O149" s="135"/>
      <c r="P149" s="229"/>
      <c r="Q149" s="135"/>
      <c r="R149" s="135"/>
      <c r="S149" s="135"/>
      <c r="T149" s="135"/>
      <c r="U149" s="135"/>
      <c r="V149" s="135"/>
    </row>
    <row r="150" customFormat="false" ht="15.75" hidden="false" customHeight="true" outlineLevel="0" collapsed="false">
      <c r="A150" s="135"/>
      <c r="B150" s="135"/>
      <c r="C150" s="135"/>
      <c r="D150" s="229"/>
      <c r="E150" s="135"/>
      <c r="F150" s="189"/>
      <c r="G150" s="135"/>
      <c r="H150" s="135"/>
      <c r="I150" s="135"/>
      <c r="J150" s="135"/>
      <c r="K150" s="135"/>
      <c r="L150" s="189"/>
      <c r="M150" s="135"/>
      <c r="N150" s="189"/>
      <c r="O150" s="135"/>
      <c r="P150" s="229"/>
      <c r="Q150" s="135"/>
      <c r="R150" s="135"/>
      <c r="S150" s="135"/>
      <c r="T150" s="135"/>
      <c r="U150" s="135"/>
      <c r="V150" s="135"/>
    </row>
    <row r="151" customFormat="false" ht="15.75" hidden="false" customHeight="true" outlineLevel="0" collapsed="false">
      <c r="A151" s="135"/>
      <c r="B151" s="135"/>
      <c r="C151" s="135"/>
      <c r="D151" s="229"/>
      <c r="E151" s="135"/>
      <c r="F151" s="189"/>
      <c r="G151" s="135"/>
      <c r="H151" s="135"/>
      <c r="I151" s="135"/>
      <c r="J151" s="135"/>
      <c r="K151" s="135"/>
      <c r="L151" s="189"/>
      <c r="M151" s="135"/>
      <c r="N151" s="189"/>
      <c r="O151" s="135"/>
      <c r="P151" s="229"/>
      <c r="Q151" s="135"/>
      <c r="R151" s="135"/>
      <c r="S151" s="135"/>
      <c r="T151" s="135"/>
      <c r="U151" s="135"/>
      <c r="V151" s="135"/>
    </row>
    <row r="152" customFormat="false" ht="15.75" hidden="false" customHeight="true" outlineLevel="0" collapsed="false">
      <c r="A152" s="135"/>
      <c r="B152" s="135"/>
      <c r="C152" s="135"/>
      <c r="D152" s="229"/>
      <c r="E152" s="135"/>
      <c r="F152" s="189"/>
      <c r="G152" s="135"/>
      <c r="H152" s="135"/>
      <c r="I152" s="135"/>
      <c r="J152" s="135"/>
      <c r="K152" s="135"/>
      <c r="L152" s="189"/>
      <c r="M152" s="135"/>
      <c r="N152" s="189"/>
      <c r="O152" s="135"/>
      <c r="P152" s="229"/>
      <c r="Q152" s="135"/>
      <c r="R152" s="135"/>
      <c r="S152" s="135"/>
      <c r="T152" s="135"/>
      <c r="U152" s="135"/>
      <c r="V152" s="135"/>
    </row>
    <row r="153" customFormat="false" ht="15.75" hidden="false" customHeight="true" outlineLevel="0" collapsed="false">
      <c r="A153" s="135"/>
      <c r="B153" s="135"/>
      <c r="C153" s="135"/>
      <c r="D153" s="229"/>
      <c r="E153" s="135"/>
      <c r="F153" s="189"/>
      <c r="G153" s="135"/>
      <c r="H153" s="135"/>
      <c r="I153" s="135"/>
      <c r="J153" s="135"/>
      <c r="K153" s="135"/>
      <c r="L153" s="189"/>
      <c r="M153" s="135"/>
      <c r="N153" s="189"/>
      <c r="O153" s="135"/>
      <c r="P153" s="229"/>
      <c r="Q153" s="135"/>
      <c r="R153" s="135"/>
      <c r="S153" s="135"/>
      <c r="T153" s="135"/>
      <c r="U153" s="135"/>
      <c r="V153" s="135"/>
    </row>
    <row r="154" customFormat="false" ht="15.75" hidden="false" customHeight="true" outlineLevel="0" collapsed="false">
      <c r="A154" s="135"/>
      <c r="B154" s="135"/>
      <c r="C154" s="135"/>
      <c r="D154" s="229"/>
      <c r="E154" s="135"/>
      <c r="F154" s="189"/>
      <c r="G154" s="135"/>
      <c r="H154" s="135"/>
      <c r="I154" s="135"/>
      <c r="J154" s="135"/>
      <c r="K154" s="135"/>
      <c r="L154" s="189"/>
      <c r="M154" s="135"/>
      <c r="N154" s="189"/>
      <c r="O154" s="135"/>
      <c r="P154" s="229"/>
      <c r="Q154" s="135"/>
      <c r="R154" s="135"/>
      <c r="S154" s="135"/>
      <c r="T154" s="135"/>
      <c r="U154" s="135"/>
      <c r="V154" s="135"/>
    </row>
    <row r="155" customFormat="false" ht="15.75" hidden="false" customHeight="true" outlineLevel="0" collapsed="false">
      <c r="A155" s="135"/>
      <c r="B155" s="135"/>
      <c r="C155" s="135"/>
      <c r="D155" s="229"/>
      <c r="E155" s="135"/>
      <c r="F155" s="189"/>
      <c r="G155" s="135"/>
      <c r="H155" s="135"/>
      <c r="I155" s="135"/>
      <c r="J155" s="135"/>
      <c r="K155" s="135"/>
      <c r="L155" s="189"/>
      <c r="M155" s="135"/>
      <c r="N155" s="189"/>
      <c r="O155" s="135"/>
      <c r="P155" s="229"/>
      <c r="Q155" s="135"/>
      <c r="R155" s="135"/>
      <c r="S155" s="135"/>
      <c r="T155" s="135"/>
      <c r="U155" s="135"/>
      <c r="V155" s="135"/>
    </row>
    <row r="156" customFormat="false" ht="15.75" hidden="false" customHeight="true" outlineLevel="0" collapsed="false">
      <c r="A156" s="135"/>
      <c r="B156" s="135"/>
      <c r="C156" s="135"/>
      <c r="D156" s="229"/>
      <c r="E156" s="135"/>
      <c r="F156" s="189"/>
      <c r="G156" s="135"/>
      <c r="H156" s="135"/>
      <c r="I156" s="135"/>
      <c r="J156" s="135"/>
      <c r="K156" s="135"/>
      <c r="L156" s="189"/>
      <c r="M156" s="135"/>
      <c r="N156" s="189"/>
      <c r="O156" s="135"/>
      <c r="P156" s="229"/>
      <c r="Q156" s="135"/>
      <c r="R156" s="135"/>
      <c r="S156" s="135"/>
      <c r="T156" s="135"/>
      <c r="U156" s="135"/>
      <c r="V156" s="135"/>
    </row>
    <row r="157" customFormat="false" ht="15.75" hidden="false" customHeight="true" outlineLevel="0" collapsed="false">
      <c r="A157" s="135"/>
      <c r="B157" s="135"/>
      <c r="C157" s="135"/>
      <c r="D157" s="229"/>
      <c r="E157" s="135"/>
      <c r="F157" s="189"/>
      <c r="G157" s="135"/>
      <c r="H157" s="135"/>
      <c r="I157" s="135"/>
      <c r="J157" s="135"/>
      <c r="K157" s="135"/>
      <c r="L157" s="189"/>
      <c r="M157" s="135"/>
      <c r="N157" s="189"/>
      <c r="O157" s="135"/>
      <c r="P157" s="229"/>
      <c r="Q157" s="135"/>
      <c r="R157" s="135"/>
      <c r="S157" s="135"/>
      <c r="T157" s="135"/>
      <c r="U157" s="135"/>
      <c r="V157" s="135"/>
    </row>
    <row r="158" customFormat="false" ht="15.75" hidden="false" customHeight="true" outlineLevel="0" collapsed="false">
      <c r="A158" s="135"/>
      <c r="B158" s="135"/>
      <c r="C158" s="135"/>
      <c r="D158" s="229"/>
      <c r="E158" s="135"/>
      <c r="F158" s="189"/>
      <c r="G158" s="135"/>
      <c r="H158" s="135"/>
      <c r="I158" s="135"/>
      <c r="J158" s="135"/>
      <c r="K158" s="135"/>
      <c r="L158" s="189"/>
      <c r="M158" s="135"/>
      <c r="N158" s="189"/>
      <c r="O158" s="135"/>
      <c r="P158" s="229"/>
      <c r="Q158" s="135"/>
      <c r="R158" s="135"/>
      <c r="S158" s="135"/>
      <c r="T158" s="135"/>
      <c r="U158" s="135"/>
      <c r="V158" s="135"/>
    </row>
    <row r="159" customFormat="false" ht="15.75" hidden="false" customHeight="true" outlineLevel="0" collapsed="false">
      <c r="A159" s="135"/>
      <c r="B159" s="135"/>
      <c r="C159" s="135"/>
      <c r="D159" s="229"/>
      <c r="E159" s="135"/>
      <c r="F159" s="189"/>
      <c r="G159" s="135"/>
      <c r="H159" s="135"/>
      <c r="I159" s="135"/>
      <c r="J159" s="135"/>
      <c r="K159" s="135"/>
      <c r="L159" s="189"/>
      <c r="M159" s="135"/>
      <c r="N159" s="189"/>
      <c r="O159" s="135"/>
      <c r="P159" s="229"/>
      <c r="Q159" s="135"/>
      <c r="R159" s="135"/>
      <c r="S159" s="135"/>
      <c r="T159" s="135"/>
      <c r="U159" s="135"/>
      <c r="V159" s="135"/>
    </row>
    <row r="160" customFormat="false" ht="15.75" hidden="false" customHeight="true" outlineLevel="0" collapsed="false">
      <c r="A160" s="135"/>
      <c r="B160" s="135"/>
      <c r="C160" s="135"/>
      <c r="D160" s="229"/>
      <c r="E160" s="135"/>
      <c r="F160" s="189"/>
      <c r="G160" s="135"/>
      <c r="H160" s="135"/>
      <c r="I160" s="135"/>
      <c r="J160" s="135"/>
      <c r="K160" s="135"/>
      <c r="L160" s="189"/>
      <c r="M160" s="135"/>
      <c r="N160" s="189"/>
      <c r="O160" s="135"/>
      <c r="P160" s="229"/>
      <c r="Q160" s="135"/>
      <c r="R160" s="135"/>
      <c r="S160" s="135"/>
      <c r="T160" s="135"/>
      <c r="U160" s="135"/>
      <c r="V160" s="135"/>
    </row>
    <row r="161" customFormat="false" ht="15.75" hidden="false" customHeight="true" outlineLevel="0" collapsed="false">
      <c r="A161" s="135"/>
      <c r="B161" s="135"/>
      <c r="C161" s="135"/>
      <c r="D161" s="229"/>
      <c r="E161" s="135"/>
      <c r="F161" s="189"/>
      <c r="G161" s="135"/>
      <c r="H161" s="135"/>
      <c r="I161" s="135"/>
      <c r="J161" s="135"/>
      <c r="K161" s="135"/>
      <c r="L161" s="189"/>
      <c r="M161" s="135"/>
      <c r="N161" s="189"/>
      <c r="O161" s="135"/>
      <c r="P161" s="229"/>
      <c r="Q161" s="135"/>
      <c r="R161" s="135"/>
      <c r="S161" s="135"/>
      <c r="T161" s="135"/>
      <c r="U161" s="135"/>
      <c r="V161" s="135"/>
    </row>
    <row r="162" customFormat="false" ht="15.75" hidden="false" customHeight="true" outlineLevel="0" collapsed="false">
      <c r="A162" s="135"/>
      <c r="B162" s="135"/>
      <c r="C162" s="135"/>
      <c r="D162" s="229"/>
      <c r="E162" s="135"/>
      <c r="F162" s="189"/>
      <c r="G162" s="135"/>
      <c r="H162" s="135"/>
      <c r="I162" s="135"/>
      <c r="J162" s="135"/>
      <c r="K162" s="135"/>
      <c r="L162" s="189"/>
      <c r="M162" s="135"/>
      <c r="N162" s="189"/>
      <c r="O162" s="135"/>
      <c r="P162" s="229"/>
      <c r="Q162" s="135"/>
      <c r="R162" s="135"/>
      <c r="S162" s="135"/>
      <c r="T162" s="135"/>
      <c r="U162" s="135"/>
      <c r="V162" s="135"/>
    </row>
    <row r="163" customFormat="false" ht="15.75" hidden="false" customHeight="true" outlineLevel="0" collapsed="false">
      <c r="A163" s="135"/>
      <c r="B163" s="135"/>
      <c r="C163" s="135"/>
      <c r="D163" s="229"/>
      <c r="E163" s="135"/>
      <c r="F163" s="189"/>
      <c r="G163" s="135"/>
      <c r="H163" s="135"/>
      <c r="I163" s="135"/>
      <c r="J163" s="135"/>
      <c r="K163" s="135"/>
      <c r="L163" s="189"/>
      <c r="M163" s="135"/>
      <c r="N163" s="189"/>
      <c r="O163" s="135"/>
      <c r="P163" s="229"/>
      <c r="Q163" s="135"/>
      <c r="R163" s="135"/>
      <c r="S163" s="135"/>
      <c r="T163" s="135"/>
      <c r="U163" s="135"/>
      <c r="V163" s="135"/>
    </row>
    <row r="164" customFormat="false" ht="15.75" hidden="false" customHeight="true" outlineLevel="0" collapsed="false">
      <c r="A164" s="135"/>
      <c r="B164" s="135"/>
      <c r="C164" s="135"/>
      <c r="D164" s="229"/>
      <c r="E164" s="135"/>
      <c r="F164" s="189"/>
      <c r="G164" s="135"/>
      <c r="H164" s="135"/>
      <c r="I164" s="135"/>
      <c r="J164" s="135"/>
      <c r="K164" s="135"/>
      <c r="L164" s="189"/>
      <c r="M164" s="135"/>
      <c r="N164" s="189"/>
      <c r="O164" s="135"/>
      <c r="P164" s="229"/>
      <c r="Q164" s="135"/>
      <c r="R164" s="135"/>
      <c r="S164" s="135"/>
      <c r="T164" s="135"/>
      <c r="U164" s="135"/>
      <c r="V164" s="135"/>
    </row>
    <row r="165" customFormat="false" ht="15.75" hidden="false" customHeight="true" outlineLevel="0" collapsed="false">
      <c r="A165" s="135"/>
      <c r="B165" s="135"/>
      <c r="C165" s="135"/>
      <c r="D165" s="229"/>
      <c r="E165" s="135"/>
      <c r="F165" s="189"/>
      <c r="G165" s="135"/>
      <c r="H165" s="135"/>
      <c r="I165" s="135"/>
      <c r="J165" s="135"/>
      <c r="K165" s="135"/>
      <c r="L165" s="189"/>
      <c r="M165" s="135"/>
      <c r="N165" s="189"/>
      <c r="O165" s="135"/>
      <c r="P165" s="229"/>
      <c r="Q165" s="135"/>
      <c r="R165" s="135"/>
      <c r="S165" s="135"/>
      <c r="T165" s="135"/>
      <c r="U165" s="135"/>
      <c r="V165" s="135"/>
    </row>
    <row r="166" customFormat="false" ht="15.75" hidden="false" customHeight="true" outlineLevel="0" collapsed="false">
      <c r="A166" s="135"/>
      <c r="B166" s="135"/>
      <c r="C166" s="135"/>
      <c r="D166" s="229"/>
      <c r="E166" s="135"/>
      <c r="F166" s="189"/>
      <c r="G166" s="135"/>
      <c r="H166" s="135"/>
      <c r="I166" s="135"/>
      <c r="J166" s="135"/>
      <c r="K166" s="135"/>
      <c r="L166" s="189"/>
      <c r="M166" s="135"/>
      <c r="N166" s="189"/>
      <c r="O166" s="135"/>
      <c r="P166" s="229"/>
      <c r="Q166" s="135"/>
      <c r="R166" s="135"/>
      <c r="S166" s="135"/>
      <c r="T166" s="135"/>
      <c r="U166" s="135"/>
      <c r="V166" s="135"/>
    </row>
    <row r="167" customFormat="false" ht="15.75" hidden="false" customHeight="true" outlineLevel="0" collapsed="false">
      <c r="A167" s="135"/>
      <c r="B167" s="135"/>
      <c r="C167" s="135"/>
      <c r="D167" s="229"/>
      <c r="E167" s="135"/>
      <c r="F167" s="189"/>
      <c r="G167" s="135"/>
      <c r="H167" s="135"/>
      <c r="I167" s="135"/>
      <c r="J167" s="135"/>
      <c r="K167" s="135"/>
      <c r="L167" s="189"/>
      <c r="M167" s="135"/>
      <c r="N167" s="189"/>
      <c r="O167" s="135"/>
      <c r="P167" s="229"/>
      <c r="Q167" s="135"/>
      <c r="R167" s="135"/>
      <c r="S167" s="135"/>
      <c r="T167" s="135"/>
      <c r="U167" s="135"/>
      <c r="V167" s="135"/>
    </row>
    <row r="168" customFormat="false" ht="15.75" hidden="false" customHeight="true" outlineLevel="0" collapsed="false">
      <c r="A168" s="135"/>
      <c r="B168" s="135"/>
      <c r="C168" s="135"/>
      <c r="D168" s="229"/>
      <c r="E168" s="135"/>
      <c r="F168" s="189"/>
      <c r="G168" s="135"/>
      <c r="H168" s="135"/>
      <c r="I168" s="135"/>
      <c r="J168" s="135"/>
      <c r="K168" s="135"/>
      <c r="L168" s="189"/>
      <c r="M168" s="135"/>
      <c r="N168" s="189"/>
      <c r="O168" s="135"/>
      <c r="P168" s="229"/>
      <c r="Q168" s="135"/>
      <c r="R168" s="135"/>
      <c r="S168" s="135"/>
      <c r="T168" s="135"/>
      <c r="U168" s="135"/>
      <c r="V168" s="135"/>
    </row>
    <row r="169" customFormat="false" ht="15.75" hidden="false" customHeight="true" outlineLevel="0" collapsed="false">
      <c r="A169" s="135"/>
      <c r="B169" s="135"/>
      <c r="C169" s="135"/>
      <c r="D169" s="229"/>
      <c r="E169" s="135"/>
      <c r="F169" s="189"/>
      <c r="G169" s="135"/>
      <c r="H169" s="135"/>
      <c r="I169" s="135"/>
      <c r="J169" s="135"/>
      <c r="K169" s="135"/>
      <c r="L169" s="189"/>
      <c r="M169" s="135"/>
      <c r="N169" s="189"/>
      <c r="O169" s="135"/>
      <c r="P169" s="229"/>
      <c r="Q169" s="135"/>
      <c r="R169" s="135"/>
      <c r="S169" s="135"/>
      <c r="T169" s="135"/>
      <c r="U169" s="135"/>
      <c r="V169" s="135"/>
    </row>
    <row r="170" customFormat="false" ht="15.75" hidden="false" customHeight="true" outlineLevel="0" collapsed="false">
      <c r="A170" s="135"/>
      <c r="B170" s="135"/>
      <c r="C170" s="135"/>
      <c r="D170" s="229"/>
      <c r="E170" s="135"/>
      <c r="F170" s="189"/>
      <c r="G170" s="135"/>
      <c r="H170" s="135"/>
      <c r="I170" s="135"/>
      <c r="J170" s="135"/>
      <c r="K170" s="135"/>
      <c r="L170" s="189"/>
      <c r="M170" s="135"/>
      <c r="N170" s="189"/>
      <c r="O170" s="135"/>
      <c r="P170" s="229"/>
      <c r="Q170" s="135"/>
      <c r="R170" s="135"/>
      <c r="S170" s="135"/>
      <c r="T170" s="135"/>
      <c r="U170" s="135"/>
      <c r="V170" s="135"/>
    </row>
    <row r="171" customFormat="false" ht="15.75" hidden="false" customHeight="true" outlineLevel="0" collapsed="false">
      <c r="A171" s="135"/>
      <c r="B171" s="135"/>
      <c r="C171" s="135"/>
      <c r="D171" s="229"/>
      <c r="E171" s="135"/>
      <c r="F171" s="189"/>
      <c r="G171" s="135"/>
      <c r="H171" s="135"/>
      <c r="I171" s="135"/>
      <c r="J171" s="135"/>
      <c r="K171" s="135"/>
      <c r="L171" s="189"/>
      <c r="M171" s="135"/>
      <c r="N171" s="189"/>
      <c r="O171" s="135"/>
      <c r="P171" s="229"/>
      <c r="Q171" s="135"/>
      <c r="R171" s="135"/>
      <c r="S171" s="135"/>
      <c r="T171" s="135"/>
      <c r="U171" s="135"/>
      <c r="V171" s="135"/>
    </row>
    <row r="172" customFormat="false" ht="15.75" hidden="false" customHeight="true" outlineLevel="0" collapsed="false">
      <c r="A172" s="135"/>
      <c r="B172" s="135"/>
      <c r="C172" s="135"/>
      <c r="D172" s="229"/>
      <c r="E172" s="135"/>
      <c r="F172" s="189"/>
      <c r="G172" s="135"/>
      <c r="H172" s="135"/>
      <c r="I172" s="135"/>
      <c r="J172" s="135"/>
      <c r="K172" s="135"/>
      <c r="L172" s="189"/>
      <c r="M172" s="135"/>
      <c r="N172" s="189"/>
      <c r="O172" s="135"/>
      <c r="P172" s="229"/>
      <c r="Q172" s="135"/>
      <c r="R172" s="135"/>
      <c r="S172" s="135"/>
      <c r="T172" s="135"/>
      <c r="U172" s="135"/>
      <c r="V172" s="135"/>
    </row>
    <row r="173" customFormat="false" ht="15.75" hidden="false" customHeight="true" outlineLevel="0" collapsed="false">
      <c r="A173" s="135"/>
      <c r="B173" s="135"/>
      <c r="C173" s="135"/>
      <c r="D173" s="229"/>
      <c r="E173" s="135"/>
      <c r="F173" s="189"/>
      <c r="G173" s="135"/>
      <c r="H173" s="135"/>
      <c r="I173" s="135"/>
      <c r="J173" s="135"/>
      <c r="K173" s="135"/>
      <c r="L173" s="189"/>
      <c r="M173" s="135"/>
      <c r="N173" s="189"/>
      <c r="O173" s="135"/>
      <c r="P173" s="229"/>
      <c r="Q173" s="135"/>
      <c r="R173" s="135"/>
      <c r="S173" s="135"/>
      <c r="T173" s="135"/>
      <c r="U173" s="135"/>
      <c r="V173" s="135"/>
    </row>
    <row r="174" customFormat="false" ht="15.75" hidden="false" customHeight="true" outlineLevel="0" collapsed="false">
      <c r="A174" s="135"/>
      <c r="B174" s="135"/>
      <c r="C174" s="135"/>
      <c r="D174" s="229"/>
      <c r="E174" s="135"/>
      <c r="F174" s="189"/>
      <c r="G174" s="135"/>
      <c r="H174" s="135"/>
      <c r="I174" s="135"/>
      <c r="J174" s="135"/>
      <c r="K174" s="135"/>
      <c r="L174" s="189"/>
      <c r="M174" s="135"/>
      <c r="N174" s="189"/>
      <c r="O174" s="135"/>
      <c r="P174" s="229"/>
      <c r="Q174" s="135"/>
      <c r="R174" s="135"/>
      <c r="S174" s="135"/>
      <c r="T174" s="135"/>
      <c r="U174" s="135"/>
      <c r="V174" s="135"/>
    </row>
    <row r="175" customFormat="false" ht="15.75" hidden="false" customHeight="true" outlineLevel="0" collapsed="false">
      <c r="A175" s="135"/>
      <c r="B175" s="135"/>
      <c r="C175" s="135"/>
      <c r="D175" s="229"/>
      <c r="E175" s="135"/>
      <c r="F175" s="189"/>
      <c r="G175" s="135"/>
      <c r="H175" s="135"/>
      <c r="I175" s="135"/>
      <c r="J175" s="135"/>
      <c r="K175" s="135"/>
      <c r="L175" s="189"/>
      <c r="M175" s="135"/>
      <c r="N175" s="189"/>
      <c r="O175" s="135"/>
      <c r="P175" s="229"/>
      <c r="Q175" s="135"/>
      <c r="R175" s="135"/>
      <c r="S175" s="135"/>
      <c r="T175" s="135"/>
      <c r="U175" s="135"/>
      <c r="V175" s="135"/>
    </row>
    <row r="176" customFormat="false" ht="15.75" hidden="false" customHeight="true" outlineLevel="0" collapsed="false">
      <c r="A176" s="135"/>
      <c r="B176" s="135"/>
      <c r="C176" s="135"/>
      <c r="D176" s="229"/>
      <c r="E176" s="135"/>
      <c r="F176" s="189"/>
      <c r="G176" s="135"/>
      <c r="H176" s="135"/>
      <c r="I176" s="135"/>
      <c r="J176" s="135"/>
      <c r="K176" s="135"/>
      <c r="L176" s="189"/>
      <c r="M176" s="135"/>
      <c r="N176" s="189"/>
      <c r="O176" s="135"/>
      <c r="P176" s="229"/>
      <c r="Q176" s="135"/>
      <c r="R176" s="135"/>
      <c r="S176" s="135"/>
      <c r="T176" s="135"/>
      <c r="U176" s="135"/>
      <c r="V176" s="135"/>
    </row>
    <row r="177" customFormat="false" ht="15.75" hidden="false" customHeight="true" outlineLevel="0" collapsed="false">
      <c r="A177" s="135"/>
      <c r="B177" s="135"/>
      <c r="C177" s="135"/>
      <c r="D177" s="229"/>
      <c r="E177" s="135"/>
      <c r="F177" s="189"/>
      <c r="G177" s="135"/>
      <c r="H177" s="135"/>
      <c r="I177" s="135"/>
      <c r="J177" s="135"/>
      <c r="K177" s="135"/>
      <c r="L177" s="189"/>
      <c r="M177" s="135"/>
      <c r="N177" s="189"/>
      <c r="O177" s="135"/>
      <c r="P177" s="229"/>
      <c r="Q177" s="135"/>
      <c r="R177" s="135"/>
      <c r="S177" s="135"/>
      <c r="T177" s="135"/>
      <c r="U177" s="135"/>
      <c r="V177" s="135"/>
    </row>
    <row r="178" customFormat="false" ht="15.75" hidden="false" customHeight="true" outlineLevel="0" collapsed="false">
      <c r="A178" s="135"/>
      <c r="B178" s="135"/>
      <c r="C178" s="135"/>
      <c r="D178" s="229"/>
      <c r="E178" s="135"/>
      <c r="F178" s="189"/>
      <c r="G178" s="135"/>
      <c r="H178" s="135"/>
      <c r="I178" s="135"/>
      <c r="J178" s="135"/>
      <c r="K178" s="135"/>
      <c r="L178" s="189"/>
      <c r="M178" s="135"/>
      <c r="N178" s="189"/>
      <c r="O178" s="135"/>
      <c r="P178" s="229"/>
      <c r="Q178" s="135"/>
      <c r="R178" s="135"/>
      <c r="S178" s="135"/>
      <c r="T178" s="135"/>
      <c r="U178" s="135"/>
      <c r="V178" s="135"/>
    </row>
    <row r="179" customFormat="false" ht="15.75" hidden="false" customHeight="true" outlineLevel="0" collapsed="false">
      <c r="A179" s="135"/>
      <c r="B179" s="135"/>
      <c r="C179" s="135"/>
      <c r="D179" s="229"/>
      <c r="E179" s="135"/>
      <c r="F179" s="189"/>
      <c r="G179" s="135"/>
      <c r="H179" s="135"/>
      <c r="I179" s="135"/>
      <c r="J179" s="135"/>
      <c r="K179" s="135"/>
      <c r="L179" s="189"/>
      <c r="M179" s="135"/>
      <c r="N179" s="189"/>
      <c r="O179" s="135"/>
      <c r="P179" s="229"/>
      <c r="Q179" s="135"/>
      <c r="R179" s="135"/>
      <c r="S179" s="135"/>
      <c r="T179" s="135"/>
      <c r="U179" s="135"/>
      <c r="V179" s="135"/>
    </row>
    <row r="180" customFormat="false" ht="15.75" hidden="false" customHeight="true" outlineLevel="0" collapsed="false">
      <c r="A180" s="135"/>
      <c r="B180" s="135"/>
      <c r="C180" s="135"/>
      <c r="D180" s="229"/>
      <c r="E180" s="135"/>
      <c r="F180" s="189"/>
      <c r="G180" s="135"/>
      <c r="H180" s="135"/>
      <c r="I180" s="135"/>
      <c r="J180" s="135"/>
      <c r="K180" s="135"/>
      <c r="L180" s="189"/>
      <c r="M180" s="135"/>
      <c r="N180" s="189"/>
      <c r="O180" s="135"/>
      <c r="P180" s="229"/>
      <c r="Q180" s="135"/>
      <c r="R180" s="135"/>
      <c r="S180" s="135"/>
      <c r="T180" s="135"/>
      <c r="U180" s="135"/>
      <c r="V180" s="135"/>
    </row>
    <row r="181" customFormat="false" ht="15.75" hidden="false" customHeight="true" outlineLevel="0" collapsed="false">
      <c r="A181" s="135"/>
      <c r="B181" s="135"/>
      <c r="C181" s="135"/>
      <c r="D181" s="229"/>
      <c r="E181" s="135"/>
      <c r="F181" s="189"/>
      <c r="G181" s="135"/>
      <c r="H181" s="135"/>
      <c r="I181" s="135"/>
      <c r="J181" s="135"/>
      <c r="K181" s="135"/>
      <c r="L181" s="189"/>
      <c r="M181" s="135"/>
      <c r="N181" s="189"/>
      <c r="O181" s="135"/>
      <c r="P181" s="229"/>
      <c r="Q181" s="135"/>
      <c r="R181" s="135"/>
      <c r="S181" s="135"/>
      <c r="T181" s="135"/>
      <c r="U181" s="135"/>
      <c r="V181" s="135"/>
    </row>
    <row r="182" customFormat="false" ht="15.75" hidden="false" customHeight="true" outlineLevel="0" collapsed="false">
      <c r="A182" s="135"/>
      <c r="B182" s="135"/>
      <c r="C182" s="135"/>
      <c r="D182" s="229"/>
      <c r="E182" s="135"/>
      <c r="F182" s="189"/>
      <c r="G182" s="135"/>
      <c r="H182" s="135"/>
      <c r="I182" s="135"/>
      <c r="J182" s="135"/>
      <c r="K182" s="135"/>
      <c r="L182" s="189"/>
      <c r="M182" s="135"/>
      <c r="N182" s="189"/>
      <c r="O182" s="135"/>
      <c r="P182" s="229"/>
      <c r="Q182" s="135"/>
      <c r="R182" s="135"/>
      <c r="S182" s="135"/>
      <c r="T182" s="135"/>
      <c r="U182" s="135"/>
      <c r="V182" s="135"/>
    </row>
    <row r="183" customFormat="false" ht="15.75" hidden="false" customHeight="true" outlineLevel="0" collapsed="false">
      <c r="A183" s="135"/>
      <c r="B183" s="135"/>
      <c r="C183" s="135"/>
      <c r="D183" s="229"/>
      <c r="E183" s="135"/>
      <c r="F183" s="189"/>
      <c r="G183" s="135"/>
      <c r="H183" s="135"/>
      <c r="I183" s="135"/>
      <c r="J183" s="135"/>
      <c r="K183" s="135"/>
      <c r="L183" s="189"/>
      <c r="M183" s="135"/>
      <c r="N183" s="189"/>
      <c r="O183" s="135"/>
      <c r="P183" s="229"/>
      <c r="Q183" s="135"/>
      <c r="R183" s="135"/>
      <c r="S183" s="135"/>
      <c r="T183" s="135"/>
      <c r="U183" s="135"/>
      <c r="V183" s="135"/>
    </row>
    <row r="184" customFormat="false" ht="15.75" hidden="false" customHeight="true" outlineLevel="0" collapsed="false">
      <c r="A184" s="135"/>
      <c r="B184" s="135"/>
      <c r="C184" s="135"/>
      <c r="D184" s="229"/>
      <c r="E184" s="135"/>
      <c r="F184" s="189"/>
      <c r="G184" s="135"/>
      <c r="H184" s="135"/>
      <c r="I184" s="135"/>
      <c r="J184" s="135"/>
      <c r="K184" s="135"/>
      <c r="L184" s="189"/>
      <c r="M184" s="135"/>
      <c r="N184" s="189"/>
      <c r="O184" s="135"/>
      <c r="P184" s="229"/>
      <c r="Q184" s="135"/>
      <c r="R184" s="135"/>
      <c r="S184" s="135"/>
      <c r="T184" s="135"/>
      <c r="U184" s="135"/>
      <c r="V184" s="135"/>
    </row>
    <row r="185" customFormat="false" ht="15.75" hidden="false" customHeight="true" outlineLevel="0" collapsed="false">
      <c r="A185" s="135"/>
      <c r="B185" s="135"/>
      <c r="C185" s="135"/>
      <c r="D185" s="229"/>
      <c r="E185" s="135"/>
      <c r="F185" s="189"/>
      <c r="G185" s="135"/>
      <c r="H185" s="135"/>
      <c r="I185" s="135"/>
      <c r="J185" s="135"/>
      <c r="K185" s="135"/>
      <c r="L185" s="189"/>
      <c r="M185" s="135"/>
      <c r="N185" s="189"/>
      <c r="O185" s="135"/>
      <c r="P185" s="229"/>
      <c r="Q185" s="135"/>
      <c r="R185" s="135"/>
      <c r="S185" s="135"/>
      <c r="T185" s="135"/>
      <c r="U185" s="135"/>
      <c r="V185" s="135"/>
    </row>
    <row r="186" customFormat="false" ht="15.75" hidden="false" customHeight="true" outlineLevel="0" collapsed="false">
      <c r="A186" s="135"/>
      <c r="B186" s="135"/>
      <c r="C186" s="135"/>
      <c r="D186" s="229"/>
      <c r="E186" s="135"/>
      <c r="F186" s="189"/>
      <c r="G186" s="135"/>
      <c r="H186" s="135"/>
      <c r="I186" s="135"/>
      <c r="J186" s="135"/>
      <c r="K186" s="135"/>
      <c r="L186" s="189"/>
      <c r="M186" s="135"/>
      <c r="N186" s="189"/>
      <c r="O186" s="135"/>
      <c r="P186" s="229"/>
      <c r="Q186" s="135"/>
      <c r="R186" s="135"/>
      <c r="S186" s="135"/>
      <c r="T186" s="135"/>
      <c r="U186" s="135"/>
      <c r="V186" s="135"/>
    </row>
    <row r="187" customFormat="false" ht="15.75" hidden="false" customHeight="true" outlineLevel="0" collapsed="false">
      <c r="A187" s="135"/>
      <c r="B187" s="135"/>
      <c r="C187" s="135"/>
      <c r="D187" s="229"/>
      <c r="E187" s="135"/>
      <c r="F187" s="189"/>
      <c r="G187" s="135"/>
      <c r="H187" s="135"/>
      <c r="I187" s="135"/>
      <c r="J187" s="135"/>
      <c r="K187" s="135"/>
      <c r="L187" s="189"/>
      <c r="M187" s="135"/>
      <c r="N187" s="189"/>
      <c r="O187" s="135"/>
      <c r="P187" s="229"/>
      <c r="Q187" s="135"/>
      <c r="R187" s="135"/>
      <c r="S187" s="135"/>
      <c r="T187" s="135"/>
      <c r="U187" s="135"/>
      <c r="V187" s="135"/>
    </row>
    <row r="188" customFormat="false" ht="15.75" hidden="false" customHeight="true" outlineLevel="0" collapsed="false">
      <c r="A188" s="135"/>
      <c r="B188" s="135"/>
      <c r="C188" s="135"/>
      <c r="D188" s="229"/>
      <c r="E188" s="135"/>
      <c r="F188" s="189"/>
      <c r="G188" s="135"/>
      <c r="H188" s="135"/>
      <c r="I188" s="135"/>
      <c r="J188" s="135"/>
      <c r="K188" s="135"/>
      <c r="L188" s="189"/>
      <c r="M188" s="135"/>
      <c r="N188" s="189"/>
      <c r="O188" s="135"/>
      <c r="P188" s="229"/>
      <c r="Q188" s="135"/>
      <c r="R188" s="135"/>
      <c r="S188" s="135"/>
      <c r="T188" s="135"/>
      <c r="U188" s="135"/>
      <c r="V188" s="135"/>
    </row>
    <row r="189" customFormat="false" ht="15.75" hidden="false" customHeight="true" outlineLevel="0" collapsed="false">
      <c r="A189" s="135"/>
      <c r="B189" s="135"/>
      <c r="C189" s="135"/>
      <c r="D189" s="229"/>
      <c r="E189" s="135"/>
      <c r="F189" s="189"/>
      <c r="G189" s="135"/>
      <c r="H189" s="135"/>
      <c r="I189" s="135"/>
      <c r="J189" s="135"/>
      <c r="K189" s="135"/>
      <c r="L189" s="189"/>
      <c r="M189" s="135"/>
      <c r="N189" s="189"/>
      <c r="O189" s="135"/>
      <c r="P189" s="229"/>
      <c r="Q189" s="135"/>
      <c r="R189" s="135"/>
      <c r="S189" s="135"/>
      <c r="T189" s="135"/>
      <c r="U189" s="135"/>
      <c r="V189" s="135"/>
    </row>
    <row r="190" customFormat="false" ht="15.75" hidden="false" customHeight="true" outlineLevel="0" collapsed="false">
      <c r="A190" s="135"/>
      <c r="B190" s="135"/>
      <c r="C190" s="135"/>
      <c r="D190" s="229"/>
      <c r="E190" s="135"/>
      <c r="F190" s="189"/>
      <c r="G190" s="135"/>
      <c r="H190" s="135"/>
      <c r="I190" s="135"/>
      <c r="J190" s="135"/>
      <c r="K190" s="135"/>
      <c r="L190" s="189"/>
      <c r="M190" s="135"/>
      <c r="N190" s="189"/>
      <c r="O190" s="135"/>
      <c r="P190" s="229"/>
      <c r="Q190" s="135"/>
      <c r="R190" s="135"/>
      <c r="S190" s="135"/>
      <c r="T190" s="135"/>
      <c r="U190" s="135"/>
      <c r="V190" s="135"/>
    </row>
    <row r="191" customFormat="false" ht="15.75" hidden="false" customHeight="true" outlineLevel="0" collapsed="false">
      <c r="A191" s="135"/>
      <c r="B191" s="135"/>
      <c r="C191" s="135"/>
      <c r="D191" s="229"/>
      <c r="E191" s="135"/>
      <c r="F191" s="189"/>
      <c r="G191" s="135"/>
      <c r="H191" s="135"/>
      <c r="I191" s="135"/>
      <c r="J191" s="135"/>
      <c r="K191" s="135"/>
      <c r="L191" s="189"/>
      <c r="M191" s="135"/>
      <c r="N191" s="189"/>
      <c r="O191" s="135"/>
      <c r="P191" s="229"/>
      <c r="Q191" s="135"/>
      <c r="R191" s="135"/>
      <c r="S191" s="135"/>
      <c r="T191" s="135"/>
      <c r="U191" s="135"/>
      <c r="V191" s="135"/>
    </row>
    <row r="192" customFormat="false" ht="15.75" hidden="false" customHeight="true" outlineLevel="0" collapsed="false">
      <c r="A192" s="135"/>
      <c r="B192" s="135"/>
      <c r="C192" s="135"/>
      <c r="D192" s="229"/>
      <c r="E192" s="135"/>
      <c r="F192" s="189"/>
      <c r="G192" s="135"/>
      <c r="H192" s="135"/>
      <c r="I192" s="135"/>
      <c r="J192" s="135"/>
      <c r="K192" s="135"/>
      <c r="L192" s="189"/>
      <c r="M192" s="135"/>
      <c r="N192" s="189"/>
      <c r="O192" s="135"/>
      <c r="P192" s="229"/>
      <c r="Q192" s="135"/>
      <c r="R192" s="135"/>
      <c r="S192" s="135"/>
      <c r="T192" s="135"/>
      <c r="U192" s="135"/>
      <c r="V192" s="135"/>
    </row>
    <row r="193" customFormat="false" ht="15.75" hidden="false" customHeight="true" outlineLevel="0" collapsed="false">
      <c r="A193" s="135"/>
      <c r="B193" s="135"/>
      <c r="C193" s="135"/>
      <c r="D193" s="229"/>
      <c r="E193" s="135"/>
      <c r="F193" s="189"/>
      <c r="G193" s="135"/>
      <c r="H193" s="135"/>
      <c r="I193" s="135"/>
      <c r="J193" s="135"/>
      <c r="K193" s="135"/>
      <c r="L193" s="189"/>
      <c r="M193" s="135"/>
      <c r="N193" s="189"/>
      <c r="O193" s="135"/>
      <c r="P193" s="229"/>
      <c r="Q193" s="135"/>
      <c r="R193" s="135"/>
      <c r="S193" s="135"/>
      <c r="T193" s="135"/>
      <c r="U193" s="135"/>
      <c r="V193" s="135"/>
    </row>
    <row r="194" customFormat="false" ht="15.75" hidden="false" customHeight="true" outlineLevel="0" collapsed="false">
      <c r="A194" s="135"/>
      <c r="B194" s="135"/>
      <c r="C194" s="135"/>
      <c r="D194" s="229"/>
      <c r="E194" s="135"/>
      <c r="F194" s="189"/>
      <c r="G194" s="135"/>
      <c r="H194" s="135"/>
      <c r="I194" s="135"/>
      <c r="J194" s="135"/>
      <c r="K194" s="135"/>
      <c r="L194" s="189"/>
      <c r="M194" s="135"/>
      <c r="N194" s="189"/>
      <c r="O194" s="135"/>
      <c r="P194" s="229"/>
      <c r="Q194" s="135"/>
      <c r="R194" s="135"/>
      <c r="S194" s="135"/>
      <c r="T194" s="135"/>
      <c r="U194" s="135"/>
      <c r="V194" s="135"/>
    </row>
    <row r="195" customFormat="false" ht="15.75" hidden="false" customHeight="true" outlineLevel="0" collapsed="false">
      <c r="A195" s="135"/>
      <c r="B195" s="135"/>
      <c r="C195" s="135"/>
      <c r="D195" s="229"/>
      <c r="E195" s="135"/>
      <c r="F195" s="189"/>
      <c r="G195" s="135"/>
      <c r="H195" s="135"/>
      <c r="I195" s="135"/>
      <c r="J195" s="135"/>
      <c r="K195" s="135"/>
      <c r="L195" s="189"/>
      <c r="M195" s="135"/>
      <c r="N195" s="189"/>
      <c r="O195" s="135"/>
      <c r="P195" s="229"/>
      <c r="Q195" s="135"/>
      <c r="R195" s="135"/>
      <c r="S195" s="135"/>
      <c r="T195" s="135"/>
      <c r="U195" s="135"/>
      <c r="V195" s="135"/>
    </row>
    <row r="196" customFormat="false" ht="15.75" hidden="false" customHeight="true" outlineLevel="0" collapsed="false">
      <c r="A196" s="135"/>
      <c r="B196" s="135"/>
      <c r="C196" s="135"/>
      <c r="D196" s="229"/>
      <c r="E196" s="135"/>
      <c r="F196" s="189"/>
      <c r="G196" s="135"/>
      <c r="H196" s="135"/>
      <c r="I196" s="135"/>
      <c r="J196" s="135"/>
      <c r="K196" s="135"/>
      <c r="L196" s="189"/>
      <c r="M196" s="135"/>
      <c r="N196" s="189"/>
      <c r="O196" s="135"/>
      <c r="P196" s="229"/>
      <c r="Q196" s="135"/>
      <c r="R196" s="135"/>
      <c r="S196" s="135"/>
      <c r="T196" s="135"/>
      <c r="U196" s="135"/>
      <c r="V196" s="135"/>
    </row>
    <row r="197" customFormat="false" ht="15.75" hidden="false" customHeight="true" outlineLevel="0" collapsed="false">
      <c r="A197" s="135"/>
      <c r="B197" s="135"/>
      <c r="C197" s="135"/>
      <c r="D197" s="229"/>
      <c r="E197" s="135"/>
      <c r="F197" s="189"/>
      <c r="G197" s="135"/>
      <c r="H197" s="135"/>
      <c r="I197" s="135"/>
      <c r="J197" s="135"/>
      <c r="K197" s="135"/>
      <c r="L197" s="189"/>
      <c r="M197" s="135"/>
      <c r="N197" s="189"/>
      <c r="O197" s="135"/>
      <c r="P197" s="229"/>
      <c r="Q197" s="135"/>
      <c r="R197" s="135"/>
      <c r="S197" s="135"/>
      <c r="T197" s="135"/>
      <c r="U197" s="135"/>
      <c r="V197" s="135"/>
    </row>
    <row r="198" customFormat="false" ht="15.75" hidden="false" customHeight="true" outlineLevel="0" collapsed="false">
      <c r="A198" s="135"/>
      <c r="B198" s="135"/>
      <c r="C198" s="135"/>
      <c r="D198" s="229"/>
      <c r="E198" s="135"/>
      <c r="F198" s="189"/>
      <c r="G198" s="135"/>
      <c r="H198" s="135"/>
      <c r="I198" s="135"/>
      <c r="J198" s="135"/>
      <c r="K198" s="135"/>
      <c r="L198" s="189"/>
      <c r="M198" s="135"/>
      <c r="N198" s="189"/>
      <c r="O198" s="135"/>
      <c r="P198" s="229"/>
      <c r="Q198" s="135"/>
      <c r="R198" s="135"/>
      <c r="S198" s="135"/>
      <c r="T198" s="135"/>
      <c r="U198" s="135"/>
      <c r="V198" s="135"/>
    </row>
    <row r="199" customFormat="false" ht="15.75" hidden="false" customHeight="true" outlineLevel="0" collapsed="false">
      <c r="A199" s="135"/>
      <c r="B199" s="135"/>
      <c r="C199" s="135"/>
      <c r="D199" s="229"/>
      <c r="E199" s="135"/>
      <c r="F199" s="189"/>
      <c r="G199" s="135"/>
      <c r="H199" s="135"/>
      <c r="I199" s="135"/>
      <c r="J199" s="135"/>
      <c r="K199" s="135"/>
      <c r="L199" s="189"/>
      <c r="M199" s="135"/>
      <c r="N199" s="189"/>
      <c r="O199" s="135"/>
      <c r="P199" s="229"/>
      <c r="Q199" s="135"/>
      <c r="R199" s="135"/>
      <c r="S199" s="135"/>
      <c r="T199" s="135"/>
      <c r="U199" s="135"/>
      <c r="V199" s="135"/>
    </row>
    <row r="200" customFormat="false" ht="15.75" hidden="false" customHeight="true" outlineLevel="0" collapsed="false">
      <c r="A200" s="135"/>
      <c r="B200" s="135"/>
      <c r="C200" s="135"/>
      <c r="D200" s="229"/>
      <c r="E200" s="135"/>
      <c r="F200" s="189"/>
      <c r="G200" s="135"/>
      <c r="H200" s="135"/>
      <c r="I200" s="135"/>
      <c r="J200" s="135"/>
      <c r="K200" s="135"/>
      <c r="L200" s="189"/>
      <c r="M200" s="135"/>
      <c r="N200" s="189"/>
      <c r="O200" s="135"/>
      <c r="P200" s="229"/>
      <c r="Q200" s="135"/>
      <c r="R200" s="135"/>
      <c r="S200" s="135"/>
      <c r="T200" s="135"/>
      <c r="U200" s="135"/>
      <c r="V200" s="135"/>
    </row>
    <row r="201" customFormat="false" ht="15.75" hidden="false" customHeight="true" outlineLevel="0" collapsed="false">
      <c r="A201" s="135"/>
      <c r="B201" s="135"/>
      <c r="C201" s="135"/>
      <c r="D201" s="229"/>
      <c r="E201" s="135"/>
      <c r="F201" s="189"/>
      <c r="G201" s="135"/>
      <c r="H201" s="135"/>
      <c r="I201" s="135"/>
      <c r="J201" s="135"/>
      <c r="K201" s="135"/>
      <c r="L201" s="189"/>
      <c r="M201" s="135"/>
      <c r="N201" s="189"/>
      <c r="O201" s="135"/>
      <c r="P201" s="229"/>
      <c r="Q201" s="135"/>
      <c r="R201" s="135"/>
      <c r="S201" s="135"/>
      <c r="T201" s="135"/>
      <c r="U201" s="135"/>
      <c r="V201" s="135"/>
    </row>
    <row r="202" customFormat="false" ht="15.75" hidden="false" customHeight="true" outlineLevel="0" collapsed="false">
      <c r="A202" s="135"/>
      <c r="B202" s="135"/>
      <c r="C202" s="135"/>
      <c r="D202" s="229"/>
      <c r="E202" s="135"/>
      <c r="F202" s="189"/>
      <c r="G202" s="135"/>
      <c r="H202" s="135"/>
      <c r="I202" s="135"/>
      <c r="J202" s="135"/>
      <c r="K202" s="135"/>
      <c r="L202" s="189"/>
      <c r="M202" s="135"/>
      <c r="N202" s="189"/>
      <c r="O202" s="135"/>
      <c r="P202" s="229"/>
      <c r="Q202" s="135"/>
      <c r="R202" s="135"/>
      <c r="S202" s="135"/>
      <c r="T202" s="135"/>
      <c r="U202" s="135"/>
      <c r="V202" s="135"/>
    </row>
    <row r="203" customFormat="false" ht="15.75" hidden="false" customHeight="true" outlineLevel="0" collapsed="false">
      <c r="A203" s="135"/>
      <c r="B203" s="135"/>
      <c r="C203" s="135"/>
      <c r="D203" s="229"/>
      <c r="E203" s="135"/>
      <c r="F203" s="189"/>
      <c r="G203" s="135"/>
      <c r="H203" s="135"/>
      <c r="I203" s="135"/>
      <c r="J203" s="135"/>
      <c r="K203" s="135"/>
      <c r="L203" s="189"/>
      <c r="M203" s="135"/>
      <c r="N203" s="189"/>
      <c r="O203" s="135"/>
      <c r="P203" s="229"/>
      <c r="Q203" s="135"/>
      <c r="R203" s="135"/>
      <c r="S203" s="135"/>
      <c r="T203" s="135"/>
      <c r="U203" s="135"/>
      <c r="V203" s="135"/>
    </row>
    <row r="204" customFormat="false" ht="15.75" hidden="false" customHeight="true" outlineLevel="0" collapsed="false">
      <c r="A204" s="135"/>
      <c r="B204" s="135"/>
      <c r="C204" s="135"/>
      <c r="D204" s="229"/>
      <c r="E204" s="135"/>
      <c r="F204" s="189"/>
      <c r="G204" s="135"/>
      <c r="H204" s="135"/>
      <c r="I204" s="135"/>
      <c r="J204" s="135"/>
      <c r="K204" s="135"/>
      <c r="L204" s="189"/>
      <c r="M204" s="135"/>
      <c r="N204" s="189"/>
      <c r="O204" s="135"/>
      <c r="P204" s="229"/>
      <c r="Q204" s="135"/>
      <c r="R204" s="135"/>
      <c r="S204" s="135"/>
      <c r="T204" s="135"/>
      <c r="U204" s="135"/>
      <c r="V204" s="135"/>
    </row>
    <row r="205" customFormat="false" ht="15.75" hidden="false" customHeight="true" outlineLevel="0" collapsed="false">
      <c r="A205" s="135"/>
      <c r="B205" s="135"/>
      <c r="C205" s="135"/>
      <c r="D205" s="229"/>
      <c r="E205" s="135"/>
      <c r="F205" s="189"/>
      <c r="G205" s="135"/>
      <c r="H205" s="135"/>
      <c r="I205" s="135"/>
      <c r="J205" s="135"/>
      <c r="K205" s="135"/>
      <c r="L205" s="189"/>
      <c r="M205" s="135"/>
      <c r="N205" s="189"/>
      <c r="O205" s="135"/>
      <c r="P205" s="229"/>
      <c r="Q205" s="135"/>
      <c r="R205" s="135"/>
      <c r="S205" s="135"/>
      <c r="T205" s="135"/>
      <c r="U205" s="135"/>
      <c r="V205" s="135"/>
    </row>
    <row r="206" customFormat="false" ht="15.75" hidden="false" customHeight="true" outlineLevel="0" collapsed="false">
      <c r="A206" s="135"/>
      <c r="B206" s="135"/>
      <c r="C206" s="135"/>
      <c r="D206" s="229"/>
      <c r="E206" s="135"/>
      <c r="F206" s="189"/>
      <c r="G206" s="135"/>
      <c r="H206" s="135"/>
      <c r="I206" s="135"/>
      <c r="J206" s="135"/>
      <c r="K206" s="135"/>
      <c r="L206" s="189"/>
      <c r="M206" s="135"/>
      <c r="N206" s="189"/>
      <c r="O206" s="135"/>
      <c r="P206" s="229"/>
      <c r="Q206" s="135"/>
      <c r="R206" s="135"/>
      <c r="S206" s="135"/>
      <c r="T206" s="135"/>
      <c r="U206" s="135"/>
      <c r="V206" s="135"/>
    </row>
    <row r="207" customFormat="false" ht="15.75" hidden="false" customHeight="true" outlineLevel="0" collapsed="false">
      <c r="A207" s="135"/>
      <c r="B207" s="135"/>
      <c r="C207" s="135"/>
      <c r="D207" s="229"/>
      <c r="E207" s="135"/>
      <c r="F207" s="189"/>
      <c r="G207" s="135"/>
      <c r="H207" s="135"/>
      <c r="I207" s="135"/>
      <c r="J207" s="135"/>
      <c r="K207" s="135"/>
      <c r="L207" s="189"/>
      <c r="M207" s="135"/>
      <c r="N207" s="189"/>
      <c r="O207" s="135"/>
      <c r="P207" s="229"/>
      <c r="Q207" s="135"/>
      <c r="R207" s="135"/>
      <c r="S207" s="135"/>
      <c r="T207" s="135"/>
      <c r="U207" s="135"/>
      <c r="V207" s="135"/>
    </row>
    <row r="208" customFormat="false" ht="15.75" hidden="false" customHeight="true" outlineLevel="0" collapsed="false">
      <c r="A208" s="135"/>
      <c r="B208" s="135"/>
      <c r="C208" s="135"/>
      <c r="D208" s="229"/>
      <c r="E208" s="135"/>
      <c r="F208" s="189"/>
      <c r="G208" s="135"/>
      <c r="H208" s="135"/>
      <c r="I208" s="135"/>
      <c r="J208" s="135"/>
      <c r="K208" s="135"/>
      <c r="L208" s="189"/>
      <c r="M208" s="135"/>
      <c r="N208" s="189"/>
      <c r="O208" s="135"/>
      <c r="P208" s="229"/>
      <c r="Q208" s="135"/>
      <c r="R208" s="135"/>
      <c r="S208" s="135"/>
      <c r="T208" s="135"/>
      <c r="U208" s="135"/>
      <c r="V208" s="135"/>
    </row>
    <row r="209" customFormat="false" ht="15.75" hidden="false" customHeight="true" outlineLevel="0" collapsed="false">
      <c r="A209" s="135"/>
      <c r="B209" s="135"/>
      <c r="C209" s="135"/>
      <c r="D209" s="229"/>
      <c r="E209" s="135"/>
      <c r="F209" s="189"/>
      <c r="G209" s="135"/>
      <c r="H209" s="135"/>
      <c r="I209" s="135"/>
      <c r="J209" s="135"/>
      <c r="K209" s="135"/>
      <c r="L209" s="189"/>
      <c r="M209" s="135"/>
      <c r="N209" s="189"/>
      <c r="O209" s="135"/>
      <c r="P209" s="229"/>
      <c r="Q209" s="135"/>
      <c r="R209" s="135"/>
      <c r="S209" s="135"/>
      <c r="T209" s="135"/>
      <c r="U209" s="135"/>
      <c r="V209" s="135"/>
    </row>
    <row r="210" customFormat="false" ht="15.75" hidden="false" customHeight="true" outlineLevel="0" collapsed="false">
      <c r="A210" s="135"/>
      <c r="B210" s="135"/>
      <c r="C210" s="135"/>
      <c r="D210" s="229"/>
      <c r="E210" s="135"/>
      <c r="F210" s="189"/>
      <c r="G210" s="135"/>
      <c r="H210" s="135"/>
      <c r="I210" s="135"/>
      <c r="J210" s="135"/>
      <c r="K210" s="135"/>
      <c r="L210" s="189"/>
      <c r="M210" s="135"/>
      <c r="N210" s="189"/>
      <c r="O210" s="135"/>
      <c r="P210" s="229"/>
      <c r="Q210" s="135"/>
      <c r="R210" s="135"/>
      <c r="S210" s="135"/>
      <c r="T210" s="135"/>
      <c r="U210" s="135"/>
      <c r="V210" s="135"/>
    </row>
    <row r="211" customFormat="false" ht="15.75" hidden="false" customHeight="true" outlineLevel="0" collapsed="false">
      <c r="A211" s="135"/>
      <c r="B211" s="135"/>
      <c r="C211" s="135"/>
      <c r="D211" s="229"/>
      <c r="E211" s="135"/>
      <c r="F211" s="189"/>
      <c r="G211" s="135"/>
      <c r="H211" s="135"/>
      <c r="I211" s="135"/>
      <c r="J211" s="135"/>
      <c r="K211" s="135"/>
      <c r="L211" s="189"/>
      <c r="M211" s="135"/>
      <c r="N211" s="189"/>
      <c r="O211" s="135"/>
      <c r="P211" s="229"/>
      <c r="Q211" s="135"/>
      <c r="R211" s="135"/>
      <c r="S211" s="135"/>
      <c r="T211" s="135"/>
      <c r="U211" s="135"/>
      <c r="V211" s="135"/>
    </row>
    <row r="212" customFormat="false" ht="15.75" hidden="false" customHeight="true" outlineLevel="0" collapsed="false">
      <c r="A212" s="135"/>
      <c r="B212" s="135"/>
      <c r="C212" s="135"/>
      <c r="D212" s="229"/>
      <c r="E212" s="135"/>
      <c r="F212" s="189"/>
      <c r="G212" s="135"/>
      <c r="H212" s="135"/>
      <c r="I212" s="135"/>
      <c r="J212" s="135"/>
      <c r="K212" s="135"/>
      <c r="L212" s="189"/>
      <c r="M212" s="135"/>
      <c r="N212" s="189"/>
      <c r="O212" s="135"/>
      <c r="P212" s="229"/>
      <c r="Q212" s="135"/>
      <c r="R212" s="135"/>
      <c r="S212" s="135"/>
      <c r="T212" s="135"/>
      <c r="U212" s="135"/>
      <c r="V212" s="135"/>
    </row>
    <row r="213" customFormat="false" ht="15.75" hidden="false" customHeight="true" outlineLevel="0" collapsed="false">
      <c r="A213" s="135"/>
      <c r="B213" s="135"/>
      <c r="C213" s="135"/>
      <c r="D213" s="229"/>
      <c r="E213" s="135"/>
      <c r="F213" s="189"/>
      <c r="G213" s="135"/>
      <c r="H213" s="135"/>
      <c r="I213" s="135"/>
      <c r="J213" s="135"/>
      <c r="K213" s="135"/>
      <c r="L213" s="189"/>
      <c r="M213" s="135"/>
      <c r="N213" s="189"/>
      <c r="O213" s="135"/>
      <c r="P213" s="229"/>
      <c r="Q213" s="135"/>
      <c r="R213" s="135"/>
      <c r="S213" s="135"/>
      <c r="T213" s="135"/>
      <c r="U213" s="135"/>
      <c r="V213" s="135"/>
    </row>
    <row r="214" customFormat="false" ht="15.75" hidden="false" customHeight="true" outlineLevel="0" collapsed="false">
      <c r="A214" s="135"/>
      <c r="B214" s="135"/>
      <c r="C214" s="135"/>
      <c r="D214" s="229"/>
      <c r="E214" s="135"/>
      <c r="F214" s="189"/>
      <c r="G214" s="135"/>
      <c r="H214" s="135"/>
      <c r="I214" s="135"/>
      <c r="J214" s="135"/>
      <c r="K214" s="135"/>
      <c r="L214" s="189"/>
      <c r="M214" s="135"/>
      <c r="N214" s="189"/>
      <c r="O214" s="135"/>
      <c r="P214" s="229"/>
      <c r="Q214" s="135"/>
      <c r="R214" s="135"/>
      <c r="S214" s="135"/>
      <c r="T214" s="135"/>
      <c r="U214" s="135"/>
      <c r="V214" s="135"/>
    </row>
    <row r="215" customFormat="false" ht="15.75" hidden="false" customHeight="true" outlineLevel="0" collapsed="false">
      <c r="A215" s="135"/>
      <c r="B215" s="135"/>
      <c r="C215" s="135"/>
      <c r="D215" s="229"/>
      <c r="E215" s="135"/>
      <c r="F215" s="189"/>
      <c r="G215" s="135"/>
      <c r="H215" s="135"/>
      <c r="I215" s="135"/>
      <c r="J215" s="135"/>
      <c r="K215" s="135"/>
      <c r="L215" s="189"/>
      <c r="M215" s="135"/>
      <c r="N215" s="189"/>
      <c r="O215" s="135"/>
      <c r="P215" s="229"/>
      <c r="Q215" s="135"/>
      <c r="R215" s="135"/>
      <c r="S215" s="135"/>
      <c r="T215" s="135"/>
      <c r="U215" s="135"/>
      <c r="V215" s="135"/>
    </row>
    <row r="216" customFormat="false" ht="15.75" hidden="false" customHeight="true" outlineLevel="0" collapsed="false">
      <c r="A216" s="135"/>
      <c r="B216" s="135"/>
      <c r="C216" s="135"/>
      <c r="D216" s="229"/>
      <c r="E216" s="135"/>
      <c r="F216" s="189"/>
      <c r="G216" s="135"/>
      <c r="H216" s="135"/>
      <c r="I216" s="135"/>
      <c r="J216" s="135"/>
      <c r="K216" s="135"/>
      <c r="L216" s="189"/>
      <c r="M216" s="135"/>
      <c r="N216" s="189"/>
      <c r="O216" s="135"/>
      <c r="P216" s="229"/>
      <c r="Q216" s="135"/>
      <c r="R216" s="135"/>
      <c r="S216" s="135"/>
      <c r="T216" s="135"/>
      <c r="U216" s="135"/>
      <c r="V216" s="135"/>
    </row>
    <row r="217" customFormat="false" ht="15.75" hidden="false" customHeight="true" outlineLevel="0" collapsed="false">
      <c r="A217" s="135"/>
      <c r="B217" s="135"/>
      <c r="C217" s="135"/>
      <c r="D217" s="229"/>
      <c r="E217" s="135"/>
      <c r="F217" s="189"/>
      <c r="G217" s="135"/>
      <c r="H217" s="135"/>
      <c r="I217" s="135"/>
      <c r="J217" s="135"/>
      <c r="K217" s="135"/>
      <c r="L217" s="189"/>
      <c r="M217" s="135"/>
      <c r="N217" s="189"/>
      <c r="O217" s="135"/>
      <c r="P217" s="229"/>
      <c r="Q217" s="135"/>
      <c r="R217" s="135"/>
      <c r="S217" s="135"/>
      <c r="T217" s="135"/>
      <c r="U217" s="135"/>
      <c r="V217" s="135"/>
    </row>
    <row r="218" customFormat="false" ht="15.75" hidden="false" customHeight="true" outlineLevel="0" collapsed="false">
      <c r="A218" s="135"/>
      <c r="B218" s="135"/>
      <c r="C218" s="135"/>
      <c r="D218" s="229"/>
      <c r="E218" s="135"/>
      <c r="F218" s="189"/>
      <c r="G218" s="135"/>
      <c r="H218" s="135"/>
      <c r="I218" s="135"/>
      <c r="J218" s="135"/>
      <c r="K218" s="135"/>
      <c r="L218" s="189"/>
      <c r="M218" s="135"/>
      <c r="N218" s="189"/>
      <c r="O218" s="135"/>
      <c r="P218" s="229"/>
      <c r="Q218" s="135"/>
      <c r="R218" s="135"/>
      <c r="S218" s="135"/>
      <c r="T218" s="135"/>
      <c r="U218" s="135"/>
      <c r="V218" s="135"/>
    </row>
    <row r="219" customFormat="false" ht="15.75" hidden="false" customHeight="true" outlineLevel="0" collapsed="false">
      <c r="A219" s="135"/>
      <c r="B219" s="135"/>
      <c r="C219" s="135"/>
      <c r="D219" s="229"/>
      <c r="E219" s="135"/>
      <c r="F219" s="189"/>
      <c r="G219" s="135"/>
      <c r="H219" s="135"/>
      <c r="I219" s="135"/>
      <c r="J219" s="135"/>
      <c r="K219" s="135"/>
      <c r="L219" s="189"/>
      <c r="M219" s="135"/>
      <c r="N219" s="189"/>
      <c r="O219" s="135"/>
      <c r="P219" s="229"/>
      <c r="Q219" s="135"/>
      <c r="R219" s="135"/>
      <c r="S219" s="135"/>
      <c r="T219" s="135"/>
      <c r="U219" s="135"/>
      <c r="V219" s="135"/>
    </row>
    <row r="220" customFormat="false" ht="15.75" hidden="false" customHeight="true" outlineLevel="0" collapsed="false">
      <c r="A220" s="135"/>
      <c r="B220" s="135"/>
      <c r="C220" s="135"/>
      <c r="D220" s="229"/>
      <c r="E220" s="135"/>
      <c r="F220" s="189"/>
      <c r="G220" s="135"/>
      <c r="H220" s="135"/>
      <c r="I220" s="135"/>
      <c r="J220" s="135"/>
      <c r="K220" s="135"/>
      <c r="L220" s="189"/>
      <c r="M220" s="135"/>
      <c r="N220" s="189"/>
      <c r="O220" s="135"/>
      <c r="P220" s="229"/>
      <c r="Q220" s="135"/>
      <c r="R220" s="135"/>
      <c r="S220" s="135"/>
      <c r="T220" s="135"/>
      <c r="U220" s="135"/>
      <c r="V220" s="135"/>
    </row>
    <row r="221" customFormat="false" ht="15.75" hidden="false" customHeight="true" outlineLevel="0" collapsed="false">
      <c r="A221" s="135"/>
      <c r="B221" s="135"/>
      <c r="C221" s="135"/>
      <c r="D221" s="229"/>
      <c r="E221" s="135"/>
      <c r="F221" s="189"/>
      <c r="G221" s="135"/>
      <c r="H221" s="135"/>
      <c r="I221" s="135"/>
      <c r="J221" s="135"/>
      <c r="K221" s="135"/>
      <c r="L221" s="189"/>
      <c r="M221" s="135"/>
      <c r="N221" s="189"/>
      <c r="O221" s="135"/>
      <c r="P221" s="229"/>
      <c r="Q221" s="135"/>
      <c r="R221" s="135"/>
      <c r="S221" s="135"/>
      <c r="T221" s="135"/>
      <c r="U221" s="135"/>
      <c r="V221" s="135"/>
    </row>
    <row r="222" customFormat="false" ht="15.75" hidden="false" customHeight="true" outlineLevel="0" collapsed="false">
      <c r="A222" s="135"/>
      <c r="B222" s="135"/>
      <c r="C222" s="135"/>
      <c r="D222" s="229"/>
      <c r="E222" s="135"/>
      <c r="F222" s="189"/>
      <c r="G222" s="135"/>
      <c r="H222" s="135"/>
      <c r="I222" s="135"/>
      <c r="J222" s="135"/>
      <c r="K222" s="135"/>
      <c r="L222" s="189"/>
      <c r="M222" s="135"/>
      <c r="N222" s="189"/>
      <c r="O222" s="135"/>
      <c r="P222" s="229"/>
      <c r="Q222" s="135"/>
      <c r="R222" s="135"/>
      <c r="S222" s="135"/>
      <c r="T222" s="135"/>
      <c r="U222" s="135"/>
      <c r="V222" s="135"/>
    </row>
    <row r="223" customFormat="false" ht="15.75" hidden="false" customHeight="true" outlineLevel="0" collapsed="false">
      <c r="A223" s="135"/>
      <c r="B223" s="135"/>
      <c r="C223" s="135"/>
      <c r="D223" s="229"/>
      <c r="E223" s="135"/>
      <c r="F223" s="189"/>
      <c r="G223" s="135"/>
      <c r="H223" s="135"/>
      <c r="I223" s="135"/>
      <c r="J223" s="135"/>
      <c r="K223" s="135"/>
      <c r="L223" s="189"/>
      <c r="M223" s="135"/>
      <c r="N223" s="189"/>
      <c r="O223" s="135"/>
      <c r="P223" s="229"/>
      <c r="Q223" s="135"/>
      <c r="R223" s="135"/>
      <c r="S223" s="135"/>
      <c r="T223" s="135"/>
      <c r="U223" s="135"/>
      <c r="V223" s="135"/>
    </row>
    <row r="224" customFormat="false" ht="15.75" hidden="false" customHeight="true" outlineLevel="0" collapsed="false">
      <c r="A224" s="135"/>
      <c r="B224" s="135"/>
      <c r="C224" s="135"/>
      <c r="D224" s="229"/>
      <c r="E224" s="135"/>
      <c r="F224" s="189"/>
      <c r="G224" s="135"/>
      <c r="H224" s="135"/>
      <c r="I224" s="135"/>
      <c r="J224" s="135"/>
      <c r="K224" s="135"/>
      <c r="L224" s="189"/>
      <c r="M224" s="135"/>
      <c r="N224" s="189"/>
      <c r="O224" s="135"/>
      <c r="P224" s="229"/>
      <c r="Q224" s="135"/>
      <c r="R224" s="135"/>
      <c r="S224" s="135"/>
      <c r="T224" s="135"/>
      <c r="U224" s="135"/>
      <c r="V224" s="135"/>
    </row>
    <row r="225" customFormat="false" ht="15.75" hidden="false" customHeight="true" outlineLevel="0" collapsed="false">
      <c r="A225" s="135"/>
      <c r="B225" s="135"/>
      <c r="C225" s="135"/>
      <c r="D225" s="229"/>
      <c r="E225" s="135"/>
      <c r="F225" s="189"/>
      <c r="G225" s="135"/>
      <c r="H225" s="135"/>
      <c r="I225" s="135"/>
      <c r="J225" s="135"/>
      <c r="K225" s="135"/>
      <c r="L225" s="189"/>
      <c r="M225" s="135"/>
      <c r="N225" s="189"/>
      <c r="O225" s="135"/>
      <c r="P225" s="229"/>
      <c r="Q225" s="135"/>
      <c r="R225" s="135"/>
      <c r="S225" s="135"/>
      <c r="T225" s="135"/>
      <c r="U225" s="135"/>
      <c r="V225" s="135"/>
    </row>
    <row r="226" customFormat="false" ht="15.75" hidden="false" customHeight="true" outlineLevel="0" collapsed="false">
      <c r="A226" s="135"/>
      <c r="B226" s="135"/>
      <c r="C226" s="135"/>
      <c r="D226" s="229"/>
      <c r="E226" s="135"/>
      <c r="F226" s="189"/>
      <c r="G226" s="135"/>
      <c r="H226" s="135"/>
      <c r="I226" s="135"/>
      <c r="J226" s="135"/>
      <c r="K226" s="135"/>
      <c r="L226" s="189"/>
      <c r="M226" s="135"/>
      <c r="N226" s="189"/>
      <c r="O226" s="135"/>
      <c r="P226" s="229"/>
      <c r="Q226" s="135"/>
      <c r="R226" s="135"/>
      <c r="S226" s="135"/>
      <c r="T226" s="135"/>
      <c r="U226" s="135"/>
      <c r="V226" s="135"/>
    </row>
    <row r="227" customFormat="false" ht="15.75" hidden="false" customHeight="true" outlineLevel="0" collapsed="false">
      <c r="A227" s="135"/>
      <c r="B227" s="135"/>
      <c r="C227" s="135"/>
      <c r="D227" s="229"/>
      <c r="E227" s="135"/>
      <c r="F227" s="189"/>
      <c r="G227" s="135"/>
      <c r="H227" s="135"/>
      <c r="I227" s="135"/>
      <c r="J227" s="135"/>
      <c r="K227" s="135"/>
      <c r="L227" s="189"/>
      <c r="M227" s="135"/>
      <c r="N227" s="189"/>
      <c r="O227" s="135"/>
      <c r="P227" s="229"/>
      <c r="Q227" s="135"/>
      <c r="R227" s="135"/>
      <c r="S227" s="135"/>
      <c r="T227" s="135"/>
      <c r="U227" s="135"/>
      <c r="V227" s="135"/>
    </row>
    <row r="228" customFormat="false" ht="15.75" hidden="false" customHeight="true" outlineLevel="0" collapsed="false">
      <c r="A228" s="135"/>
      <c r="B228" s="135"/>
      <c r="C228" s="135"/>
      <c r="D228" s="229"/>
      <c r="E228" s="135"/>
      <c r="F228" s="189"/>
      <c r="G228" s="135"/>
      <c r="H228" s="135"/>
      <c r="I228" s="135"/>
      <c r="J228" s="135"/>
      <c r="K228" s="135"/>
      <c r="L228" s="189"/>
      <c r="M228" s="135"/>
      <c r="N228" s="189"/>
      <c r="O228" s="135"/>
      <c r="P228" s="229"/>
      <c r="Q228" s="135"/>
      <c r="R228" s="135"/>
      <c r="S228" s="135"/>
      <c r="T228" s="135"/>
      <c r="U228" s="135"/>
      <c r="V228" s="135"/>
    </row>
    <row r="229" customFormat="false" ht="15.75" hidden="false" customHeight="true" outlineLevel="0" collapsed="false">
      <c r="A229" s="135"/>
      <c r="B229" s="135"/>
      <c r="C229" s="135"/>
      <c r="D229" s="229"/>
      <c r="E229" s="135"/>
      <c r="F229" s="189"/>
      <c r="G229" s="135"/>
      <c r="H229" s="135"/>
      <c r="I229" s="135"/>
      <c r="J229" s="135"/>
      <c r="K229" s="135"/>
      <c r="L229" s="189"/>
      <c r="M229" s="135"/>
      <c r="N229" s="189"/>
      <c r="O229" s="135"/>
      <c r="P229" s="229"/>
      <c r="Q229" s="135"/>
      <c r="R229" s="135"/>
      <c r="S229" s="135"/>
      <c r="T229" s="135"/>
      <c r="U229" s="135"/>
      <c r="V229" s="135"/>
    </row>
    <row r="230" customFormat="false" ht="15.75" hidden="false" customHeight="true" outlineLevel="0" collapsed="false">
      <c r="A230" s="135"/>
      <c r="B230" s="135"/>
      <c r="C230" s="135"/>
      <c r="D230" s="229"/>
      <c r="E230" s="135"/>
      <c r="F230" s="189"/>
      <c r="G230" s="135"/>
      <c r="H230" s="135"/>
      <c r="I230" s="135"/>
      <c r="J230" s="135"/>
      <c r="K230" s="135"/>
      <c r="L230" s="189"/>
      <c r="M230" s="135"/>
      <c r="N230" s="189"/>
      <c r="O230" s="135"/>
      <c r="P230" s="229"/>
      <c r="Q230" s="135"/>
      <c r="R230" s="135"/>
      <c r="S230" s="135"/>
      <c r="T230" s="135"/>
      <c r="U230" s="135"/>
      <c r="V230" s="135"/>
    </row>
    <row r="231" customFormat="false" ht="15.75" hidden="false" customHeight="true" outlineLevel="0" collapsed="false">
      <c r="A231" s="135"/>
      <c r="B231" s="135"/>
      <c r="C231" s="135"/>
      <c r="D231" s="229"/>
      <c r="E231" s="135"/>
      <c r="F231" s="189"/>
      <c r="G231" s="135"/>
      <c r="H231" s="135"/>
      <c r="I231" s="135"/>
      <c r="J231" s="135"/>
      <c r="K231" s="135"/>
      <c r="L231" s="189"/>
      <c r="M231" s="135"/>
      <c r="N231" s="189"/>
      <c r="O231" s="135"/>
      <c r="P231" s="229"/>
      <c r="Q231" s="135"/>
      <c r="R231" s="135"/>
      <c r="S231" s="135"/>
      <c r="T231" s="135"/>
      <c r="U231" s="135"/>
      <c r="V231" s="135"/>
    </row>
    <row r="232" customFormat="false" ht="15.75" hidden="false" customHeight="true" outlineLevel="0" collapsed="false">
      <c r="A232" s="135"/>
      <c r="B232" s="135"/>
      <c r="C232" s="135"/>
      <c r="D232" s="229"/>
      <c r="E232" s="135"/>
      <c r="F232" s="189"/>
      <c r="G232" s="135"/>
      <c r="H232" s="135"/>
      <c r="I232" s="135"/>
      <c r="J232" s="135"/>
      <c r="K232" s="135"/>
      <c r="L232" s="189"/>
      <c r="M232" s="135"/>
      <c r="N232" s="189"/>
      <c r="O232" s="135"/>
      <c r="P232" s="229"/>
      <c r="Q232" s="135"/>
      <c r="R232" s="135"/>
      <c r="S232" s="135"/>
      <c r="T232" s="135"/>
      <c r="U232" s="135"/>
      <c r="V232" s="135"/>
    </row>
    <row r="233" customFormat="false" ht="15.75" hidden="false" customHeight="true" outlineLevel="0" collapsed="false">
      <c r="A233" s="135"/>
      <c r="B233" s="135"/>
      <c r="C233" s="135"/>
      <c r="D233" s="229"/>
      <c r="E233" s="135"/>
      <c r="F233" s="189"/>
      <c r="G233" s="135"/>
      <c r="H233" s="135"/>
      <c r="I233" s="135"/>
      <c r="J233" s="135"/>
      <c r="K233" s="135"/>
      <c r="L233" s="189"/>
      <c r="M233" s="135"/>
      <c r="N233" s="189"/>
      <c r="O233" s="135"/>
      <c r="P233" s="229"/>
      <c r="Q233" s="135"/>
      <c r="R233" s="135"/>
      <c r="S233" s="135"/>
      <c r="T233" s="135"/>
      <c r="U233" s="135"/>
      <c r="V233" s="135"/>
    </row>
    <row r="234" customFormat="false" ht="15.75" hidden="false" customHeight="true" outlineLevel="0" collapsed="false">
      <c r="A234" s="135"/>
      <c r="B234" s="135"/>
      <c r="C234" s="135"/>
      <c r="D234" s="229"/>
      <c r="E234" s="135"/>
      <c r="F234" s="189"/>
      <c r="G234" s="135"/>
      <c r="H234" s="135"/>
      <c r="I234" s="135"/>
      <c r="J234" s="135"/>
      <c r="K234" s="135"/>
      <c r="L234" s="189"/>
      <c r="M234" s="135"/>
      <c r="N234" s="189"/>
      <c r="O234" s="135"/>
      <c r="P234" s="229"/>
      <c r="Q234" s="135"/>
      <c r="R234" s="135"/>
      <c r="S234" s="135"/>
      <c r="T234" s="135"/>
      <c r="U234" s="135"/>
      <c r="V234" s="135"/>
    </row>
    <row r="235" customFormat="false" ht="15.75" hidden="false" customHeight="true" outlineLevel="0" collapsed="false">
      <c r="A235" s="135"/>
      <c r="B235" s="135"/>
      <c r="C235" s="135"/>
      <c r="D235" s="229"/>
      <c r="E235" s="135"/>
      <c r="F235" s="189"/>
      <c r="G235" s="135"/>
      <c r="H235" s="135"/>
      <c r="I235" s="135"/>
      <c r="J235" s="135"/>
      <c r="K235" s="135"/>
      <c r="L235" s="189"/>
      <c r="M235" s="135"/>
      <c r="N235" s="189"/>
      <c r="O235" s="135"/>
      <c r="P235" s="229"/>
      <c r="Q235" s="135"/>
      <c r="R235" s="135"/>
      <c r="S235" s="135"/>
      <c r="T235" s="135"/>
      <c r="U235" s="135"/>
      <c r="V235" s="135"/>
    </row>
    <row r="236" customFormat="false" ht="15.75" hidden="false" customHeight="true" outlineLevel="0" collapsed="false">
      <c r="A236" s="135"/>
      <c r="B236" s="135"/>
      <c r="C236" s="135"/>
      <c r="D236" s="229"/>
      <c r="E236" s="135"/>
      <c r="F236" s="189"/>
      <c r="G236" s="135"/>
      <c r="H236" s="135"/>
      <c r="I236" s="135"/>
      <c r="J236" s="135"/>
      <c r="K236" s="135"/>
      <c r="L236" s="189"/>
      <c r="M236" s="135"/>
      <c r="N236" s="189"/>
      <c r="O236" s="135"/>
      <c r="P236" s="229"/>
      <c r="Q236" s="135"/>
      <c r="R236" s="135"/>
      <c r="S236" s="135"/>
      <c r="T236" s="135"/>
      <c r="U236" s="135"/>
      <c r="V236" s="135"/>
    </row>
    <row r="237" customFormat="false" ht="15.75" hidden="false" customHeight="true" outlineLevel="0" collapsed="false">
      <c r="A237" s="135"/>
      <c r="B237" s="135"/>
      <c r="C237" s="135"/>
      <c r="D237" s="229"/>
      <c r="E237" s="135"/>
      <c r="F237" s="189"/>
      <c r="G237" s="135"/>
      <c r="H237" s="135"/>
      <c r="I237" s="135"/>
      <c r="J237" s="135"/>
      <c r="K237" s="135"/>
      <c r="L237" s="189"/>
      <c r="M237" s="135"/>
      <c r="N237" s="189"/>
      <c r="O237" s="135"/>
      <c r="P237" s="229"/>
      <c r="Q237" s="135"/>
      <c r="R237" s="135"/>
      <c r="S237" s="135"/>
      <c r="T237" s="135"/>
      <c r="U237" s="135"/>
      <c r="V237" s="135"/>
    </row>
    <row r="238" customFormat="false" ht="15.75" hidden="false" customHeight="true" outlineLevel="0" collapsed="false">
      <c r="A238" s="135"/>
      <c r="B238" s="135"/>
      <c r="C238" s="135"/>
      <c r="D238" s="229"/>
      <c r="E238" s="135"/>
      <c r="F238" s="189"/>
      <c r="G238" s="135"/>
      <c r="H238" s="135"/>
      <c r="I238" s="135"/>
      <c r="J238" s="135"/>
      <c r="K238" s="135"/>
      <c r="L238" s="189"/>
      <c r="M238" s="135"/>
      <c r="N238" s="189"/>
      <c r="O238" s="135"/>
      <c r="P238" s="229"/>
      <c r="Q238" s="135"/>
      <c r="R238" s="135"/>
      <c r="S238" s="135"/>
      <c r="T238" s="135"/>
      <c r="U238" s="135"/>
      <c r="V238" s="135"/>
    </row>
    <row r="239" customFormat="false" ht="15.75" hidden="false" customHeight="true" outlineLevel="0" collapsed="false">
      <c r="A239" s="135"/>
      <c r="B239" s="135"/>
      <c r="C239" s="135"/>
      <c r="D239" s="229"/>
      <c r="E239" s="135"/>
      <c r="F239" s="189"/>
      <c r="G239" s="135"/>
      <c r="H239" s="135"/>
      <c r="I239" s="135"/>
      <c r="J239" s="135"/>
      <c r="K239" s="135"/>
      <c r="L239" s="189"/>
      <c r="M239" s="135"/>
      <c r="N239" s="189"/>
      <c r="O239" s="135"/>
      <c r="P239" s="229"/>
      <c r="Q239" s="135"/>
      <c r="R239" s="135"/>
      <c r="S239" s="135"/>
      <c r="T239" s="135"/>
      <c r="U239" s="135"/>
      <c r="V239" s="135"/>
    </row>
    <row r="240" customFormat="false" ht="15.75" hidden="false" customHeight="true" outlineLevel="0" collapsed="false">
      <c r="A240" s="135"/>
      <c r="B240" s="135"/>
      <c r="C240" s="135"/>
      <c r="D240" s="229"/>
      <c r="E240" s="135"/>
      <c r="F240" s="189"/>
      <c r="G240" s="135"/>
      <c r="H240" s="135"/>
      <c r="I240" s="135"/>
      <c r="J240" s="135"/>
      <c r="K240" s="135"/>
      <c r="L240" s="189"/>
      <c r="M240" s="135"/>
      <c r="N240" s="189"/>
      <c r="O240" s="135"/>
      <c r="P240" s="229"/>
      <c r="Q240" s="135"/>
      <c r="R240" s="135"/>
      <c r="S240" s="135"/>
      <c r="T240" s="135"/>
      <c r="U240" s="135"/>
      <c r="V240" s="135"/>
    </row>
    <row r="241" customFormat="false" ht="15.75" hidden="false" customHeight="true" outlineLevel="0" collapsed="false">
      <c r="A241" s="135"/>
      <c r="B241" s="135"/>
      <c r="C241" s="135"/>
      <c r="D241" s="229"/>
      <c r="E241" s="135"/>
      <c r="F241" s="189"/>
      <c r="G241" s="135"/>
      <c r="H241" s="135"/>
      <c r="I241" s="135"/>
      <c r="J241" s="135"/>
      <c r="K241" s="135"/>
      <c r="L241" s="189"/>
      <c r="M241" s="135"/>
      <c r="N241" s="189"/>
      <c r="O241" s="135"/>
      <c r="P241" s="229"/>
      <c r="Q241" s="135"/>
      <c r="R241" s="135"/>
      <c r="S241" s="135"/>
      <c r="T241" s="135"/>
      <c r="U241" s="135"/>
      <c r="V241" s="135"/>
    </row>
    <row r="242" customFormat="false" ht="15.75" hidden="false" customHeight="true" outlineLevel="0" collapsed="false">
      <c r="A242" s="135"/>
      <c r="B242" s="135"/>
      <c r="C242" s="135"/>
      <c r="D242" s="229"/>
      <c r="E242" s="135"/>
      <c r="F242" s="189"/>
      <c r="G242" s="135"/>
      <c r="H242" s="135"/>
      <c r="I242" s="135"/>
      <c r="J242" s="135"/>
      <c r="K242" s="135"/>
      <c r="L242" s="189"/>
      <c r="M242" s="135"/>
      <c r="N242" s="189"/>
      <c r="O242" s="135"/>
      <c r="P242" s="229"/>
      <c r="Q242" s="135"/>
      <c r="R242" s="135"/>
      <c r="S242" s="135"/>
      <c r="T242" s="135"/>
      <c r="U242" s="135"/>
      <c r="V242" s="135"/>
    </row>
    <row r="243" customFormat="false" ht="15.75" hidden="false" customHeight="true" outlineLevel="0" collapsed="false">
      <c r="A243" s="135"/>
      <c r="B243" s="135"/>
      <c r="C243" s="135"/>
      <c r="D243" s="229"/>
      <c r="E243" s="135"/>
      <c r="F243" s="189"/>
      <c r="G243" s="135"/>
      <c r="H243" s="135"/>
      <c r="I243" s="135"/>
      <c r="J243" s="135"/>
      <c r="K243" s="135"/>
      <c r="L243" s="189"/>
      <c r="M243" s="135"/>
      <c r="N243" s="189"/>
      <c r="O243" s="135"/>
      <c r="P243" s="229"/>
      <c r="Q243" s="135"/>
      <c r="R243" s="135"/>
      <c r="S243" s="135"/>
      <c r="T243" s="135"/>
      <c r="U243" s="135"/>
      <c r="V243" s="135"/>
    </row>
    <row r="244" customFormat="false" ht="15.75" hidden="false" customHeight="true" outlineLevel="0" collapsed="false">
      <c r="A244" s="135"/>
      <c r="B244" s="135"/>
      <c r="C244" s="135"/>
      <c r="D244" s="229"/>
      <c r="E244" s="135"/>
      <c r="F244" s="189"/>
      <c r="G244" s="135"/>
      <c r="H244" s="135"/>
      <c r="I244" s="135"/>
      <c r="J244" s="135"/>
      <c r="K244" s="135"/>
      <c r="L244" s="189"/>
      <c r="M244" s="135"/>
      <c r="N244" s="189"/>
      <c r="O244" s="135"/>
      <c r="P244" s="229"/>
      <c r="Q244" s="135"/>
      <c r="R244" s="135"/>
      <c r="S244" s="135"/>
      <c r="T244" s="135"/>
      <c r="U244" s="135"/>
      <c r="V244" s="135"/>
    </row>
    <row r="245" customFormat="false" ht="15.75" hidden="false" customHeight="true" outlineLevel="0" collapsed="false">
      <c r="A245" s="135"/>
      <c r="B245" s="135"/>
      <c r="C245" s="135"/>
      <c r="D245" s="229"/>
      <c r="E245" s="135"/>
      <c r="F245" s="189"/>
      <c r="G245" s="135"/>
      <c r="H245" s="135"/>
      <c r="I245" s="135"/>
      <c r="J245" s="135"/>
      <c r="K245" s="135"/>
      <c r="L245" s="189"/>
      <c r="M245" s="135"/>
      <c r="N245" s="189"/>
      <c r="O245" s="135"/>
      <c r="P245" s="229"/>
      <c r="Q245" s="135"/>
      <c r="R245" s="135"/>
      <c r="S245" s="135"/>
      <c r="T245" s="135"/>
      <c r="U245" s="135"/>
      <c r="V245" s="135"/>
    </row>
    <row r="246" customFormat="false" ht="15.75" hidden="false" customHeight="true" outlineLevel="0" collapsed="false">
      <c r="A246" s="135"/>
      <c r="B246" s="135"/>
      <c r="C246" s="135"/>
      <c r="D246" s="229"/>
      <c r="E246" s="135"/>
      <c r="F246" s="189"/>
      <c r="G246" s="135"/>
      <c r="H246" s="135"/>
      <c r="I246" s="135"/>
      <c r="J246" s="135"/>
      <c r="K246" s="135"/>
      <c r="L246" s="189"/>
      <c r="M246" s="135"/>
      <c r="N246" s="189"/>
      <c r="O246" s="135"/>
      <c r="P246" s="229"/>
      <c r="Q246" s="135"/>
      <c r="R246" s="135"/>
      <c r="S246" s="135"/>
      <c r="T246" s="135"/>
      <c r="U246" s="135"/>
      <c r="V246" s="135"/>
    </row>
    <row r="247" customFormat="false" ht="15.75" hidden="false" customHeight="true" outlineLevel="0" collapsed="false">
      <c r="A247" s="135"/>
      <c r="B247" s="135"/>
      <c r="C247" s="135"/>
      <c r="D247" s="229"/>
      <c r="E247" s="135"/>
      <c r="F247" s="189"/>
      <c r="G247" s="135"/>
      <c r="H247" s="135"/>
      <c r="I247" s="135"/>
      <c r="J247" s="135"/>
      <c r="K247" s="135"/>
      <c r="L247" s="189"/>
      <c r="M247" s="135"/>
      <c r="N247" s="189"/>
      <c r="O247" s="135"/>
      <c r="P247" s="229"/>
      <c r="Q247" s="135"/>
      <c r="R247" s="135"/>
      <c r="S247" s="135"/>
      <c r="T247" s="135"/>
      <c r="U247" s="135"/>
      <c r="V247" s="135"/>
    </row>
    <row r="248" customFormat="false" ht="15.75" hidden="false" customHeight="true" outlineLevel="0" collapsed="false">
      <c r="A248" s="135"/>
      <c r="B248" s="135"/>
      <c r="C248" s="135"/>
      <c r="D248" s="229"/>
      <c r="E248" s="135"/>
      <c r="F248" s="189"/>
      <c r="G248" s="135"/>
      <c r="H248" s="135"/>
      <c r="I248" s="135"/>
      <c r="J248" s="135"/>
      <c r="K248" s="135"/>
      <c r="L248" s="189"/>
      <c r="M248" s="135"/>
      <c r="N248" s="189"/>
      <c r="O248" s="135"/>
      <c r="P248" s="229"/>
      <c r="Q248" s="135"/>
      <c r="R248" s="135"/>
      <c r="S248" s="135"/>
      <c r="T248" s="135"/>
      <c r="U248" s="135"/>
      <c r="V248" s="135"/>
    </row>
    <row r="249" customFormat="false" ht="15.75" hidden="false" customHeight="true" outlineLevel="0" collapsed="false">
      <c r="A249" s="135"/>
      <c r="B249" s="135"/>
      <c r="C249" s="135"/>
      <c r="D249" s="229"/>
      <c r="E249" s="135"/>
      <c r="F249" s="189"/>
      <c r="G249" s="135"/>
      <c r="H249" s="135"/>
      <c r="I249" s="135"/>
      <c r="J249" s="135"/>
      <c r="K249" s="135"/>
      <c r="L249" s="189"/>
      <c r="M249" s="135"/>
      <c r="N249" s="189"/>
      <c r="O249" s="135"/>
      <c r="P249" s="229"/>
      <c r="Q249" s="135"/>
      <c r="R249" s="135"/>
      <c r="S249" s="135"/>
      <c r="T249" s="135"/>
      <c r="U249" s="135"/>
      <c r="V249" s="135"/>
    </row>
    <row r="250" customFormat="false" ht="15.75" hidden="false" customHeight="true" outlineLevel="0" collapsed="false">
      <c r="A250" s="135"/>
      <c r="B250" s="135"/>
      <c r="C250" s="135"/>
      <c r="D250" s="229"/>
      <c r="E250" s="135"/>
      <c r="F250" s="189"/>
      <c r="G250" s="135"/>
      <c r="H250" s="135"/>
      <c r="I250" s="135"/>
      <c r="J250" s="135"/>
      <c r="K250" s="135"/>
      <c r="L250" s="189"/>
      <c r="M250" s="135"/>
      <c r="N250" s="189"/>
      <c r="O250" s="135"/>
      <c r="P250" s="229"/>
      <c r="Q250" s="135"/>
      <c r="R250" s="135"/>
      <c r="S250" s="135"/>
      <c r="T250" s="135"/>
      <c r="U250" s="135"/>
      <c r="V250" s="135"/>
    </row>
    <row r="251" customFormat="false" ht="15.75" hidden="false" customHeight="true" outlineLevel="0" collapsed="false">
      <c r="A251" s="135"/>
      <c r="B251" s="135"/>
      <c r="C251" s="135"/>
      <c r="D251" s="229"/>
      <c r="E251" s="135"/>
      <c r="F251" s="189"/>
      <c r="G251" s="135"/>
      <c r="H251" s="135"/>
      <c r="I251" s="135"/>
      <c r="J251" s="135"/>
      <c r="K251" s="135"/>
      <c r="L251" s="189"/>
      <c r="M251" s="135"/>
      <c r="N251" s="189"/>
      <c r="O251" s="135"/>
      <c r="P251" s="229"/>
      <c r="Q251" s="135"/>
      <c r="R251" s="135"/>
      <c r="S251" s="135"/>
      <c r="T251" s="135"/>
      <c r="U251" s="135"/>
      <c r="V251" s="135"/>
    </row>
    <row r="252" customFormat="false" ht="15.75" hidden="false" customHeight="true" outlineLevel="0" collapsed="false">
      <c r="A252" s="135"/>
      <c r="B252" s="135"/>
      <c r="C252" s="135"/>
      <c r="D252" s="229"/>
      <c r="E252" s="135"/>
      <c r="F252" s="189"/>
      <c r="G252" s="135"/>
      <c r="H252" s="135"/>
      <c r="I252" s="135"/>
      <c r="J252" s="135"/>
      <c r="K252" s="135"/>
      <c r="L252" s="189"/>
      <c r="M252" s="135"/>
      <c r="N252" s="189"/>
      <c r="O252" s="135"/>
      <c r="P252" s="229"/>
      <c r="Q252" s="135"/>
      <c r="R252" s="135"/>
      <c r="S252" s="135"/>
      <c r="T252" s="135"/>
      <c r="U252" s="135"/>
      <c r="V252" s="135"/>
    </row>
    <row r="253" customFormat="false" ht="15.75" hidden="false" customHeight="true" outlineLevel="0" collapsed="false">
      <c r="A253" s="135"/>
      <c r="B253" s="135"/>
      <c r="C253" s="135"/>
      <c r="D253" s="229"/>
      <c r="E253" s="135"/>
      <c r="F253" s="189"/>
      <c r="G253" s="135"/>
      <c r="H253" s="135"/>
      <c r="I253" s="135"/>
      <c r="J253" s="135"/>
      <c r="K253" s="135"/>
      <c r="L253" s="189"/>
      <c r="M253" s="135"/>
      <c r="N253" s="189"/>
      <c r="O253" s="135"/>
      <c r="P253" s="229"/>
      <c r="Q253" s="135"/>
      <c r="R253" s="135"/>
      <c r="S253" s="135"/>
      <c r="T253" s="135"/>
      <c r="U253" s="135"/>
      <c r="V253" s="135"/>
    </row>
    <row r="254" customFormat="false" ht="15.75" hidden="false" customHeight="true" outlineLevel="0" collapsed="false">
      <c r="A254" s="135"/>
      <c r="B254" s="135"/>
      <c r="C254" s="135"/>
      <c r="D254" s="229"/>
      <c r="E254" s="135"/>
      <c r="F254" s="189"/>
      <c r="G254" s="135"/>
      <c r="H254" s="135"/>
      <c r="I254" s="135"/>
      <c r="J254" s="135"/>
      <c r="K254" s="135"/>
      <c r="L254" s="189"/>
      <c r="M254" s="135"/>
      <c r="N254" s="189"/>
      <c r="O254" s="135"/>
      <c r="P254" s="229"/>
      <c r="Q254" s="135"/>
      <c r="R254" s="135"/>
      <c r="S254" s="135"/>
      <c r="T254" s="135"/>
      <c r="U254" s="135"/>
      <c r="V254" s="135"/>
    </row>
    <row r="255" customFormat="false" ht="15.75" hidden="false" customHeight="true" outlineLevel="0" collapsed="false">
      <c r="A255" s="135"/>
      <c r="B255" s="135"/>
      <c r="C255" s="135"/>
      <c r="D255" s="229"/>
      <c r="E255" s="135"/>
      <c r="F255" s="189"/>
      <c r="G255" s="135"/>
      <c r="H255" s="135"/>
      <c r="I255" s="135"/>
      <c r="J255" s="135"/>
      <c r="K255" s="135"/>
      <c r="L255" s="189"/>
      <c r="M255" s="135"/>
      <c r="N255" s="189"/>
      <c r="O255" s="135"/>
      <c r="P255" s="229"/>
      <c r="Q255" s="135"/>
      <c r="R255" s="135"/>
      <c r="S255" s="135"/>
      <c r="T255" s="135"/>
      <c r="U255" s="135"/>
      <c r="V255" s="135"/>
    </row>
    <row r="256" customFormat="false" ht="15.75" hidden="false" customHeight="true" outlineLevel="0" collapsed="false">
      <c r="A256" s="135"/>
      <c r="B256" s="135"/>
      <c r="C256" s="135"/>
      <c r="D256" s="229"/>
      <c r="E256" s="135"/>
      <c r="F256" s="189"/>
      <c r="G256" s="135"/>
      <c r="H256" s="135"/>
      <c r="I256" s="135"/>
      <c r="J256" s="135"/>
      <c r="K256" s="135"/>
      <c r="L256" s="189"/>
      <c r="M256" s="135"/>
      <c r="N256" s="189"/>
      <c r="O256" s="135"/>
      <c r="P256" s="229"/>
      <c r="Q256" s="135"/>
      <c r="R256" s="135"/>
      <c r="S256" s="135"/>
      <c r="T256" s="135"/>
      <c r="U256" s="135"/>
      <c r="V256" s="135"/>
    </row>
    <row r="257" customFormat="false" ht="15.75" hidden="false" customHeight="true" outlineLevel="0" collapsed="false">
      <c r="A257" s="135"/>
      <c r="B257" s="135"/>
      <c r="C257" s="135"/>
      <c r="D257" s="229"/>
      <c r="E257" s="135"/>
      <c r="F257" s="189"/>
      <c r="G257" s="135"/>
      <c r="H257" s="135"/>
      <c r="I257" s="135"/>
      <c r="J257" s="135"/>
      <c r="K257" s="135"/>
      <c r="L257" s="189"/>
      <c r="M257" s="135"/>
      <c r="N257" s="189"/>
      <c r="O257" s="135"/>
      <c r="P257" s="229"/>
      <c r="Q257" s="135"/>
      <c r="R257" s="135"/>
      <c r="S257" s="135"/>
      <c r="T257" s="135"/>
      <c r="U257" s="135"/>
      <c r="V257" s="135"/>
    </row>
    <row r="258" customFormat="false" ht="15.75" hidden="false" customHeight="true" outlineLevel="0" collapsed="false">
      <c r="A258" s="135"/>
      <c r="B258" s="135"/>
      <c r="C258" s="135"/>
      <c r="D258" s="229"/>
      <c r="E258" s="135"/>
      <c r="F258" s="189"/>
      <c r="G258" s="135"/>
      <c r="H258" s="135"/>
      <c r="I258" s="135"/>
      <c r="J258" s="135"/>
      <c r="K258" s="135"/>
      <c r="L258" s="189"/>
      <c r="M258" s="135"/>
      <c r="N258" s="189"/>
      <c r="O258" s="135"/>
      <c r="P258" s="229"/>
      <c r="Q258" s="135"/>
      <c r="R258" s="135"/>
      <c r="S258" s="135"/>
      <c r="T258" s="135"/>
      <c r="U258" s="135"/>
      <c r="V258" s="135"/>
    </row>
    <row r="259" customFormat="false" ht="15.75" hidden="false" customHeight="true" outlineLevel="0" collapsed="false">
      <c r="A259" s="135"/>
      <c r="B259" s="135"/>
      <c r="C259" s="135"/>
      <c r="D259" s="229"/>
      <c r="E259" s="135"/>
      <c r="F259" s="189"/>
      <c r="G259" s="135"/>
      <c r="H259" s="135"/>
      <c r="I259" s="135"/>
      <c r="J259" s="135"/>
      <c r="K259" s="135"/>
      <c r="L259" s="189"/>
      <c r="M259" s="135"/>
      <c r="N259" s="189"/>
      <c r="O259" s="135"/>
      <c r="P259" s="229"/>
      <c r="Q259" s="135"/>
      <c r="R259" s="135"/>
      <c r="S259" s="135"/>
      <c r="T259" s="135"/>
      <c r="U259" s="135"/>
      <c r="V259" s="135"/>
    </row>
    <row r="260" customFormat="false" ht="15.75" hidden="false" customHeight="true" outlineLevel="0" collapsed="false">
      <c r="A260" s="135"/>
      <c r="B260" s="135"/>
      <c r="C260" s="135"/>
      <c r="D260" s="229"/>
      <c r="E260" s="135"/>
      <c r="F260" s="189"/>
      <c r="G260" s="135"/>
      <c r="H260" s="135"/>
      <c r="I260" s="135"/>
      <c r="J260" s="135"/>
      <c r="K260" s="135"/>
      <c r="L260" s="189"/>
      <c r="M260" s="135"/>
      <c r="N260" s="189"/>
      <c r="O260" s="135"/>
      <c r="P260" s="229"/>
      <c r="Q260" s="135"/>
      <c r="R260" s="135"/>
      <c r="S260" s="135"/>
      <c r="T260" s="135"/>
      <c r="U260" s="135"/>
      <c r="V260" s="135"/>
    </row>
    <row r="261" customFormat="false" ht="15.75" hidden="false" customHeight="true" outlineLevel="0" collapsed="false">
      <c r="A261" s="135"/>
      <c r="B261" s="135"/>
      <c r="C261" s="135"/>
      <c r="D261" s="229"/>
      <c r="E261" s="135"/>
      <c r="F261" s="189"/>
      <c r="G261" s="135"/>
      <c r="H261" s="135"/>
      <c r="I261" s="135"/>
      <c r="J261" s="135"/>
      <c r="K261" s="135"/>
      <c r="L261" s="189"/>
      <c r="M261" s="135"/>
      <c r="N261" s="189"/>
      <c r="O261" s="135"/>
      <c r="P261" s="229"/>
      <c r="Q261" s="135"/>
      <c r="R261" s="135"/>
      <c r="S261" s="135"/>
      <c r="T261" s="135"/>
      <c r="U261" s="135"/>
      <c r="V261" s="135"/>
    </row>
    <row r="262" customFormat="false" ht="15.75" hidden="false" customHeight="true" outlineLevel="0" collapsed="false">
      <c r="A262" s="135"/>
      <c r="B262" s="135"/>
      <c r="C262" s="135"/>
      <c r="D262" s="229"/>
      <c r="E262" s="135"/>
      <c r="F262" s="189"/>
      <c r="G262" s="135"/>
      <c r="H262" s="135"/>
      <c r="I262" s="135"/>
      <c r="J262" s="135"/>
      <c r="K262" s="135"/>
      <c r="L262" s="189"/>
      <c r="M262" s="135"/>
      <c r="N262" s="189"/>
      <c r="O262" s="135"/>
      <c r="P262" s="229"/>
      <c r="Q262" s="135"/>
      <c r="R262" s="135"/>
      <c r="S262" s="135"/>
      <c r="T262" s="135"/>
      <c r="U262" s="135"/>
      <c r="V262" s="135"/>
    </row>
    <row r="263" customFormat="false" ht="15.75" hidden="false" customHeight="true" outlineLevel="0" collapsed="false">
      <c r="A263" s="135"/>
      <c r="B263" s="135"/>
      <c r="C263" s="135"/>
      <c r="D263" s="229"/>
      <c r="E263" s="135"/>
      <c r="F263" s="189"/>
      <c r="G263" s="135"/>
      <c r="H263" s="135"/>
      <c r="I263" s="135"/>
      <c r="J263" s="135"/>
      <c r="K263" s="135"/>
      <c r="L263" s="189"/>
      <c r="M263" s="135"/>
      <c r="N263" s="189"/>
      <c r="O263" s="135"/>
      <c r="P263" s="229"/>
      <c r="Q263" s="135"/>
      <c r="R263" s="135"/>
      <c r="S263" s="135"/>
      <c r="T263" s="135"/>
      <c r="U263" s="135"/>
      <c r="V263" s="135"/>
    </row>
    <row r="264" customFormat="false" ht="15.75" hidden="false" customHeight="true" outlineLevel="0" collapsed="false">
      <c r="A264" s="135"/>
      <c r="B264" s="135"/>
      <c r="C264" s="135"/>
      <c r="D264" s="229"/>
      <c r="E264" s="135"/>
      <c r="F264" s="189"/>
      <c r="G264" s="135"/>
      <c r="H264" s="135"/>
      <c r="I264" s="135"/>
      <c r="J264" s="135"/>
      <c r="K264" s="135"/>
      <c r="L264" s="189"/>
      <c r="M264" s="135"/>
      <c r="N264" s="189"/>
      <c r="O264" s="135"/>
      <c r="P264" s="229"/>
      <c r="Q264" s="135"/>
      <c r="R264" s="135"/>
      <c r="S264" s="135"/>
      <c r="T264" s="135"/>
      <c r="U264" s="135"/>
      <c r="V264" s="135"/>
    </row>
    <row r="265" customFormat="false" ht="15.75" hidden="false" customHeight="true" outlineLevel="0" collapsed="false">
      <c r="A265" s="135"/>
      <c r="B265" s="135"/>
      <c r="C265" s="135"/>
      <c r="D265" s="229"/>
      <c r="E265" s="135"/>
      <c r="F265" s="189"/>
      <c r="G265" s="135"/>
      <c r="H265" s="135"/>
      <c r="I265" s="135"/>
      <c r="J265" s="135"/>
      <c r="K265" s="135"/>
      <c r="L265" s="189"/>
      <c r="M265" s="135"/>
      <c r="N265" s="189"/>
      <c r="O265" s="135"/>
      <c r="P265" s="229"/>
      <c r="Q265" s="135"/>
      <c r="R265" s="135"/>
      <c r="S265" s="135"/>
      <c r="T265" s="135"/>
      <c r="U265" s="135"/>
      <c r="V265" s="135"/>
    </row>
    <row r="266" customFormat="false" ht="15.75" hidden="false" customHeight="true" outlineLevel="0" collapsed="false">
      <c r="A266" s="135"/>
      <c r="B266" s="135"/>
      <c r="C266" s="135"/>
      <c r="D266" s="229"/>
      <c r="E266" s="135"/>
      <c r="F266" s="189"/>
      <c r="G266" s="135"/>
      <c r="H266" s="135"/>
      <c r="I266" s="135"/>
      <c r="J266" s="135"/>
      <c r="K266" s="135"/>
      <c r="L266" s="189"/>
      <c r="M266" s="135"/>
      <c r="N266" s="189"/>
      <c r="O266" s="135"/>
      <c r="P266" s="229"/>
      <c r="Q266" s="135"/>
      <c r="R266" s="135"/>
      <c r="S266" s="135"/>
      <c r="T266" s="135"/>
      <c r="U266" s="135"/>
      <c r="V266" s="135"/>
    </row>
    <row r="267" customFormat="false" ht="15.75" hidden="false" customHeight="true" outlineLevel="0" collapsed="false">
      <c r="A267" s="135"/>
      <c r="B267" s="135"/>
      <c r="C267" s="135"/>
      <c r="D267" s="229"/>
      <c r="E267" s="135"/>
      <c r="F267" s="189"/>
      <c r="G267" s="135"/>
      <c r="H267" s="135"/>
      <c r="I267" s="135"/>
      <c r="J267" s="135"/>
      <c r="K267" s="135"/>
      <c r="L267" s="189"/>
      <c r="M267" s="135"/>
      <c r="N267" s="189"/>
      <c r="O267" s="135"/>
      <c r="P267" s="229"/>
      <c r="Q267" s="135"/>
      <c r="R267" s="135"/>
      <c r="S267" s="135"/>
      <c r="T267" s="135"/>
      <c r="U267" s="135"/>
      <c r="V267" s="135"/>
    </row>
    <row r="268" customFormat="false" ht="15.75" hidden="false" customHeight="true" outlineLevel="0" collapsed="false">
      <c r="A268" s="135"/>
      <c r="B268" s="135"/>
      <c r="C268" s="135"/>
      <c r="D268" s="229"/>
      <c r="E268" s="135"/>
      <c r="F268" s="189"/>
      <c r="G268" s="135"/>
      <c r="H268" s="135"/>
      <c r="I268" s="135"/>
      <c r="J268" s="135"/>
      <c r="K268" s="135"/>
      <c r="L268" s="189"/>
      <c r="M268" s="135"/>
      <c r="N268" s="189"/>
      <c r="O268" s="135"/>
      <c r="P268" s="229"/>
      <c r="Q268" s="135"/>
      <c r="R268" s="135"/>
      <c r="S268" s="135"/>
      <c r="T268" s="135"/>
      <c r="U268" s="135"/>
      <c r="V268" s="135"/>
    </row>
    <row r="269" customFormat="false" ht="15.75" hidden="false" customHeight="true" outlineLevel="0" collapsed="false">
      <c r="A269" s="135"/>
      <c r="B269" s="135"/>
      <c r="C269" s="135"/>
      <c r="D269" s="229"/>
      <c r="E269" s="135"/>
      <c r="F269" s="189"/>
      <c r="G269" s="135"/>
      <c r="H269" s="135"/>
      <c r="I269" s="135"/>
      <c r="J269" s="135"/>
      <c r="K269" s="135"/>
      <c r="L269" s="189"/>
      <c r="M269" s="135"/>
      <c r="N269" s="189"/>
      <c r="O269" s="135"/>
      <c r="P269" s="229"/>
      <c r="Q269" s="135"/>
      <c r="R269" s="135"/>
      <c r="S269" s="135"/>
      <c r="T269" s="135"/>
      <c r="U269" s="135"/>
      <c r="V269" s="135"/>
    </row>
    <row r="270" customFormat="false" ht="15.75" hidden="false" customHeight="true" outlineLevel="0" collapsed="false">
      <c r="A270" s="135"/>
      <c r="B270" s="135"/>
      <c r="C270" s="135"/>
      <c r="D270" s="229"/>
      <c r="E270" s="135"/>
      <c r="F270" s="189"/>
      <c r="G270" s="135"/>
      <c r="H270" s="135"/>
      <c r="I270" s="135"/>
      <c r="J270" s="135"/>
      <c r="K270" s="135"/>
      <c r="L270" s="189"/>
      <c r="M270" s="135"/>
      <c r="N270" s="189"/>
      <c r="O270" s="135"/>
      <c r="P270" s="229"/>
      <c r="Q270" s="135"/>
      <c r="R270" s="135"/>
      <c r="S270" s="135"/>
      <c r="T270" s="135"/>
      <c r="U270" s="135"/>
      <c r="V270" s="135"/>
    </row>
    <row r="271" customFormat="false" ht="15.75" hidden="false" customHeight="true" outlineLevel="0" collapsed="false">
      <c r="A271" s="135"/>
      <c r="B271" s="135"/>
      <c r="C271" s="135"/>
      <c r="D271" s="229"/>
      <c r="E271" s="135"/>
      <c r="F271" s="189"/>
      <c r="G271" s="135"/>
      <c r="H271" s="135"/>
      <c r="I271" s="135"/>
      <c r="J271" s="135"/>
      <c r="K271" s="135"/>
      <c r="L271" s="189"/>
      <c r="M271" s="135"/>
      <c r="N271" s="189"/>
      <c r="O271" s="135"/>
      <c r="P271" s="229"/>
      <c r="Q271" s="135"/>
      <c r="R271" s="135"/>
      <c r="S271" s="135"/>
      <c r="T271" s="135"/>
      <c r="U271" s="135"/>
      <c r="V271" s="135"/>
    </row>
    <row r="272" customFormat="false" ht="15.75" hidden="false" customHeight="true" outlineLevel="0" collapsed="false">
      <c r="A272" s="135"/>
      <c r="B272" s="135"/>
      <c r="C272" s="135"/>
      <c r="D272" s="229"/>
      <c r="E272" s="135"/>
      <c r="F272" s="189"/>
      <c r="G272" s="135"/>
      <c r="H272" s="135"/>
      <c r="I272" s="135"/>
      <c r="J272" s="135"/>
      <c r="K272" s="135"/>
      <c r="L272" s="189"/>
      <c r="M272" s="135"/>
      <c r="N272" s="189"/>
      <c r="O272" s="135"/>
      <c r="P272" s="229"/>
      <c r="Q272" s="135"/>
      <c r="R272" s="135"/>
      <c r="S272" s="135"/>
      <c r="T272" s="135"/>
      <c r="U272" s="135"/>
      <c r="V272" s="135"/>
    </row>
    <row r="273" customFormat="false" ht="15.75" hidden="false" customHeight="true" outlineLevel="0" collapsed="false">
      <c r="A273" s="135"/>
      <c r="B273" s="135"/>
      <c r="C273" s="135"/>
      <c r="D273" s="229"/>
      <c r="E273" s="135"/>
      <c r="F273" s="189"/>
      <c r="G273" s="135"/>
      <c r="H273" s="135"/>
      <c r="I273" s="135"/>
      <c r="J273" s="135"/>
      <c r="K273" s="135"/>
      <c r="L273" s="189"/>
      <c r="M273" s="135"/>
      <c r="N273" s="189"/>
      <c r="O273" s="135"/>
      <c r="P273" s="229"/>
      <c r="Q273" s="135"/>
      <c r="R273" s="135"/>
      <c r="S273" s="135"/>
      <c r="T273" s="135"/>
      <c r="U273" s="135"/>
      <c r="V273" s="135"/>
    </row>
    <row r="274" customFormat="false" ht="15.75" hidden="false" customHeight="true" outlineLevel="0" collapsed="false">
      <c r="A274" s="135"/>
      <c r="B274" s="135"/>
      <c r="C274" s="135"/>
      <c r="D274" s="229"/>
      <c r="E274" s="135"/>
      <c r="F274" s="189"/>
      <c r="G274" s="135"/>
      <c r="H274" s="135"/>
      <c r="I274" s="135"/>
      <c r="J274" s="135"/>
      <c r="K274" s="135"/>
      <c r="L274" s="189"/>
      <c r="M274" s="135"/>
      <c r="N274" s="189"/>
      <c r="O274" s="135"/>
      <c r="P274" s="229"/>
      <c r="Q274" s="135"/>
      <c r="R274" s="135"/>
      <c r="S274" s="135"/>
      <c r="T274" s="135"/>
      <c r="U274" s="135"/>
      <c r="V274" s="135"/>
    </row>
    <row r="275" customFormat="false" ht="15.75" hidden="false" customHeight="true" outlineLevel="0" collapsed="false">
      <c r="A275" s="135"/>
      <c r="B275" s="135"/>
      <c r="C275" s="135"/>
      <c r="D275" s="229"/>
      <c r="E275" s="135"/>
      <c r="F275" s="189"/>
      <c r="G275" s="135"/>
      <c r="H275" s="135"/>
      <c r="I275" s="135"/>
      <c r="J275" s="135"/>
      <c r="K275" s="135"/>
      <c r="L275" s="189"/>
      <c r="M275" s="135"/>
      <c r="N275" s="189"/>
      <c r="O275" s="135"/>
      <c r="P275" s="229"/>
      <c r="Q275" s="135"/>
      <c r="R275" s="135"/>
      <c r="S275" s="135"/>
      <c r="T275" s="135"/>
      <c r="U275" s="135"/>
      <c r="V275" s="135"/>
    </row>
    <row r="276" customFormat="false" ht="15.75" hidden="false" customHeight="true" outlineLevel="0" collapsed="false">
      <c r="A276" s="135"/>
      <c r="B276" s="135"/>
      <c r="C276" s="135"/>
      <c r="D276" s="229"/>
      <c r="E276" s="135"/>
      <c r="F276" s="189"/>
      <c r="G276" s="135"/>
      <c r="H276" s="135"/>
      <c r="I276" s="135"/>
      <c r="J276" s="135"/>
      <c r="K276" s="135"/>
      <c r="L276" s="189"/>
      <c r="M276" s="135"/>
      <c r="N276" s="189"/>
      <c r="O276" s="135"/>
      <c r="P276" s="229"/>
      <c r="Q276" s="135"/>
      <c r="R276" s="135"/>
      <c r="S276" s="135"/>
      <c r="T276" s="135"/>
      <c r="U276" s="135"/>
      <c r="V276" s="135"/>
    </row>
    <row r="277" customFormat="false" ht="15.75" hidden="false" customHeight="true" outlineLevel="0" collapsed="false">
      <c r="A277" s="135"/>
      <c r="B277" s="135"/>
      <c r="C277" s="135"/>
      <c r="D277" s="229"/>
      <c r="E277" s="135"/>
      <c r="F277" s="189"/>
      <c r="G277" s="135"/>
      <c r="H277" s="135"/>
      <c r="I277" s="135"/>
      <c r="J277" s="135"/>
      <c r="K277" s="135"/>
      <c r="L277" s="189"/>
      <c r="M277" s="135"/>
      <c r="N277" s="189"/>
      <c r="O277" s="135"/>
      <c r="P277" s="229"/>
      <c r="Q277" s="135"/>
      <c r="R277" s="135"/>
      <c r="S277" s="135"/>
      <c r="T277" s="135"/>
      <c r="U277" s="135"/>
      <c r="V277" s="135"/>
    </row>
    <row r="278" customFormat="false" ht="15.75" hidden="false" customHeight="true" outlineLevel="0" collapsed="false">
      <c r="A278" s="135"/>
      <c r="B278" s="135"/>
      <c r="C278" s="135"/>
      <c r="D278" s="229"/>
      <c r="E278" s="135"/>
      <c r="F278" s="189"/>
      <c r="G278" s="135"/>
      <c r="H278" s="135"/>
      <c r="I278" s="135"/>
      <c r="J278" s="135"/>
      <c r="K278" s="135"/>
      <c r="L278" s="189"/>
      <c r="M278" s="135"/>
      <c r="N278" s="189"/>
      <c r="O278" s="135"/>
      <c r="P278" s="229"/>
      <c r="Q278" s="135"/>
      <c r="R278" s="135"/>
      <c r="S278" s="135"/>
      <c r="T278" s="135"/>
      <c r="U278" s="135"/>
      <c r="V278" s="135"/>
    </row>
    <row r="279" customFormat="false" ht="15.75" hidden="false" customHeight="true" outlineLevel="0" collapsed="false">
      <c r="A279" s="135"/>
      <c r="B279" s="135"/>
      <c r="C279" s="135"/>
      <c r="D279" s="229"/>
      <c r="E279" s="135"/>
      <c r="F279" s="189"/>
      <c r="G279" s="135"/>
      <c r="H279" s="135"/>
      <c r="I279" s="135"/>
      <c r="J279" s="135"/>
      <c r="K279" s="135"/>
      <c r="L279" s="189"/>
      <c r="M279" s="135"/>
      <c r="N279" s="189"/>
      <c r="O279" s="135"/>
      <c r="P279" s="229"/>
      <c r="Q279" s="135"/>
      <c r="R279" s="135"/>
      <c r="S279" s="135"/>
      <c r="T279" s="135"/>
      <c r="U279" s="135"/>
      <c r="V279" s="135"/>
    </row>
    <row r="280" customFormat="false" ht="15.75" hidden="false" customHeight="true" outlineLevel="0" collapsed="false">
      <c r="A280" s="135"/>
      <c r="B280" s="135"/>
      <c r="C280" s="135"/>
      <c r="D280" s="229"/>
      <c r="E280" s="135"/>
      <c r="F280" s="189"/>
      <c r="G280" s="135"/>
      <c r="H280" s="135"/>
      <c r="I280" s="135"/>
      <c r="J280" s="135"/>
      <c r="K280" s="135"/>
      <c r="L280" s="189"/>
      <c r="M280" s="135"/>
      <c r="N280" s="189"/>
      <c r="O280" s="135"/>
      <c r="P280" s="229"/>
      <c r="Q280" s="135"/>
      <c r="R280" s="135"/>
      <c r="S280" s="135"/>
      <c r="T280" s="135"/>
      <c r="U280" s="135"/>
      <c r="V280" s="135"/>
    </row>
    <row r="281" customFormat="false" ht="15.75" hidden="false" customHeight="true" outlineLevel="0" collapsed="false">
      <c r="A281" s="135"/>
      <c r="B281" s="135"/>
      <c r="C281" s="135"/>
      <c r="D281" s="229"/>
      <c r="E281" s="135"/>
      <c r="F281" s="189"/>
      <c r="G281" s="135"/>
      <c r="H281" s="135"/>
      <c r="I281" s="135"/>
      <c r="J281" s="135"/>
      <c r="K281" s="135"/>
      <c r="L281" s="189"/>
      <c r="M281" s="135"/>
      <c r="N281" s="189"/>
      <c r="O281" s="135"/>
      <c r="P281" s="229"/>
      <c r="Q281" s="135"/>
      <c r="R281" s="135"/>
      <c r="S281" s="135"/>
      <c r="T281" s="135"/>
      <c r="U281" s="135"/>
      <c r="V281" s="135"/>
    </row>
    <row r="282" customFormat="false" ht="15.75" hidden="false" customHeight="true" outlineLevel="0" collapsed="false">
      <c r="A282" s="135"/>
      <c r="B282" s="135"/>
      <c r="C282" s="135"/>
      <c r="D282" s="229"/>
      <c r="E282" s="135"/>
      <c r="F282" s="189"/>
      <c r="G282" s="135"/>
      <c r="H282" s="135"/>
      <c r="I282" s="135"/>
      <c r="J282" s="135"/>
      <c r="K282" s="135"/>
      <c r="L282" s="189"/>
      <c r="M282" s="135"/>
      <c r="N282" s="189"/>
      <c r="O282" s="135"/>
      <c r="P282" s="229"/>
      <c r="Q282" s="135"/>
      <c r="R282" s="135"/>
      <c r="S282" s="135"/>
      <c r="T282" s="135"/>
      <c r="U282" s="135"/>
      <c r="V282" s="135"/>
    </row>
    <row r="283" customFormat="false" ht="15.75" hidden="false" customHeight="true" outlineLevel="0" collapsed="false">
      <c r="A283" s="135"/>
      <c r="B283" s="135"/>
      <c r="C283" s="135"/>
      <c r="D283" s="229"/>
      <c r="E283" s="135"/>
      <c r="F283" s="189"/>
      <c r="G283" s="135"/>
      <c r="H283" s="135"/>
      <c r="I283" s="135"/>
      <c r="J283" s="135"/>
      <c r="K283" s="135"/>
      <c r="L283" s="189"/>
      <c r="M283" s="135"/>
      <c r="N283" s="189"/>
      <c r="O283" s="135"/>
      <c r="P283" s="229"/>
      <c r="Q283" s="135"/>
      <c r="R283" s="135"/>
      <c r="S283" s="135"/>
      <c r="T283" s="135"/>
      <c r="U283" s="135"/>
      <c r="V283" s="135"/>
    </row>
    <row r="284" customFormat="false" ht="15.75" hidden="false" customHeight="true" outlineLevel="0" collapsed="false">
      <c r="A284" s="135"/>
      <c r="B284" s="135"/>
      <c r="C284" s="135"/>
      <c r="D284" s="229"/>
      <c r="E284" s="135"/>
      <c r="F284" s="189"/>
      <c r="G284" s="135"/>
      <c r="H284" s="135"/>
      <c r="I284" s="135"/>
      <c r="J284" s="135"/>
      <c r="K284" s="135"/>
      <c r="L284" s="189"/>
      <c r="M284" s="135"/>
      <c r="N284" s="189"/>
      <c r="O284" s="135"/>
      <c r="P284" s="229"/>
      <c r="Q284" s="135"/>
      <c r="R284" s="135"/>
      <c r="S284" s="135"/>
      <c r="T284" s="135"/>
      <c r="U284" s="135"/>
      <c r="V284" s="135"/>
    </row>
    <row r="285" customFormat="false" ht="15.75" hidden="false" customHeight="true" outlineLevel="0" collapsed="false">
      <c r="A285" s="135"/>
      <c r="B285" s="135"/>
      <c r="C285" s="135"/>
      <c r="D285" s="229"/>
      <c r="E285" s="135"/>
      <c r="F285" s="189"/>
      <c r="G285" s="135"/>
      <c r="H285" s="135"/>
      <c r="I285" s="135"/>
      <c r="J285" s="135"/>
      <c r="K285" s="135"/>
      <c r="L285" s="189"/>
      <c r="M285" s="135"/>
      <c r="N285" s="189"/>
      <c r="O285" s="135"/>
      <c r="P285" s="229"/>
      <c r="Q285" s="135"/>
      <c r="R285" s="135"/>
      <c r="S285" s="135"/>
      <c r="T285" s="135"/>
      <c r="U285" s="135"/>
      <c r="V285" s="135"/>
    </row>
    <row r="286" customFormat="false" ht="15.75" hidden="false" customHeight="true" outlineLevel="0" collapsed="false">
      <c r="A286" s="135"/>
      <c r="B286" s="135"/>
      <c r="C286" s="135"/>
      <c r="D286" s="229"/>
      <c r="E286" s="135"/>
      <c r="F286" s="189"/>
      <c r="G286" s="135"/>
      <c r="H286" s="135"/>
      <c r="I286" s="135"/>
      <c r="J286" s="135"/>
      <c r="K286" s="135"/>
      <c r="L286" s="189"/>
      <c r="M286" s="135"/>
      <c r="N286" s="189"/>
      <c r="O286" s="135"/>
      <c r="P286" s="229"/>
      <c r="Q286" s="135"/>
      <c r="R286" s="135"/>
      <c r="S286" s="135"/>
      <c r="T286" s="135"/>
      <c r="U286" s="135"/>
      <c r="V286" s="135"/>
    </row>
    <row r="287" customFormat="false" ht="15.75" hidden="false" customHeight="true" outlineLevel="0" collapsed="false">
      <c r="A287" s="135"/>
      <c r="B287" s="135"/>
      <c r="C287" s="135"/>
      <c r="D287" s="229"/>
      <c r="E287" s="135"/>
      <c r="F287" s="189"/>
      <c r="G287" s="135"/>
      <c r="H287" s="135"/>
      <c r="I287" s="135"/>
      <c r="J287" s="135"/>
      <c r="K287" s="135"/>
      <c r="L287" s="189"/>
      <c r="M287" s="135"/>
      <c r="N287" s="189"/>
      <c r="O287" s="135"/>
      <c r="P287" s="229"/>
      <c r="Q287" s="135"/>
      <c r="R287" s="135"/>
      <c r="S287" s="135"/>
      <c r="T287" s="135"/>
      <c r="U287" s="135"/>
      <c r="V287" s="135"/>
    </row>
    <row r="288" customFormat="false" ht="15.75" hidden="false" customHeight="true" outlineLevel="0" collapsed="false">
      <c r="A288" s="135"/>
      <c r="B288" s="135"/>
      <c r="C288" s="135"/>
      <c r="D288" s="229"/>
      <c r="E288" s="135"/>
      <c r="F288" s="189"/>
      <c r="G288" s="135"/>
      <c r="H288" s="135"/>
      <c r="I288" s="135"/>
      <c r="J288" s="135"/>
      <c r="K288" s="135"/>
      <c r="L288" s="189"/>
      <c r="M288" s="135"/>
      <c r="N288" s="189"/>
      <c r="O288" s="135"/>
      <c r="P288" s="229"/>
      <c r="Q288" s="135"/>
      <c r="R288" s="135"/>
      <c r="S288" s="135"/>
      <c r="T288" s="135"/>
      <c r="U288" s="135"/>
      <c r="V288" s="135"/>
    </row>
    <row r="289" customFormat="false" ht="15.75" hidden="false" customHeight="true" outlineLevel="0" collapsed="false">
      <c r="A289" s="135"/>
      <c r="B289" s="135"/>
      <c r="C289" s="135"/>
      <c r="D289" s="229"/>
      <c r="E289" s="135"/>
      <c r="F289" s="189"/>
      <c r="G289" s="135"/>
      <c r="H289" s="135"/>
      <c r="I289" s="135"/>
      <c r="J289" s="135"/>
      <c r="K289" s="135"/>
      <c r="L289" s="189"/>
      <c r="M289" s="135"/>
      <c r="N289" s="189"/>
      <c r="O289" s="135"/>
      <c r="P289" s="229"/>
      <c r="Q289" s="135"/>
      <c r="R289" s="135"/>
      <c r="S289" s="135"/>
      <c r="T289" s="135"/>
      <c r="U289" s="135"/>
      <c r="V289" s="135"/>
    </row>
    <row r="290" customFormat="false" ht="15.75" hidden="false" customHeight="true" outlineLevel="0" collapsed="false">
      <c r="A290" s="135"/>
      <c r="B290" s="135"/>
      <c r="C290" s="135"/>
      <c r="D290" s="229"/>
      <c r="E290" s="135"/>
      <c r="F290" s="189"/>
      <c r="G290" s="135"/>
      <c r="H290" s="135"/>
      <c r="I290" s="135"/>
      <c r="J290" s="135"/>
      <c r="K290" s="135"/>
      <c r="L290" s="189"/>
      <c r="M290" s="135"/>
      <c r="N290" s="189"/>
      <c r="O290" s="135"/>
      <c r="P290" s="229"/>
      <c r="Q290" s="135"/>
      <c r="R290" s="135"/>
      <c r="S290" s="135"/>
      <c r="T290" s="135"/>
      <c r="U290" s="135"/>
      <c r="V290" s="135"/>
    </row>
    <row r="291" customFormat="false" ht="15.75" hidden="false" customHeight="true" outlineLevel="0" collapsed="false">
      <c r="A291" s="135"/>
      <c r="B291" s="135"/>
      <c r="C291" s="135"/>
      <c r="D291" s="229"/>
      <c r="E291" s="135"/>
      <c r="F291" s="189"/>
      <c r="G291" s="135"/>
      <c r="H291" s="135"/>
      <c r="I291" s="135"/>
      <c r="J291" s="135"/>
      <c r="K291" s="135"/>
      <c r="L291" s="189"/>
      <c r="M291" s="135"/>
      <c r="N291" s="189"/>
      <c r="O291" s="135"/>
      <c r="P291" s="229"/>
      <c r="Q291" s="135"/>
      <c r="R291" s="135"/>
      <c r="S291" s="135"/>
      <c r="T291" s="135"/>
      <c r="U291" s="135"/>
      <c r="V291" s="135"/>
    </row>
    <row r="292" customFormat="false" ht="15.75" hidden="false" customHeight="true" outlineLevel="0" collapsed="false">
      <c r="A292" s="135"/>
      <c r="B292" s="135"/>
      <c r="C292" s="135"/>
      <c r="D292" s="229"/>
      <c r="E292" s="135"/>
      <c r="F292" s="189"/>
      <c r="G292" s="135"/>
      <c r="H292" s="135"/>
      <c r="I292" s="135"/>
      <c r="J292" s="135"/>
      <c r="K292" s="135"/>
      <c r="L292" s="189"/>
      <c r="M292" s="135"/>
      <c r="N292" s="189"/>
      <c r="O292" s="135"/>
      <c r="P292" s="229"/>
      <c r="Q292" s="135"/>
      <c r="R292" s="135"/>
      <c r="S292" s="135"/>
      <c r="T292" s="135"/>
      <c r="U292" s="135"/>
      <c r="V292" s="135"/>
    </row>
    <row r="293" customFormat="false" ht="15.75" hidden="false" customHeight="true" outlineLevel="0" collapsed="false">
      <c r="A293" s="135"/>
      <c r="B293" s="135"/>
      <c r="C293" s="135"/>
      <c r="D293" s="229"/>
      <c r="E293" s="135"/>
      <c r="F293" s="189"/>
      <c r="G293" s="135"/>
      <c r="H293" s="135"/>
      <c r="I293" s="135"/>
      <c r="J293" s="135"/>
      <c r="K293" s="135"/>
      <c r="L293" s="189"/>
      <c r="M293" s="135"/>
      <c r="N293" s="189"/>
      <c r="O293" s="135"/>
      <c r="P293" s="229"/>
      <c r="Q293" s="135"/>
      <c r="R293" s="135"/>
      <c r="S293" s="135"/>
      <c r="T293" s="135"/>
      <c r="U293" s="135"/>
      <c r="V293" s="135"/>
    </row>
    <row r="294" customFormat="false" ht="15.75" hidden="false" customHeight="true" outlineLevel="0" collapsed="false">
      <c r="A294" s="135"/>
      <c r="B294" s="135"/>
      <c r="C294" s="135"/>
      <c r="D294" s="229"/>
      <c r="E294" s="135"/>
      <c r="F294" s="189"/>
      <c r="G294" s="135"/>
      <c r="H294" s="135"/>
      <c r="I294" s="135"/>
      <c r="J294" s="135"/>
      <c r="K294" s="135"/>
      <c r="L294" s="189"/>
      <c r="M294" s="135"/>
      <c r="N294" s="189"/>
      <c r="O294" s="135"/>
      <c r="P294" s="229"/>
      <c r="Q294" s="135"/>
      <c r="R294" s="135"/>
      <c r="S294" s="135"/>
      <c r="T294" s="135"/>
      <c r="U294" s="135"/>
      <c r="V294" s="135"/>
    </row>
    <row r="295" customFormat="false" ht="15.75" hidden="false" customHeight="true" outlineLevel="0" collapsed="false">
      <c r="A295" s="135"/>
      <c r="B295" s="135"/>
      <c r="C295" s="135"/>
      <c r="D295" s="229"/>
      <c r="E295" s="135"/>
      <c r="F295" s="189"/>
      <c r="G295" s="135"/>
      <c r="H295" s="135"/>
      <c r="I295" s="135"/>
      <c r="J295" s="135"/>
      <c r="K295" s="135"/>
      <c r="L295" s="189"/>
      <c r="M295" s="135"/>
      <c r="N295" s="189"/>
      <c r="O295" s="135"/>
      <c r="P295" s="229"/>
      <c r="Q295" s="135"/>
      <c r="R295" s="135"/>
      <c r="S295" s="135"/>
      <c r="T295" s="135"/>
      <c r="U295" s="135"/>
      <c r="V295" s="135"/>
    </row>
    <row r="296" customFormat="false" ht="15.75" hidden="false" customHeight="true" outlineLevel="0" collapsed="false">
      <c r="A296" s="135"/>
      <c r="B296" s="135"/>
      <c r="C296" s="135"/>
      <c r="D296" s="229"/>
      <c r="E296" s="135"/>
      <c r="F296" s="189"/>
      <c r="G296" s="135"/>
      <c r="H296" s="135"/>
      <c r="I296" s="135"/>
      <c r="J296" s="135"/>
      <c r="K296" s="135"/>
      <c r="L296" s="189"/>
      <c r="M296" s="135"/>
      <c r="N296" s="189"/>
      <c r="O296" s="135"/>
      <c r="P296" s="229"/>
      <c r="Q296" s="135"/>
      <c r="R296" s="135"/>
      <c r="S296" s="135"/>
      <c r="T296" s="135"/>
      <c r="U296" s="135"/>
      <c r="V296" s="135"/>
    </row>
    <row r="297" customFormat="false" ht="15.75" hidden="false" customHeight="true" outlineLevel="0" collapsed="false">
      <c r="A297" s="135"/>
      <c r="B297" s="135"/>
      <c r="C297" s="135"/>
      <c r="D297" s="229"/>
      <c r="E297" s="135"/>
      <c r="F297" s="189"/>
      <c r="G297" s="135"/>
      <c r="H297" s="135"/>
      <c r="I297" s="135"/>
      <c r="J297" s="135"/>
      <c r="K297" s="135"/>
      <c r="L297" s="189"/>
      <c r="M297" s="135"/>
      <c r="N297" s="189"/>
      <c r="O297" s="135"/>
      <c r="P297" s="229"/>
      <c r="Q297" s="135"/>
      <c r="R297" s="135"/>
      <c r="S297" s="135"/>
      <c r="T297" s="135"/>
      <c r="U297" s="135"/>
      <c r="V297" s="135"/>
    </row>
    <row r="298" customFormat="false" ht="15.75" hidden="false" customHeight="true" outlineLevel="0" collapsed="false">
      <c r="A298" s="135"/>
      <c r="B298" s="135"/>
      <c r="C298" s="135"/>
      <c r="D298" s="229"/>
      <c r="E298" s="135"/>
      <c r="F298" s="189"/>
      <c r="G298" s="135"/>
      <c r="H298" s="135"/>
      <c r="I298" s="135"/>
      <c r="J298" s="135"/>
      <c r="K298" s="135"/>
      <c r="L298" s="189"/>
      <c r="M298" s="135"/>
      <c r="N298" s="189"/>
      <c r="O298" s="135"/>
      <c r="P298" s="229"/>
      <c r="Q298" s="135"/>
      <c r="R298" s="135"/>
      <c r="S298" s="135"/>
      <c r="T298" s="135"/>
      <c r="U298" s="135"/>
      <c r="V298" s="135"/>
    </row>
    <row r="299" customFormat="false" ht="15.75" hidden="false" customHeight="true" outlineLevel="0" collapsed="false">
      <c r="A299" s="135"/>
      <c r="B299" s="135"/>
      <c r="C299" s="135"/>
      <c r="D299" s="229"/>
      <c r="E299" s="135"/>
      <c r="F299" s="189"/>
      <c r="G299" s="135"/>
      <c r="H299" s="135"/>
      <c r="I299" s="135"/>
      <c r="J299" s="135"/>
      <c r="K299" s="135"/>
      <c r="L299" s="189"/>
      <c r="M299" s="135"/>
      <c r="N299" s="189"/>
      <c r="O299" s="135"/>
      <c r="P299" s="229"/>
      <c r="Q299" s="135"/>
      <c r="R299" s="135"/>
      <c r="S299" s="135"/>
      <c r="T299" s="135"/>
      <c r="U299" s="135"/>
      <c r="V299" s="135"/>
    </row>
    <row r="300" customFormat="false" ht="15.75" hidden="false" customHeight="true" outlineLevel="0" collapsed="false">
      <c r="A300" s="135"/>
      <c r="B300" s="135"/>
      <c r="C300" s="135"/>
      <c r="D300" s="229"/>
      <c r="E300" s="135"/>
      <c r="F300" s="189"/>
      <c r="G300" s="135"/>
      <c r="H300" s="135"/>
      <c r="I300" s="135"/>
      <c r="J300" s="135"/>
      <c r="K300" s="135"/>
      <c r="L300" s="189"/>
      <c r="M300" s="135"/>
      <c r="N300" s="189"/>
      <c r="O300" s="135"/>
      <c r="P300" s="229"/>
      <c r="Q300" s="135"/>
      <c r="R300" s="135"/>
      <c r="S300" s="135"/>
      <c r="T300" s="135"/>
      <c r="U300" s="135"/>
      <c r="V300" s="135"/>
    </row>
    <row r="301" customFormat="false" ht="15.75" hidden="false" customHeight="true" outlineLevel="0" collapsed="false">
      <c r="A301" s="135"/>
      <c r="B301" s="135"/>
      <c r="C301" s="135"/>
      <c r="D301" s="229"/>
      <c r="E301" s="135"/>
      <c r="F301" s="189"/>
      <c r="G301" s="135"/>
      <c r="H301" s="135"/>
      <c r="I301" s="135"/>
      <c r="J301" s="135"/>
      <c r="K301" s="135"/>
      <c r="L301" s="189"/>
      <c r="M301" s="135"/>
      <c r="N301" s="189"/>
      <c r="O301" s="135"/>
      <c r="P301" s="229"/>
      <c r="Q301" s="135"/>
      <c r="R301" s="135"/>
      <c r="S301" s="135"/>
      <c r="T301" s="135"/>
      <c r="U301" s="135"/>
      <c r="V301" s="135"/>
    </row>
    <row r="302" customFormat="false" ht="15.75" hidden="false" customHeight="true" outlineLevel="0" collapsed="false">
      <c r="A302" s="135"/>
      <c r="B302" s="135"/>
      <c r="C302" s="135"/>
      <c r="D302" s="229"/>
      <c r="E302" s="135"/>
      <c r="F302" s="189"/>
      <c r="G302" s="135"/>
      <c r="H302" s="135"/>
      <c r="I302" s="135"/>
      <c r="J302" s="135"/>
      <c r="K302" s="135"/>
      <c r="L302" s="189"/>
      <c r="M302" s="135"/>
      <c r="N302" s="189"/>
      <c r="O302" s="135"/>
      <c r="P302" s="229"/>
      <c r="Q302" s="135"/>
      <c r="R302" s="135"/>
      <c r="S302" s="135"/>
      <c r="T302" s="135"/>
      <c r="U302" s="135"/>
      <c r="V302" s="135"/>
    </row>
    <row r="303" customFormat="false" ht="15.75" hidden="false" customHeight="true" outlineLevel="0" collapsed="false">
      <c r="A303" s="135"/>
      <c r="B303" s="135"/>
      <c r="C303" s="135"/>
      <c r="D303" s="229"/>
      <c r="E303" s="135"/>
      <c r="F303" s="189"/>
      <c r="G303" s="135"/>
      <c r="H303" s="135"/>
      <c r="I303" s="135"/>
      <c r="J303" s="135"/>
      <c r="K303" s="135"/>
      <c r="L303" s="189"/>
      <c r="M303" s="135"/>
      <c r="N303" s="189"/>
      <c r="O303" s="135"/>
      <c r="P303" s="229"/>
      <c r="Q303" s="135"/>
      <c r="R303" s="135"/>
      <c r="S303" s="135"/>
      <c r="T303" s="135"/>
      <c r="U303" s="135"/>
      <c r="V303" s="135"/>
    </row>
    <row r="304" customFormat="false" ht="15.75" hidden="false" customHeight="true" outlineLevel="0" collapsed="false">
      <c r="A304" s="135"/>
      <c r="B304" s="135"/>
      <c r="C304" s="135"/>
      <c r="D304" s="229"/>
      <c r="E304" s="135"/>
      <c r="F304" s="189"/>
      <c r="G304" s="135"/>
      <c r="H304" s="135"/>
      <c r="I304" s="135"/>
      <c r="J304" s="135"/>
      <c r="K304" s="135"/>
      <c r="L304" s="189"/>
      <c r="M304" s="135"/>
      <c r="N304" s="189"/>
      <c r="O304" s="135"/>
      <c r="P304" s="229"/>
      <c r="Q304" s="135"/>
      <c r="R304" s="135"/>
      <c r="S304" s="135"/>
      <c r="T304" s="135"/>
      <c r="U304" s="135"/>
      <c r="V304" s="135"/>
    </row>
    <row r="305" customFormat="false" ht="15.75" hidden="false" customHeight="true" outlineLevel="0" collapsed="false">
      <c r="A305" s="135"/>
      <c r="B305" s="135"/>
      <c r="C305" s="135"/>
      <c r="D305" s="229"/>
      <c r="E305" s="135"/>
      <c r="F305" s="189"/>
      <c r="G305" s="135"/>
      <c r="H305" s="135"/>
      <c r="I305" s="135"/>
      <c r="J305" s="135"/>
      <c r="K305" s="135"/>
      <c r="L305" s="189"/>
      <c r="M305" s="135"/>
      <c r="N305" s="189"/>
      <c r="O305" s="135"/>
      <c r="P305" s="229"/>
      <c r="Q305" s="135"/>
      <c r="R305" s="135"/>
      <c r="S305" s="135"/>
      <c r="T305" s="135"/>
      <c r="U305" s="135"/>
      <c r="V305" s="135"/>
    </row>
    <row r="306" customFormat="false" ht="15.75" hidden="false" customHeight="true" outlineLevel="0" collapsed="false">
      <c r="A306" s="135"/>
      <c r="B306" s="135"/>
      <c r="C306" s="135"/>
      <c r="D306" s="229"/>
      <c r="E306" s="135"/>
      <c r="F306" s="189"/>
      <c r="G306" s="135"/>
      <c r="H306" s="135"/>
      <c r="I306" s="135"/>
      <c r="J306" s="135"/>
      <c r="K306" s="135"/>
      <c r="L306" s="189"/>
      <c r="M306" s="135"/>
      <c r="N306" s="189"/>
      <c r="O306" s="135"/>
      <c r="P306" s="229"/>
      <c r="Q306" s="135"/>
      <c r="R306" s="135"/>
      <c r="S306" s="135"/>
      <c r="T306" s="135"/>
      <c r="U306" s="135"/>
      <c r="V306" s="135"/>
    </row>
    <row r="307" customFormat="false" ht="15.75" hidden="false" customHeight="true" outlineLevel="0" collapsed="false">
      <c r="A307" s="135"/>
      <c r="B307" s="135"/>
      <c r="C307" s="135"/>
      <c r="D307" s="229"/>
      <c r="E307" s="135"/>
      <c r="F307" s="189"/>
      <c r="G307" s="135"/>
      <c r="H307" s="135"/>
      <c r="I307" s="135"/>
      <c r="J307" s="135"/>
      <c r="K307" s="135"/>
      <c r="L307" s="189"/>
      <c r="M307" s="135"/>
      <c r="N307" s="189"/>
      <c r="O307" s="135"/>
      <c r="P307" s="229"/>
      <c r="Q307" s="135"/>
      <c r="R307" s="135"/>
      <c r="S307" s="135"/>
      <c r="T307" s="135"/>
      <c r="U307" s="135"/>
      <c r="V307" s="135"/>
    </row>
    <row r="308" customFormat="false" ht="15.75" hidden="false" customHeight="true" outlineLevel="0" collapsed="false">
      <c r="A308" s="135"/>
      <c r="B308" s="135"/>
      <c r="C308" s="135"/>
      <c r="D308" s="229"/>
      <c r="E308" s="135"/>
      <c r="F308" s="189"/>
      <c r="G308" s="135"/>
      <c r="H308" s="135"/>
      <c r="I308" s="135"/>
      <c r="J308" s="135"/>
      <c r="K308" s="135"/>
      <c r="L308" s="189"/>
      <c r="M308" s="135"/>
      <c r="N308" s="189"/>
      <c r="O308" s="135"/>
      <c r="P308" s="229"/>
      <c r="Q308" s="135"/>
      <c r="R308" s="135"/>
      <c r="S308" s="135"/>
      <c r="T308" s="135"/>
      <c r="U308" s="135"/>
      <c r="V308" s="135"/>
    </row>
    <row r="309" customFormat="false" ht="15.75" hidden="false" customHeight="true" outlineLevel="0" collapsed="false">
      <c r="A309" s="135"/>
      <c r="B309" s="135"/>
      <c r="C309" s="135"/>
      <c r="D309" s="229"/>
      <c r="E309" s="135"/>
      <c r="F309" s="189"/>
      <c r="G309" s="135"/>
      <c r="H309" s="135"/>
      <c r="I309" s="135"/>
      <c r="J309" s="135"/>
      <c r="K309" s="135"/>
      <c r="L309" s="189"/>
      <c r="M309" s="135"/>
      <c r="N309" s="189"/>
      <c r="O309" s="135"/>
      <c r="P309" s="229"/>
      <c r="Q309" s="135"/>
      <c r="R309" s="135"/>
      <c r="S309" s="135"/>
      <c r="T309" s="135"/>
      <c r="U309" s="135"/>
      <c r="V309" s="135"/>
    </row>
    <row r="310" customFormat="false" ht="15.75" hidden="false" customHeight="true" outlineLevel="0" collapsed="false">
      <c r="A310" s="135"/>
      <c r="B310" s="135"/>
      <c r="C310" s="135"/>
      <c r="D310" s="229"/>
      <c r="E310" s="135"/>
      <c r="F310" s="189"/>
      <c r="G310" s="135"/>
      <c r="H310" s="135"/>
      <c r="I310" s="135"/>
      <c r="J310" s="135"/>
      <c r="K310" s="135"/>
      <c r="L310" s="189"/>
      <c r="M310" s="135"/>
      <c r="N310" s="189"/>
      <c r="O310" s="135"/>
      <c r="P310" s="229"/>
      <c r="Q310" s="135"/>
      <c r="R310" s="135"/>
      <c r="S310" s="135"/>
      <c r="T310" s="135"/>
      <c r="U310" s="135"/>
      <c r="V310" s="135"/>
    </row>
    <row r="311" customFormat="false" ht="15.75" hidden="false" customHeight="true" outlineLevel="0" collapsed="false">
      <c r="A311" s="135"/>
      <c r="B311" s="135"/>
      <c r="C311" s="135"/>
      <c r="D311" s="229"/>
      <c r="E311" s="135"/>
      <c r="F311" s="189"/>
      <c r="G311" s="135"/>
      <c r="H311" s="135"/>
      <c r="I311" s="135"/>
      <c r="J311" s="135"/>
      <c r="K311" s="135"/>
      <c r="L311" s="189"/>
      <c r="M311" s="135"/>
      <c r="N311" s="189"/>
      <c r="O311" s="135"/>
      <c r="P311" s="229"/>
      <c r="Q311" s="135"/>
      <c r="R311" s="135"/>
      <c r="S311" s="135"/>
      <c r="T311" s="135"/>
      <c r="U311" s="135"/>
      <c r="V311" s="135"/>
    </row>
    <row r="312" customFormat="false" ht="15.75" hidden="false" customHeight="true" outlineLevel="0" collapsed="false">
      <c r="A312" s="135"/>
      <c r="B312" s="135"/>
      <c r="C312" s="135"/>
      <c r="D312" s="229"/>
      <c r="E312" s="135"/>
      <c r="F312" s="189"/>
      <c r="G312" s="135"/>
      <c r="H312" s="135"/>
      <c r="I312" s="135"/>
      <c r="J312" s="135"/>
      <c r="K312" s="135"/>
      <c r="L312" s="189"/>
      <c r="M312" s="135"/>
      <c r="N312" s="189"/>
      <c r="O312" s="135"/>
      <c r="P312" s="229"/>
      <c r="Q312" s="135"/>
      <c r="R312" s="135"/>
      <c r="S312" s="135"/>
      <c r="T312" s="135"/>
      <c r="U312" s="135"/>
      <c r="V312" s="135"/>
    </row>
    <row r="313" customFormat="false" ht="15.75" hidden="false" customHeight="true" outlineLevel="0" collapsed="false">
      <c r="A313" s="135"/>
      <c r="B313" s="135"/>
      <c r="C313" s="135"/>
      <c r="D313" s="229"/>
      <c r="E313" s="135"/>
      <c r="F313" s="189"/>
      <c r="G313" s="135"/>
      <c r="H313" s="135"/>
      <c r="I313" s="135"/>
      <c r="J313" s="135"/>
      <c r="K313" s="135"/>
      <c r="L313" s="189"/>
      <c r="M313" s="135"/>
      <c r="N313" s="189"/>
      <c r="O313" s="135"/>
      <c r="P313" s="229"/>
      <c r="Q313" s="135"/>
      <c r="R313" s="135"/>
      <c r="S313" s="135"/>
      <c r="T313" s="135"/>
      <c r="U313" s="135"/>
      <c r="V313" s="135"/>
    </row>
    <row r="314" customFormat="false" ht="15.75" hidden="false" customHeight="true" outlineLevel="0" collapsed="false">
      <c r="A314" s="135"/>
      <c r="B314" s="135"/>
      <c r="C314" s="135"/>
      <c r="D314" s="229"/>
      <c r="E314" s="135"/>
      <c r="F314" s="189"/>
      <c r="G314" s="135"/>
      <c r="H314" s="135"/>
      <c r="I314" s="135"/>
      <c r="J314" s="135"/>
      <c r="K314" s="135"/>
      <c r="L314" s="189"/>
      <c r="M314" s="135"/>
      <c r="N314" s="189"/>
      <c r="O314" s="135"/>
      <c r="P314" s="229"/>
      <c r="Q314" s="135"/>
      <c r="R314" s="135"/>
      <c r="S314" s="135"/>
      <c r="T314" s="135"/>
      <c r="U314" s="135"/>
      <c r="V314" s="135"/>
    </row>
    <row r="315" customFormat="false" ht="15.75" hidden="false" customHeight="true" outlineLevel="0" collapsed="false">
      <c r="A315" s="135"/>
      <c r="B315" s="135"/>
      <c r="C315" s="135"/>
      <c r="D315" s="229"/>
      <c r="E315" s="135"/>
      <c r="F315" s="189"/>
      <c r="G315" s="135"/>
      <c r="H315" s="135"/>
      <c r="I315" s="135"/>
      <c r="J315" s="135"/>
      <c r="K315" s="135"/>
      <c r="L315" s="189"/>
      <c r="M315" s="135"/>
      <c r="N315" s="189"/>
      <c r="O315" s="135"/>
      <c r="P315" s="229"/>
      <c r="Q315" s="135"/>
      <c r="R315" s="135"/>
      <c r="S315" s="135"/>
      <c r="T315" s="135"/>
      <c r="U315" s="135"/>
      <c r="V315" s="135"/>
    </row>
    <row r="316" customFormat="false" ht="15.75" hidden="false" customHeight="true" outlineLevel="0" collapsed="false">
      <c r="A316" s="135"/>
      <c r="B316" s="135"/>
      <c r="C316" s="135"/>
      <c r="D316" s="229"/>
      <c r="E316" s="135"/>
      <c r="F316" s="189"/>
      <c r="G316" s="135"/>
      <c r="H316" s="135"/>
      <c r="I316" s="135"/>
      <c r="J316" s="135"/>
      <c r="K316" s="135"/>
      <c r="L316" s="189"/>
      <c r="M316" s="135"/>
      <c r="N316" s="189"/>
      <c r="O316" s="135"/>
      <c r="P316" s="229"/>
      <c r="Q316" s="135"/>
      <c r="R316" s="135"/>
      <c r="S316" s="135"/>
      <c r="T316" s="135"/>
      <c r="U316" s="135"/>
      <c r="V316" s="135"/>
    </row>
    <row r="317" customFormat="false" ht="15.75" hidden="false" customHeight="true" outlineLevel="0" collapsed="false">
      <c r="A317" s="135"/>
      <c r="B317" s="135"/>
      <c r="C317" s="135"/>
      <c r="D317" s="229"/>
      <c r="E317" s="135"/>
      <c r="F317" s="189"/>
      <c r="G317" s="135"/>
      <c r="H317" s="135"/>
      <c r="I317" s="135"/>
      <c r="J317" s="135"/>
      <c r="K317" s="135"/>
      <c r="L317" s="189"/>
      <c r="M317" s="135"/>
      <c r="N317" s="189"/>
      <c r="O317" s="135"/>
      <c r="P317" s="229"/>
      <c r="Q317" s="135"/>
      <c r="R317" s="135"/>
      <c r="S317" s="135"/>
      <c r="T317" s="135"/>
      <c r="U317" s="135"/>
      <c r="V317" s="135"/>
    </row>
    <row r="318" customFormat="false" ht="15.75" hidden="false" customHeight="true" outlineLevel="0" collapsed="false">
      <c r="A318" s="135"/>
      <c r="B318" s="135"/>
      <c r="C318" s="135"/>
      <c r="D318" s="229"/>
      <c r="E318" s="135"/>
      <c r="F318" s="189"/>
      <c r="G318" s="135"/>
      <c r="H318" s="135"/>
      <c r="I318" s="135"/>
      <c r="J318" s="135"/>
      <c r="K318" s="135"/>
      <c r="L318" s="189"/>
      <c r="M318" s="135"/>
      <c r="N318" s="189"/>
      <c r="O318" s="135"/>
      <c r="P318" s="229"/>
      <c r="Q318" s="135"/>
      <c r="R318" s="135"/>
      <c r="S318" s="135"/>
      <c r="T318" s="135"/>
      <c r="U318" s="135"/>
      <c r="V318" s="135"/>
    </row>
    <row r="319" customFormat="false" ht="15.75" hidden="false" customHeight="true" outlineLevel="0" collapsed="false">
      <c r="A319" s="135"/>
      <c r="B319" s="135"/>
      <c r="C319" s="135"/>
      <c r="D319" s="229"/>
      <c r="E319" s="135"/>
      <c r="F319" s="189"/>
      <c r="G319" s="135"/>
      <c r="H319" s="135"/>
      <c r="I319" s="135"/>
      <c r="J319" s="135"/>
      <c r="K319" s="135"/>
      <c r="L319" s="189"/>
      <c r="M319" s="135"/>
      <c r="N319" s="189"/>
      <c r="O319" s="135"/>
      <c r="P319" s="229"/>
      <c r="Q319" s="135"/>
      <c r="R319" s="135"/>
      <c r="S319" s="135"/>
      <c r="T319" s="135"/>
      <c r="U319" s="135"/>
      <c r="V319" s="135"/>
    </row>
    <row r="320" customFormat="false" ht="15.75" hidden="false" customHeight="true" outlineLevel="0" collapsed="false">
      <c r="A320" s="135"/>
      <c r="B320" s="135"/>
      <c r="C320" s="135"/>
      <c r="D320" s="229"/>
      <c r="E320" s="135"/>
      <c r="F320" s="189"/>
      <c r="G320" s="135"/>
      <c r="H320" s="135"/>
      <c r="I320" s="135"/>
      <c r="J320" s="135"/>
      <c r="K320" s="135"/>
      <c r="L320" s="189"/>
      <c r="M320" s="135"/>
      <c r="N320" s="189"/>
      <c r="O320" s="135"/>
      <c r="P320" s="229"/>
      <c r="Q320" s="135"/>
      <c r="R320" s="135"/>
      <c r="S320" s="135"/>
      <c r="T320" s="135"/>
      <c r="U320" s="135"/>
      <c r="V320" s="135"/>
    </row>
    <row r="321" customFormat="false" ht="15.75" hidden="false" customHeight="true" outlineLevel="0" collapsed="false">
      <c r="A321" s="135"/>
      <c r="B321" s="135"/>
      <c r="C321" s="135"/>
      <c r="D321" s="229"/>
      <c r="E321" s="135"/>
      <c r="F321" s="189"/>
      <c r="G321" s="135"/>
      <c r="H321" s="135"/>
      <c r="I321" s="135"/>
      <c r="J321" s="135"/>
      <c r="K321" s="135"/>
      <c r="L321" s="189"/>
      <c r="M321" s="135"/>
      <c r="N321" s="189"/>
      <c r="O321" s="135"/>
      <c r="P321" s="229"/>
      <c r="Q321" s="135"/>
      <c r="R321" s="135"/>
      <c r="S321" s="135"/>
      <c r="T321" s="135"/>
      <c r="U321" s="135"/>
      <c r="V321" s="135"/>
    </row>
    <row r="322" customFormat="false" ht="15.75" hidden="false" customHeight="true" outlineLevel="0" collapsed="false">
      <c r="A322" s="135"/>
      <c r="B322" s="135"/>
      <c r="C322" s="135"/>
      <c r="D322" s="229"/>
      <c r="E322" s="135"/>
      <c r="F322" s="189"/>
      <c r="G322" s="135"/>
      <c r="H322" s="135"/>
      <c r="I322" s="135"/>
      <c r="J322" s="135"/>
      <c r="K322" s="135"/>
      <c r="L322" s="189"/>
      <c r="M322" s="135"/>
      <c r="N322" s="189"/>
      <c r="O322" s="135"/>
      <c r="P322" s="229"/>
      <c r="Q322" s="135"/>
      <c r="R322" s="135"/>
      <c r="S322" s="135"/>
      <c r="T322" s="135"/>
      <c r="U322" s="135"/>
      <c r="V322" s="135"/>
    </row>
    <row r="323" customFormat="false" ht="15.75" hidden="false" customHeight="true" outlineLevel="0" collapsed="false">
      <c r="A323" s="135"/>
      <c r="B323" s="135"/>
      <c r="C323" s="135"/>
      <c r="D323" s="229"/>
      <c r="E323" s="135"/>
      <c r="F323" s="189"/>
      <c r="G323" s="135"/>
      <c r="H323" s="135"/>
      <c r="I323" s="135"/>
      <c r="J323" s="135"/>
      <c r="K323" s="135"/>
      <c r="L323" s="189"/>
      <c r="M323" s="135"/>
      <c r="N323" s="189"/>
      <c r="O323" s="135"/>
      <c r="P323" s="229"/>
      <c r="Q323" s="135"/>
      <c r="R323" s="135"/>
      <c r="S323" s="135"/>
      <c r="T323" s="135"/>
      <c r="U323" s="135"/>
      <c r="V323" s="135"/>
    </row>
    <row r="324" customFormat="false" ht="15.75" hidden="false" customHeight="true" outlineLevel="0" collapsed="false">
      <c r="A324" s="135"/>
      <c r="B324" s="135"/>
      <c r="C324" s="135"/>
      <c r="D324" s="229"/>
      <c r="E324" s="135"/>
      <c r="F324" s="189"/>
      <c r="G324" s="135"/>
      <c r="H324" s="135"/>
      <c r="I324" s="135"/>
      <c r="J324" s="135"/>
      <c r="K324" s="135"/>
      <c r="L324" s="189"/>
      <c r="M324" s="135"/>
      <c r="N324" s="189"/>
      <c r="O324" s="135"/>
      <c r="P324" s="229"/>
      <c r="Q324" s="135"/>
      <c r="R324" s="135"/>
      <c r="S324" s="135"/>
      <c r="T324" s="135"/>
      <c r="U324" s="135"/>
      <c r="V324" s="135"/>
    </row>
    <row r="325" customFormat="false" ht="15.75" hidden="false" customHeight="true" outlineLevel="0" collapsed="false">
      <c r="A325" s="135"/>
      <c r="B325" s="135"/>
      <c r="C325" s="135"/>
      <c r="D325" s="229"/>
      <c r="E325" s="135"/>
      <c r="F325" s="189"/>
      <c r="G325" s="135"/>
      <c r="H325" s="135"/>
      <c r="I325" s="135"/>
      <c r="J325" s="135"/>
      <c r="K325" s="135"/>
      <c r="L325" s="189"/>
      <c r="M325" s="135"/>
      <c r="N325" s="189"/>
      <c r="O325" s="135"/>
      <c r="P325" s="229"/>
      <c r="Q325" s="135"/>
      <c r="R325" s="135"/>
      <c r="S325" s="135"/>
      <c r="T325" s="135"/>
      <c r="U325" s="135"/>
      <c r="V325" s="135"/>
    </row>
    <row r="326" customFormat="false" ht="15.75" hidden="false" customHeight="true" outlineLevel="0" collapsed="false">
      <c r="A326" s="135"/>
      <c r="B326" s="135"/>
      <c r="C326" s="135"/>
      <c r="D326" s="229"/>
      <c r="E326" s="135"/>
      <c r="F326" s="189"/>
      <c r="G326" s="135"/>
      <c r="H326" s="135"/>
      <c r="I326" s="135"/>
      <c r="J326" s="135"/>
      <c r="K326" s="135"/>
      <c r="L326" s="189"/>
      <c r="M326" s="135"/>
      <c r="N326" s="189"/>
      <c r="O326" s="135"/>
      <c r="P326" s="229"/>
      <c r="Q326" s="135"/>
      <c r="R326" s="135"/>
      <c r="S326" s="135"/>
      <c r="T326" s="135"/>
      <c r="U326" s="135"/>
      <c r="V326" s="135"/>
    </row>
    <row r="327" customFormat="false" ht="15.75" hidden="false" customHeight="true" outlineLevel="0" collapsed="false">
      <c r="A327" s="135"/>
      <c r="B327" s="135"/>
      <c r="C327" s="135"/>
      <c r="D327" s="229"/>
      <c r="E327" s="135"/>
      <c r="F327" s="189"/>
      <c r="G327" s="135"/>
      <c r="H327" s="135"/>
      <c r="I327" s="135"/>
      <c r="J327" s="135"/>
      <c r="K327" s="135"/>
      <c r="L327" s="189"/>
      <c r="M327" s="135"/>
      <c r="N327" s="189"/>
      <c r="O327" s="135"/>
      <c r="P327" s="229"/>
      <c r="Q327" s="135"/>
      <c r="R327" s="135"/>
      <c r="S327" s="135"/>
      <c r="T327" s="135"/>
      <c r="U327" s="135"/>
      <c r="V327" s="135"/>
    </row>
    <row r="328" customFormat="false" ht="15.75" hidden="false" customHeight="true" outlineLevel="0" collapsed="false">
      <c r="A328" s="135"/>
      <c r="B328" s="135"/>
      <c r="C328" s="135"/>
      <c r="D328" s="229"/>
      <c r="E328" s="135"/>
      <c r="F328" s="189"/>
      <c r="G328" s="135"/>
      <c r="H328" s="135"/>
      <c r="I328" s="135"/>
      <c r="J328" s="135"/>
      <c r="K328" s="135"/>
      <c r="L328" s="189"/>
      <c r="M328" s="135"/>
      <c r="N328" s="189"/>
      <c r="O328" s="135"/>
      <c r="P328" s="229"/>
      <c r="Q328" s="135"/>
      <c r="R328" s="135"/>
      <c r="S328" s="135"/>
      <c r="T328" s="135"/>
      <c r="U328" s="135"/>
      <c r="V328" s="135"/>
    </row>
    <row r="329" customFormat="false" ht="15.75" hidden="false" customHeight="true" outlineLevel="0" collapsed="false">
      <c r="A329" s="135"/>
      <c r="B329" s="135"/>
      <c r="C329" s="135"/>
      <c r="D329" s="229"/>
      <c r="E329" s="135"/>
      <c r="F329" s="189"/>
      <c r="G329" s="135"/>
      <c r="H329" s="135"/>
      <c r="I329" s="135"/>
      <c r="J329" s="135"/>
      <c r="K329" s="135"/>
      <c r="L329" s="189"/>
      <c r="M329" s="135"/>
      <c r="N329" s="189"/>
      <c r="O329" s="135"/>
      <c r="P329" s="229"/>
      <c r="Q329" s="135"/>
      <c r="R329" s="135"/>
      <c r="S329" s="135"/>
      <c r="T329" s="135"/>
      <c r="U329" s="135"/>
      <c r="V329" s="135"/>
    </row>
    <row r="330" customFormat="false" ht="15.75" hidden="false" customHeight="true" outlineLevel="0" collapsed="false">
      <c r="A330" s="135"/>
      <c r="B330" s="135"/>
      <c r="C330" s="135"/>
      <c r="D330" s="229"/>
      <c r="E330" s="135"/>
      <c r="F330" s="189"/>
      <c r="G330" s="135"/>
      <c r="H330" s="135"/>
      <c r="I330" s="135"/>
      <c r="J330" s="135"/>
      <c r="K330" s="135"/>
      <c r="L330" s="189"/>
      <c r="M330" s="135"/>
      <c r="N330" s="189"/>
      <c r="O330" s="135"/>
      <c r="P330" s="229"/>
      <c r="Q330" s="135"/>
      <c r="R330" s="135"/>
      <c r="S330" s="135"/>
      <c r="T330" s="135"/>
      <c r="U330" s="135"/>
      <c r="V330" s="135"/>
    </row>
    <row r="331" customFormat="false" ht="15.75" hidden="false" customHeight="true" outlineLevel="0" collapsed="false">
      <c r="A331" s="135"/>
      <c r="B331" s="135"/>
      <c r="C331" s="135"/>
      <c r="D331" s="229"/>
      <c r="E331" s="135"/>
      <c r="F331" s="189"/>
      <c r="G331" s="135"/>
      <c r="H331" s="135"/>
      <c r="I331" s="135"/>
      <c r="J331" s="135"/>
      <c r="K331" s="135"/>
      <c r="L331" s="189"/>
      <c r="M331" s="135"/>
      <c r="N331" s="189"/>
      <c r="O331" s="135"/>
      <c r="P331" s="229"/>
      <c r="Q331" s="135"/>
      <c r="R331" s="135"/>
      <c r="S331" s="135"/>
      <c r="T331" s="135"/>
      <c r="U331" s="135"/>
      <c r="V331" s="135"/>
    </row>
    <row r="332" customFormat="false" ht="15.75" hidden="false" customHeight="true" outlineLevel="0" collapsed="false">
      <c r="A332" s="135"/>
      <c r="B332" s="135"/>
      <c r="C332" s="135"/>
      <c r="D332" s="229"/>
      <c r="E332" s="135"/>
      <c r="F332" s="189"/>
      <c r="G332" s="135"/>
      <c r="H332" s="135"/>
      <c r="I332" s="135"/>
      <c r="J332" s="135"/>
      <c r="K332" s="135"/>
      <c r="L332" s="189"/>
      <c r="M332" s="135"/>
      <c r="N332" s="189"/>
      <c r="O332" s="135"/>
      <c r="P332" s="229"/>
      <c r="Q332" s="135"/>
      <c r="R332" s="135"/>
      <c r="S332" s="135"/>
      <c r="T332" s="135"/>
      <c r="U332" s="135"/>
      <c r="V332" s="135"/>
    </row>
    <row r="333" customFormat="false" ht="15.75" hidden="false" customHeight="true" outlineLevel="0" collapsed="false">
      <c r="A333" s="135"/>
      <c r="B333" s="135"/>
      <c r="C333" s="135"/>
      <c r="D333" s="229"/>
      <c r="E333" s="135"/>
      <c r="F333" s="189"/>
      <c r="G333" s="135"/>
      <c r="H333" s="135"/>
      <c r="I333" s="135"/>
      <c r="J333" s="135"/>
      <c r="K333" s="135"/>
      <c r="L333" s="189"/>
      <c r="M333" s="135"/>
      <c r="N333" s="189"/>
      <c r="O333" s="135"/>
      <c r="P333" s="229"/>
      <c r="Q333" s="135"/>
      <c r="R333" s="135"/>
      <c r="S333" s="135"/>
      <c r="T333" s="135"/>
      <c r="U333" s="135"/>
      <c r="V333" s="135"/>
    </row>
    <row r="334" customFormat="false" ht="15.75" hidden="false" customHeight="true" outlineLevel="0" collapsed="false">
      <c r="A334" s="135"/>
      <c r="B334" s="135"/>
      <c r="C334" s="135"/>
      <c r="D334" s="229"/>
      <c r="E334" s="135"/>
      <c r="F334" s="189"/>
      <c r="G334" s="135"/>
      <c r="H334" s="135"/>
      <c r="I334" s="135"/>
      <c r="J334" s="135"/>
      <c r="K334" s="135"/>
      <c r="L334" s="189"/>
      <c r="M334" s="135"/>
      <c r="N334" s="189"/>
      <c r="O334" s="135"/>
      <c r="P334" s="229"/>
      <c r="Q334" s="135"/>
      <c r="R334" s="135"/>
      <c r="S334" s="135"/>
      <c r="T334" s="135"/>
      <c r="U334" s="135"/>
      <c r="V334" s="135"/>
    </row>
    <row r="335" customFormat="false" ht="15.75" hidden="false" customHeight="true" outlineLevel="0" collapsed="false">
      <c r="A335" s="135"/>
      <c r="B335" s="135"/>
      <c r="C335" s="135"/>
      <c r="D335" s="229"/>
      <c r="E335" s="135"/>
      <c r="F335" s="189"/>
      <c r="G335" s="135"/>
      <c r="H335" s="135"/>
      <c r="I335" s="135"/>
      <c r="J335" s="135"/>
      <c r="K335" s="135"/>
      <c r="L335" s="189"/>
      <c r="M335" s="135"/>
      <c r="N335" s="189"/>
      <c r="O335" s="135"/>
      <c r="P335" s="229"/>
      <c r="Q335" s="135"/>
      <c r="R335" s="135"/>
      <c r="S335" s="135"/>
      <c r="T335" s="135"/>
      <c r="U335" s="135"/>
      <c r="V335" s="135"/>
    </row>
    <row r="336" customFormat="false" ht="15.75" hidden="false" customHeight="true" outlineLevel="0" collapsed="false">
      <c r="A336" s="135"/>
      <c r="B336" s="135"/>
      <c r="C336" s="135"/>
      <c r="D336" s="229"/>
      <c r="E336" s="135"/>
      <c r="F336" s="189"/>
      <c r="G336" s="135"/>
      <c r="H336" s="135"/>
      <c r="I336" s="135"/>
      <c r="J336" s="135"/>
      <c r="K336" s="135"/>
      <c r="L336" s="189"/>
      <c r="M336" s="135"/>
      <c r="N336" s="189"/>
      <c r="O336" s="135"/>
      <c r="P336" s="229"/>
      <c r="Q336" s="135"/>
      <c r="R336" s="135"/>
      <c r="S336" s="135"/>
      <c r="T336" s="135"/>
      <c r="U336" s="135"/>
      <c r="V336" s="135"/>
    </row>
    <row r="337" customFormat="false" ht="15.75" hidden="false" customHeight="true" outlineLevel="0" collapsed="false">
      <c r="A337" s="135"/>
      <c r="B337" s="135"/>
      <c r="C337" s="135"/>
      <c r="D337" s="229"/>
      <c r="E337" s="135"/>
      <c r="F337" s="189"/>
      <c r="G337" s="135"/>
      <c r="H337" s="135"/>
      <c r="I337" s="135"/>
      <c r="J337" s="135"/>
      <c r="K337" s="135"/>
      <c r="L337" s="189"/>
      <c r="M337" s="135"/>
      <c r="N337" s="189"/>
      <c r="O337" s="135"/>
      <c r="P337" s="229"/>
      <c r="Q337" s="135"/>
      <c r="R337" s="135"/>
      <c r="S337" s="135"/>
      <c r="T337" s="135"/>
      <c r="U337" s="135"/>
      <c r="V337" s="135"/>
    </row>
    <row r="338" customFormat="false" ht="15.75" hidden="false" customHeight="true" outlineLevel="0" collapsed="false">
      <c r="A338" s="135"/>
      <c r="B338" s="135"/>
      <c r="C338" s="135"/>
      <c r="D338" s="229"/>
      <c r="E338" s="135"/>
      <c r="F338" s="189"/>
      <c r="G338" s="135"/>
      <c r="H338" s="135"/>
      <c r="I338" s="135"/>
      <c r="J338" s="135"/>
      <c r="K338" s="135"/>
      <c r="L338" s="189"/>
      <c r="M338" s="135"/>
      <c r="N338" s="189"/>
      <c r="O338" s="135"/>
      <c r="P338" s="229"/>
      <c r="Q338" s="135"/>
      <c r="R338" s="135"/>
      <c r="S338" s="135"/>
      <c r="T338" s="135"/>
      <c r="U338" s="135"/>
      <c r="V338" s="135"/>
    </row>
    <row r="339" customFormat="false" ht="15.75" hidden="false" customHeight="true" outlineLevel="0" collapsed="false">
      <c r="A339" s="135"/>
      <c r="B339" s="135"/>
      <c r="C339" s="135"/>
      <c r="D339" s="229"/>
      <c r="E339" s="135"/>
      <c r="F339" s="189"/>
      <c r="G339" s="135"/>
      <c r="H339" s="135"/>
      <c r="I339" s="135"/>
      <c r="J339" s="135"/>
      <c r="K339" s="135"/>
      <c r="L339" s="189"/>
      <c r="M339" s="135"/>
      <c r="N339" s="189"/>
      <c r="O339" s="135"/>
      <c r="P339" s="229"/>
      <c r="Q339" s="135"/>
      <c r="R339" s="135"/>
      <c r="S339" s="135"/>
      <c r="T339" s="135"/>
      <c r="U339" s="135"/>
      <c r="V339" s="135"/>
    </row>
    <row r="340" customFormat="false" ht="15.75" hidden="false" customHeight="true" outlineLevel="0" collapsed="false">
      <c r="A340" s="135"/>
      <c r="B340" s="135"/>
      <c r="C340" s="135"/>
      <c r="D340" s="229"/>
      <c r="E340" s="135"/>
      <c r="F340" s="189"/>
      <c r="G340" s="135"/>
      <c r="H340" s="135"/>
      <c r="I340" s="135"/>
      <c r="J340" s="135"/>
      <c r="K340" s="135"/>
      <c r="L340" s="189"/>
      <c r="M340" s="135"/>
      <c r="N340" s="189"/>
      <c r="O340" s="135"/>
      <c r="P340" s="229"/>
      <c r="Q340" s="135"/>
      <c r="R340" s="135"/>
      <c r="S340" s="135"/>
      <c r="T340" s="135"/>
      <c r="U340" s="135"/>
      <c r="V340" s="135"/>
    </row>
    <row r="341" customFormat="false" ht="15.75" hidden="false" customHeight="true" outlineLevel="0" collapsed="false">
      <c r="A341" s="135"/>
      <c r="B341" s="135"/>
      <c r="C341" s="135"/>
      <c r="D341" s="229"/>
      <c r="E341" s="135"/>
      <c r="F341" s="189"/>
      <c r="G341" s="135"/>
      <c r="H341" s="135"/>
      <c r="I341" s="135"/>
      <c r="J341" s="135"/>
      <c r="K341" s="135"/>
      <c r="L341" s="189"/>
      <c r="M341" s="135"/>
      <c r="N341" s="189"/>
      <c r="O341" s="135"/>
      <c r="P341" s="229"/>
      <c r="Q341" s="135"/>
      <c r="R341" s="135"/>
      <c r="S341" s="135"/>
      <c r="T341" s="135"/>
      <c r="U341" s="135"/>
      <c r="V341" s="135"/>
    </row>
    <row r="342" customFormat="false" ht="15.75" hidden="false" customHeight="true" outlineLevel="0" collapsed="false">
      <c r="A342" s="135"/>
      <c r="B342" s="135"/>
      <c r="C342" s="135"/>
      <c r="D342" s="229"/>
      <c r="E342" s="135"/>
      <c r="F342" s="189"/>
      <c r="G342" s="135"/>
      <c r="H342" s="135"/>
      <c r="I342" s="135"/>
      <c r="J342" s="135"/>
      <c r="K342" s="135"/>
      <c r="L342" s="189"/>
      <c r="M342" s="135"/>
      <c r="N342" s="189"/>
      <c r="O342" s="135"/>
      <c r="P342" s="229"/>
      <c r="Q342" s="135"/>
      <c r="R342" s="135"/>
      <c r="S342" s="135"/>
      <c r="T342" s="135"/>
      <c r="U342" s="135"/>
      <c r="V342" s="135"/>
    </row>
    <row r="343" customFormat="false" ht="15.75" hidden="false" customHeight="true" outlineLevel="0" collapsed="false">
      <c r="A343" s="135"/>
      <c r="B343" s="135"/>
      <c r="C343" s="135"/>
      <c r="D343" s="229"/>
      <c r="E343" s="135"/>
      <c r="F343" s="189"/>
      <c r="G343" s="135"/>
      <c r="H343" s="135"/>
      <c r="I343" s="135"/>
      <c r="J343" s="135"/>
      <c r="K343" s="135"/>
      <c r="L343" s="189"/>
      <c r="M343" s="135"/>
      <c r="N343" s="189"/>
      <c r="O343" s="135"/>
      <c r="P343" s="229"/>
      <c r="Q343" s="135"/>
      <c r="R343" s="135"/>
      <c r="S343" s="135"/>
      <c r="T343" s="135"/>
      <c r="U343" s="135"/>
      <c r="V343" s="135"/>
    </row>
    <row r="344" customFormat="false" ht="15.75" hidden="false" customHeight="true" outlineLevel="0" collapsed="false">
      <c r="A344" s="135"/>
      <c r="B344" s="135"/>
      <c r="C344" s="135"/>
      <c r="D344" s="229"/>
      <c r="E344" s="135"/>
      <c r="F344" s="189"/>
      <c r="G344" s="135"/>
      <c r="H344" s="135"/>
      <c r="I344" s="135"/>
      <c r="J344" s="135"/>
      <c r="K344" s="135"/>
      <c r="L344" s="189"/>
      <c r="M344" s="135"/>
      <c r="N344" s="189"/>
      <c r="O344" s="135"/>
      <c r="P344" s="229"/>
      <c r="Q344" s="135"/>
      <c r="R344" s="135"/>
      <c r="S344" s="135"/>
      <c r="T344" s="135"/>
      <c r="U344" s="135"/>
      <c r="V344" s="135"/>
    </row>
    <row r="345" customFormat="false" ht="15.75" hidden="false" customHeight="true" outlineLevel="0" collapsed="false">
      <c r="A345" s="135"/>
      <c r="B345" s="135"/>
      <c r="C345" s="135"/>
      <c r="D345" s="229"/>
      <c r="E345" s="135"/>
      <c r="F345" s="189"/>
      <c r="G345" s="135"/>
      <c r="H345" s="135"/>
      <c r="I345" s="135"/>
      <c r="J345" s="135"/>
      <c r="K345" s="135"/>
      <c r="L345" s="189"/>
      <c r="M345" s="135"/>
      <c r="N345" s="189"/>
      <c r="O345" s="135"/>
      <c r="P345" s="229"/>
      <c r="Q345" s="135"/>
      <c r="R345" s="135"/>
      <c r="S345" s="135"/>
      <c r="T345" s="135"/>
      <c r="U345" s="135"/>
      <c r="V345" s="135"/>
    </row>
    <row r="346" customFormat="false" ht="15.75" hidden="false" customHeight="true" outlineLevel="0" collapsed="false">
      <c r="A346" s="135"/>
      <c r="B346" s="135"/>
      <c r="C346" s="135"/>
      <c r="D346" s="229"/>
      <c r="E346" s="135"/>
      <c r="F346" s="189"/>
      <c r="G346" s="135"/>
      <c r="H346" s="135"/>
      <c r="I346" s="135"/>
      <c r="J346" s="135"/>
      <c r="K346" s="135"/>
      <c r="L346" s="189"/>
      <c r="M346" s="135"/>
      <c r="N346" s="189"/>
      <c r="O346" s="135"/>
      <c r="P346" s="229"/>
      <c r="Q346" s="135"/>
      <c r="R346" s="135"/>
      <c r="S346" s="135"/>
      <c r="T346" s="135"/>
      <c r="U346" s="135"/>
      <c r="V346" s="135"/>
    </row>
    <row r="347" customFormat="false" ht="15.75" hidden="false" customHeight="true" outlineLevel="0" collapsed="false">
      <c r="A347" s="135"/>
      <c r="B347" s="135"/>
      <c r="C347" s="135"/>
      <c r="D347" s="229"/>
      <c r="E347" s="135"/>
      <c r="F347" s="189"/>
      <c r="G347" s="135"/>
      <c r="H347" s="135"/>
      <c r="I347" s="135"/>
      <c r="J347" s="135"/>
      <c r="K347" s="135"/>
      <c r="L347" s="189"/>
      <c r="M347" s="135"/>
      <c r="N347" s="189"/>
      <c r="O347" s="135"/>
      <c r="P347" s="229"/>
      <c r="Q347" s="135"/>
      <c r="R347" s="135"/>
      <c r="S347" s="135"/>
      <c r="T347" s="135"/>
      <c r="U347" s="135"/>
      <c r="V347" s="135"/>
    </row>
    <row r="348" customFormat="false" ht="15.75" hidden="false" customHeight="true" outlineLevel="0" collapsed="false">
      <c r="A348" s="135"/>
      <c r="B348" s="135"/>
      <c r="C348" s="135"/>
      <c r="D348" s="229"/>
      <c r="E348" s="135"/>
      <c r="F348" s="189"/>
      <c r="G348" s="135"/>
      <c r="H348" s="135"/>
      <c r="I348" s="135"/>
      <c r="J348" s="135"/>
      <c r="K348" s="135"/>
      <c r="L348" s="189"/>
      <c r="M348" s="135"/>
      <c r="N348" s="189"/>
      <c r="O348" s="135"/>
      <c r="P348" s="229"/>
      <c r="Q348" s="135"/>
      <c r="R348" s="135"/>
      <c r="S348" s="135"/>
      <c r="T348" s="135"/>
      <c r="U348" s="135"/>
      <c r="V348" s="135"/>
    </row>
    <row r="349" customFormat="false" ht="15.75" hidden="false" customHeight="true" outlineLevel="0" collapsed="false">
      <c r="A349" s="135"/>
      <c r="B349" s="135"/>
      <c r="C349" s="135"/>
      <c r="D349" s="229"/>
      <c r="E349" s="135"/>
      <c r="F349" s="189"/>
      <c r="G349" s="135"/>
      <c r="H349" s="135"/>
      <c r="I349" s="135"/>
      <c r="J349" s="135"/>
      <c r="K349" s="135"/>
      <c r="L349" s="189"/>
      <c r="M349" s="135"/>
      <c r="N349" s="189"/>
      <c r="O349" s="135"/>
      <c r="P349" s="229"/>
      <c r="Q349" s="135"/>
      <c r="R349" s="135"/>
      <c r="S349" s="135"/>
      <c r="T349" s="135"/>
      <c r="U349" s="135"/>
      <c r="V349" s="135"/>
    </row>
    <row r="350" customFormat="false" ht="15.75" hidden="false" customHeight="true" outlineLevel="0" collapsed="false">
      <c r="A350" s="135"/>
      <c r="B350" s="135"/>
      <c r="C350" s="135"/>
      <c r="D350" s="229"/>
      <c r="E350" s="135"/>
      <c r="F350" s="189"/>
      <c r="G350" s="135"/>
      <c r="H350" s="135"/>
      <c r="I350" s="135"/>
      <c r="J350" s="135"/>
      <c r="K350" s="135"/>
      <c r="L350" s="189"/>
      <c r="M350" s="135"/>
      <c r="N350" s="189"/>
      <c r="O350" s="135"/>
      <c r="P350" s="229"/>
      <c r="Q350" s="135"/>
      <c r="R350" s="135"/>
      <c r="S350" s="135"/>
      <c r="T350" s="135"/>
      <c r="U350" s="135"/>
      <c r="V350" s="135"/>
    </row>
    <row r="351" customFormat="false" ht="15.75" hidden="false" customHeight="true" outlineLevel="0" collapsed="false">
      <c r="A351" s="135"/>
      <c r="B351" s="135"/>
      <c r="C351" s="135"/>
      <c r="D351" s="229"/>
      <c r="E351" s="135"/>
      <c r="F351" s="189"/>
      <c r="G351" s="135"/>
      <c r="H351" s="135"/>
      <c r="I351" s="135"/>
      <c r="J351" s="135"/>
      <c r="K351" s="135"/>
      <c r="L351" s="189"/>
      <c r="M351" s="135"/>
      <c r="N351" s="189"/>
      <c r="O351" s="135"/>
      <c r="P351" s="229"/>
      <c r="Q351" s="135"/>
      <c r="R351" s="135"/>
      <c r="S351" s="135"/>
      <c r="T351" s="135"/>
      <c r="U351" s="135"/>
      <c r="V351" s="135"/>
    </row>
    <row r="352" customFormat="false" ht="15.75" hidden="false" customHeight="true" outlineLevel="0" collapsed="false">
      <c r="A352" s="135"/>
      <c r="B352" s="135"/>
      <c r="C352" s="135"/>
      <c r="D352" s="229"/>
      <c r="E352" s="135"/>
      <c r="F352" s="189"/>
      <c r="G352" s="135"/>
      <c r="H352" s="135"/>
      <c r="I352" s="135"/>
      <c r="J352" s="135"/>
      <c r="K352" s="135"/>
      <c r="L352" s="189"/>
      <c r="M352" s="135"/>
      <c r="N352" s="189"/>
      <c r="O352" s="135"/>
      <c r="P352" s="229"/>
      <c r="Q352" s="135"/>
      <c r="R352" s="135"/>
      <c r="S352" s="135"/>
      <c r="T352" s="135"/>
      <c r="U352" s="135"/>
      <c r="V352" s="135"/>
    </row>
    <row r="353" customFormat="false" ht="15.75" hidden="false" customHeight="true" outlineLevel="0" collapsed="false">
      <c r="A353" s="135"/>
      <c r="B353" s="135"/>
      <c r="C353" s="135"/>
      <c r="D353" s="229"/>
      <c r="E353" s="135"/>
      <c r="F353" s="189"/>
      <c r="G353" s="135"/>
      <c r="H353" s="135"/>
      <c r="I353" s="135"/>
      <c r="J353" s="135"/>
      <c r="K353" s="135"/>
      <c r="L353" s="189"/>
      <c r="M353" s="135"/>
      <c r="N353" s="189"/>
      <c r="O353" s="135"/>
      <c r="P353" s="229"/>
      <c r="Q353" s="135"/>
      <c r="R353" s="135"/>
      <c r="S353" s="135"/>
      <c r="T353" s="135"/>
      <c r="U353" s="135"/>
      <c r="V353" s="135"/>
    </row>
    <row r="354" customFormat="false" ht="15.75" hidden="false" customHeight="true" outlineLevel="0" collapsed="false">
      <c r="A354" s="135"/>
      <c r="B354" s="135"/>
      <c r="C354" s="135"/>
      <c r="D354" s="229"/>
      <c r="E354" s="135"/>
      <c r="F354" s="189"/>
      <c r="G354" s="135"/>
      <c r="H354" s="135"/>
      <c r="I354" s="135"/>
      <c r="J354" s="135"/>
      <c r="K354" s="135"/>
      <c r="L354" s="189"/>
      <c r="M354" s="135"/>
      <c r="N354" s="189"/>
      <c r="O354" s="135"/>
      <c r="P354" s="229"/>
      <c r="Q354" s="135"/>
      <c r="R354" s="135"/>
      <c r="S354" s="135"/>
      <c r="T354" s="135"/>
      <c r="U354" s="135"/>
      <c r="V354" s="135"/>
    </row>
    <row r="355" customFormat="false" ht="15.75" hidden="false" customHeight="true" outlineLevel="0" collapsed="false">
      <c r="A355" s="135"/>
      <c r="B355" s="135"/>
      <c r="C355" s="135"/>
      <c r="D355" s="229"/>
      <c r="E355" s="135"/>
      <c r="F355" s="189"/>
      <c r="G355" s="135"/>
      <c r="H355" s="135"/>
      <c r="I355" s="135"/>
      <c r="J355" s="135"/>
      <c r="K355" s="135"/>
      <c r="L355" s="189"/>
      <c r="M355" s="135"/>
      <c r="N355" s="189"/>
      <c r="O355" s="135"/>
      <c r="P355" s="229"/>
      <c r="Q355" s="135"/>
      <c r="R355" s="135"/>
      <c r="S355" s="135"/>
      <c r="T355" s="135"/>
      <c r="U355" s="135"/>
      <c r="V355" s="135"/>
    </row>
    <row r="356" customFormat="false" ht="15.75" hidden="false" customHeight="true" outlineLevel="0" collapsed="false">
      <c r="A356" s="135"/>
      <c r="B356" s="135"/>
      <c r="C356" s="135"/>
      <c r="D356" s="229"/>
      <c r="E356" s="135"/>
      <c r="F356" s="189"/>
      <c r="G356" s="135"/>
      <c r="H356" s="135"/>
      <c r="I356" s="135"/>
      <c r="J356" s="135"/>
      <c r="K356" s="135"/>
      <c r="L356" s="189"/>
      <c r="M356" s="135"/>
      <c r="N356" s="189"/>
      <c r="O356" s="135"/>
      <c r="P356" s="229"/>
      <c r="Q356" s="135"/>
      <c r="R356" s="135"/>
      <c r="S356" s="135"/>
      <c r="T356" s="135"/>
      <c r="U356" s="135"/>
      <c r="V356" s="135"/>
    </row>
    <row r="357" customFormat="false" ht="15.75" hidden="false" customHeight="true" outlineLevel="0" collapsed="false">
      <c r="A357" s="135"/>
      <c r="B357" s="135"/>
      <c r="C357" s="135"/>
      <c r="D357" s="229"/>
      <c r="E357" s="135"/>
      <c r="F357" s="189"/>
      <c r="G357" s="135"/>
      <c r="H357" s="135"/>
      <c r="I357" s="135"/>
      <c r="J357" s="135"/>
      <c r="K357" s="135"/>
      <c r="L357" s="189"/>
      <c r="M357" s="135"/>
      <c r="N357" s="189"/>
      <c r="O357" s="135"/>
      <c r="P357" s="229"/>
      <c r="Q357" s="135"/>
      <c r="R357" s="135"/>
      <c r="S357" s="135"/>
      <c r="T357" s="135"/>
      <c r="U357" s="135"/>
      <c r="V357" s="135"/>
    </row>
    <row r="358" customFormat="false" ht="15.75" hidden="false" customHeight="true" outlineLevel="0" collapsed="false">
      <c r="A358" s="135"/>
      <c r="B358" s="135"/>
      <c r="C358" s="135"/>
      <c r="D358" s="229"/>
      <c r="E358" s="135"/>
      <c r="F358" s="189"/>
      <c r="G358" s="135"/>
      <c r="H358" s="135"/>
      <c r="I358" s="135"/>
      <c r="J358" s="135"/>
      <c r="K358" s="135"/>
      <c r="L358" s="189"/>
      <c r="M358" s="135"/>
      <c r="N358" s="189"/>
      <c r="O358" s="135"/>
      <c r="P358" s="229"/>
      <c r="Q358" s="135"/>
      <c r="R358" s="135"/>
      <c r="S358" s="135"/>
      <c r="T358" s="135"/>
      <c r="U358" s="135"/>
      <c r="V358" s="135"/>
    </row>
    <row r="359" customFormat="false" ht="15.75" hidden="false" customHeight="true" outlineLevel="0" collapsed="false">
      <c r="A359" s="135"/>
      <c r="B359" s="135"/>
      <c r="C359" s="135"/>
      <c r="D359" s="229"/>
      <c r="E359" s="135"/>
      <c r="F359" s="189"/>
      <c r="G359" s="135"/>
      <c r="H359" s="135"/>
      <c r="I359" s="135"/>
      <c r="J359" s="135"/>
      <c r="K359" s="135"/>
      <c r="L359" s="189"/>
      <c r="M359" s="135"/>
      <c r="N359" s="189"/>
      <c r="O359" s="135"/>
      <c r="P359" s="229"/>
      <c r="Q359" s="135"/>
      <c r="R359" s="135"/>
      <c r="S359" s="135"/>
      <c r="T359" s="135"/>
      <c r="U359" s="135"/>
      <c r="V359" s="135"/>
    </row>
    <row r="360" customFormat="false" ht="15.75" hidden="false" customHeight="true" outlineLevel="0" collapsed="false">
      <c r="A360" s="135"/>
      <c r="B360" s="135"/>
      <c r="C360" s="135"/>
      <c r="D360" s="229"/>
      <c r="E360" s="135"/>
      <c r="F360" s="189"/>
      <c r="G360" s="135"/>
      <c r="H360" s="135"/>
      <c r="I360" s="135"/>
      <c r="J360" s="135"/>
      <c r="K360" s="135"/>
      <c r="L360" s="189"/>
      <c r="M360" s="135"/>
      <c r="N360" s="189"/>
      <c r="O360" s="135"/>
      <c r="P360" s="229"/>
      <c r="Q360" s="135"/>
      <c r="R360" s="135"/>
      <c r="S360" s="135"/>
      <c r="T360" s="135"/>
      <c r="U360" s="135"/>
      <c r="V360" s="135"/>
    </row>
    <row r="361" customFormat="false" ht="15.75" hidden="false" customHeight="true" outlineLevel="0" collapsed="false">
      <c r="A361" s="135"/>
      <c r="B361" s="135"/>
      <c r="C361" s="135"/>
      <c r="D361" s="229"/>
      <c r="E361" s="135"/>
      <c r="F361" s="189"/>
      <c r="G361" s="135"/>
      <c r="H361" s="135"/>
      <c r="I361" s="135"/>
      <c r="J361" s="135"/>
      <c r="K361" s="135"/>
      <c r="L361" s="189"/>
      <c r="M361" s="135"/>
      <c r="N361" s="189"/>
      <c r="O361" s="135"/>
      <c r="P361" s="229"/>
      <c r="Q361" s="135"/>
      <c r="R361" s="135"/>
      <c r="S361" s="135"/>
      <c r="T361" s="135"/>
      <c r="U361" s="135"/>
      <c r="V361" s="135"/>
    </row>
    <row r="362" customFormat="false" ht="15.75" hidden="false" customHeight="true" outlineLevel="0" collapsed="false">
      <c r="A362" s="135"/>
      <c r="B362" s="135"/>
      <c r="C362" s="135"/>
      <c r="D362" s="229"/>
      <c r="E362" s="135"/>
      <c r="F362" s="189"/>
      <c r="G362" s="135"/>
      <c r="H362" s="135"/>
      <c r="I362" s="135"/>
      <c r="J362" s="135"/>
      <c r="K362" s="135"/>
      <c r="L362" s="189"/>
      <c r="M362" s="135"/>
      <c r="N362" s="189"/>
      <c r="O362" s="135"/>
      <c r="P362" s="229"/>
      <c r="Q362" s="135"/>
      <c r="R362" s="135"/>
      <c r="S362" s="135"/>
      <c r="T362" s="135"/>
      <c r="U362" s="135"/>
      <c r="V362" s="135"/>
    </row>
    <row r="363" customFormat="false" ht="15.75" hidden="false" customHeight="true" outlineLevel="0" collapsed="false">
      <c r="A363" s="135"/>
      <c r="B363" s="135"/>
      <c r="C363" s="135"/>
      <c r="D363" s="229"/>
      <c r="E363" s="135"/>
      <c r="F363" s="189"/>
      <c r="G363" s="135"/>
      <c r="H363" s="135"/>
      <c r="I363" s="135"/>
      <c r="J363" s="135"/>
      <c r="K363" s="135"/>
      <c r="L363" s="189"/>
      <c r="M363" s="135"/>
      <c r="N363" s="189"/>
      <c r="O363" s="135"/>
      <c r="P363" s="229"/>
      <c r="Q363" s="135"/>
      <c r="R363" s="135"/>
      <c r="S363" s="135"/>
      <c r="T363" s="135"/>
      <c r="U363" s="135"/>
      <c r="V363" s="135"/>
    </row>
    <row r="364" customFormat="false" ht="15.75" hidden="false" customHeight="true" outlineLevel="0" collapsed="false">
      <c r="A364" s="135"/>
      <c r="B364" s="135"/>
      <c r="C364" s="135"/>
      <c r="D364" s="229"/>
      <c r="E364" s="135"/>
      <c r="F364" s="189"/>
      <c r="G364" s="135"/>
      <c r="H364" s="135"/>
      <c r="I364" s="135"/>
      <c r="J364" s="135"/>
      <c r="K364" s="135"/>
      <c r="L364" s="189"/>
      <c r="M364" s="135"/>
      <c r="N364" s="189"/>
      <c r="O364" s="135"/>
      <c r="P364" s="229"/>
      <c r="Q364" s="135"/>
      <c r="R364" s="135"/>
      <c r="S364" s="135"/>
      <c r="T364" s="135"/>
      <c r="U364" s="135"/>
      <c r="V364" s="135"/>
    </row>
    <row r="365" customFormat="false" ht="15.75" hidden="false" customHeight="true" outlineLevel="0" collapsed="false">
      <c r="A365" s="135"/>
      <c r="B365" s="135"/>
      <c r="C365" s="135"/>
      <c r="D365" s="229"/>
      <c r="E365" s="135"/>
      <c r="F365" s="189"/>
      <c r="G365" s="135"/>
      <c r="H365" s="135"/>
      <c r="I365" s="135"/>
      <c r="J365" s="135"/>
      <c r="K365" s="135"/>
      <c r="L365" s="189"/>
      <c r="M365" s="135"/>
      <c r="N365" s="189"/>
      <c r="O365" s="135"/>
      <c r="P365" s="229"/>
      <c r="Q365" s="135"/>
      <c r="R365" s="135"/>
      <c r="S365" s="135"/>
      <c r="T365" s="135"/>
      <c r="U365" s="135"/>
      <c r="V365" s="135"/>
    </row>
    <row r="366" customFormat="false" ht="15.75" hidden="false" customHeight="true" outlineLevel="0" collapsed="false">
      <c r="A366" s="135"/>
      <c r="B366" s="135"/>
      <c r="C366" s="135"/>
      <c r="D366" s="229"/>
      <c r="E366" s="135"/>
      <c r="F366" s="189"/>
      <c r="G366" s="135"/>
      <c r="H366" s="135"/>
      <c r="I366" s="135"/>
      <c r="J366" s="135"/>
      <c r="K366" s="135"/>
      <c r="L366" s="189"/>
      <c r="M366" s="135"/>
      <c r="N366" s="189"/>
      <c r="O366" s="135"/>
      <c r="P366" s="229"/>
      <c r="Q366" s="135"/>
      <c r="R366" s="135"/>
      <c r="S366" s="135"/>
      <c r="T366" s="135"/>
      <c r="U366" s="135"/>
      <c r="V366" s="135"/>
    </row>
    <row r="367" customFormat="false" ht="15.75" hidden="false" customHeight="true" outlineLevel="0" collapsed="false">
      <c r="A367" s="135"/>
      <c r="B367" s="135"/>
      <c r="C367" s="135"/>
      <c r="D367" s="229"/>
      <c r="E367" s="135"/>
      <c r="F367" s="189"/>
      <c r="G367" s="135"/>
      <c r="H367" s="135"/>
      <c r="I367" s="135"/>
      <c r="J367" s="135"/>
      <c r="K367" s="135"/>
      <c r="L367" s="189"/>
      <c r="M367" s="135"/>
      <c r="N367" s="189"/>
      <c r="O367" s="135"/>
      <c r="P367" s="229"/>
      <c r="Q367" s="135"/>
      <c r="R367" s="135"/>
      <c r="S367" s="135"/>
      <c r="T367" s="135"/>
      <c r="U367" s="135"/>
      <c r="V367" s="135"/>
    </row>
    <row r="368" customFormat="false" ht="15.75" hidden="false" customHeight="true" outlineLevel="0" collapsed="false">
      <c r="A368" s="135"/>
      <c r="B368" s="135"/>
      <c r="C368" s="135"/>
      <c r="D368" s="229"/>
      <c r="E368" s="135"/>
      <c r="F368" s="189"/>
      <c r="G368" s="135"/>
      <c r="H368" s="135"/>
      <c r="I368" s="135"/>
      <c r="J368" s="135"/>
      <c r="K368" s="135"/>
      <c r="L368" s="189"/>
      <c r="M368" s="135"/>
      <c r="N368" s="189"/>
      <c r="O368" s="135"/>
      <c r="P368" s="229"/>
      <c r="Q368" s="135"/>
      <c r="R368" s="135"/>
      <c r="S368" s="135"/>
      <c r="T368" s="135"/>
      <c r="U368" s="135"/>
      <c r="V368" s="135"/>
    </row>
    <row r="369" customFormat="false" ht="15.75" hidden="false" customHeight="true" outlineLevel="0" collapsed="false">
      <c r="A369" s="135"/>
      <c r="B369" s="135"/>
      <c r="C369" s="135"/>
      <c r="D369" s="229"/>
      <c r="E369" s="135"/>
      <c r="F369" s="189"/>
      <c r="G369" s="135"/>
      <c r="H369" s="135"/>
      <c r="I369" s="135"/>
      <c r="J369" s="135"/>
      <c r="K369" s="135"/>
      <c r="L369" s="189"/>
      <c r="M369" s="135"/>
      <c r="N369" s="189"/>
      <c r="O369" s="135"/>
      <c r="P369" s="229"/>
      <c r="Q369" s="135"/>
      <c r="R369" s="135"/>
      <c r="S369" s="135"/>
      <c r="T369" s="135"/>
      <c r="U369" s="135"/>
      <c r="V369" s="135"/>
    </row>
    <row r="370" customFormat="false" ht="15.75" hidden="false" customHeight="true" outlineLevel="0" collapsed="false">
      <c r="A370" s="135"/>
      <c r="B370" s="135"/>
      <c r="C370" s="135"/>
      <c r="D370" s="229"/>
      <c r="E370" s="135"/>
      <c r="F370" s="189"/>
      <c r="G370" s="135"/>
      <c r="H370" s="135"/>
      <c r="I370" s="135"/>
      <c r="J370" s="135"/>
      <c r="K370" s="135"/>
      <c r="L370" s="189"/>
      <c r="M370" s="135"/>
      <c r="N370" s="189"/>
      <c r="O370" s="135"/>
      <c r="P370" s="229"/>
      <c r="Q370" s="135"/>
      <c r="R370" s="135"/>
      <c r="S370" s="135"/>
      <c r="T370" s="135"/>
      <c r="U370" s="135"/>
      <c r="V370" s="135"/>
    </row>
    <row r="371" customFormat="false" ht="15.75" hidden="false" customHeight="true" outlineLevel="0" collapsed="false">
      <c r="A371" s="135"/>
      <c r="B371" s="135"/>
      <c r="C371" s="135"/>
      <c r="D371" s="229"/>
      <c r="E371" s="135"/>
      <c r="F371" s="189"/>
      <c r="G371" s="135"/>
      <c r="H371" s="135"/>
      <c r="I371" s="135"/>
      <c r="J371" s="135"/>
      <c r="K371" s="135"/>
      <c r="L371" s="189"/>
      <c r="M371" s="135"/>
      <c r="N371" s="189"/>
      <c r="O371" s="135"/>
      <c r="P371" s="229"/>
      <c r="Q371" s="135"/>
      <c r="R371" s="135"/>
      <c r="S371" s="135"/>
      <c r="T371" s="135"/>
      <c r="U371" s="135"/>
      <c r="V371" s="135"/>
    </row>
    <row r="372" customFormat="false" ht="15.75" hidden="false" customHeight="true" outlineLevel="0" collapsed="false">
      <c r="A372" s="135"/>
      <c r="B372" s="135"/>
      <c r="C372" s="135"/>
      <c r="D372" s="229"/>
      <c r="E372" s="135"/>
      <c r="F372" s="189"/>
      <c r="G372" s="135"/>
      <c r="H372" s="135"/>
      <c r="I372" s="135"/>
      <c r="J372" s="135"/>
      <c r="K372" s="135"/>
      <c r="L372" s="189"/>
      <c r="M372" s="135"/>
      <c r="N372" s="189"/>
      <c r="O372" s="135"/>
      <c r="P372" s="229"/>
      <c r="Q372" s="135"/>
      <c r="R372" s="135"/>
      <c r="S372" s="135"/>
      <c r="T372" s="135"/>
      <c r="U372" s="135"/>
      <c r="V372" s="135"/>
    </row>
    <row r="373" customFormat="false" ht="15.75" hidden="false" customHeight="true" outlineLevel="0" collapsed="false">
      <c r="A373" s="135"/>
      <c r="B373" s="135"/>
      <c r="C373" s="135"/>
      <c r="D373" s="229"/>
      <c r="E373" s="135"/>
      <c r="F373" s="189"/>
      <c r="G373" s="135"/>
      <c r="H373" s="135"/>
      <c r="I373" s="135"/>
      <c r="J373" s="135"/>
      <c r="K373" s="135"/>
      <c r="L373" s="189"/>
      <c r="M373" s="135"/>
      <c r="N373" s="189"/>
      <c r="O373" s="135"/>
      <c r="P373" s="229"/>
      <c r="Q373" s="135"/>
      <c r="R373" s="135"/>
      <c r="S373" s="135"/>
      <c r="T373" s="135"/>
      <c r="U373" s="135"/>
      <c r="V373" s="135"/>
    </row>
    <row r="374" customFormat="false" ht="15.75" hidden="false" customHeight="true" outlineLevel="0" collapsed="false">
      <c r="A374" s="135"/>
      <c r="B374" s="135"/>
      <c r="C374" s="135"/>
      <c r="D374" s="229"/>
      <c r="E374" s="135"/>
      <c r="F374" s="189"/>
      <c r="G374" s="135"/>
      <c r="H374" s="135"/>
      <c r="I374" s="135"/>
      <c r="J374" s="135"/>
      <c r="K374" s="135"/>
      <c r="L374" s="189"/>
      <c r="M374" s="135"/>
      <c r="N374" s="189"/>
      <c r="O374" s="135"/>
      <c r="P374" s="229"/>
      <c r="Q374" s="135"/>
      <c r="R374" s="135"/>
      <c r="S374" s="135"/>
      <c r="T374" s="135"/>
      <c r="U374" s="135"/>
      <c r="V374" s="135"/>
    </row>
    <row r="375" customFormat="false" ht="15.75" hidden="false" customHeight="true" outlineLevel="0" collapsed="false">
      <c r="A375" s="135"/>
      <c r="B375" s="135"/>
      <c r="C375" s="135"/>
      <c r="D375" s="229"/>
      <c r="E375" s="135"/>
      <c r="F375" s="189"/>
      <c r="G375" s="135"/>
      <c r="H375" s="135"/>
      <c r="I375" s="135"/>
      <c r="J375" s="135"/>
      <c r="K375" s="135"/>
      <c r="L375" s="189"/>
      <c r="M375" s="135"/>
      <c r="N375" s="189"/>
      <c r="O375" s="135"/>
      <c r="P375" s="229"/>
      <c r="Q375" s="135"/>
      <c r="R375" s="135"/>
      <c r="S375" s="135"/>
      <c r="T375" s="135"/>
      <c r="U375" s="135"/>
      <c r="V375" s="135"/>
    </row>
    <row r="376" customFormat="false" ht="15.75" hidden="false" customHeight="true" outlineLevel="0" collapsed="false">
      <c r="A376" s="135"/>
      <c r="B376" s="135"/>
      <c r="C376" s="135"/>
      <c r="D376" s="229"/>
      <c r="E376" s="135"/>
      <c r="F376" s="189"/>
      <c r="G376" s="135"/>
      <c r="H376" s="135"/>
      <c r="I376" s="135"/>
      <c r="J376" s="135"/>
      <c r="K376" s="135"/>
      <c r="L376" s="189"/>
      <c r="M376" s="135"/>
      <c r="N376" s="189"/>
      <c r="O376" s="135"/>
      <c r="P376" s="229"/>
      <c r="Q376" s="135"/>
      <c r="R376" s="135"/>
      <c r="S376" s="135"/>
      <c r="T376" s="135"/>
      <c r="U376" s="135"/>
      <c r="V376" s="135"/>
    </row>
    <row r="377" customFormat="false" ht="15.75" hidden="false" customHeight="true" outlineLevel="0" collapsed="false">
      <c r="A377" s="135"/>
      <c r="B377" s="135"/>
      <c r="C377" s="135"/>
      <c r="D377" s="229"/>
      <c r="E377" s="135"/>
      <c r="F377" s="189"/>
      <c r="G377" s="135"/>
      <c r="H377" s="135"/>
      <c r="I377" s="135"/>
      <c r="J377" s="135"/>
      <c r="K377" s="135"/>
      <c r="L377" s="189"/>
      <c r="M377" s="135"/>
      <c r="N377" s="189"/>
      <c r="O377" s="135"/>
      <c r="P377" s="229"/>
      <c r="Q377" s="135"/>
      <c r="R377" s="135"/>
      <c r="S377" s="135"/>
      <c r="T377" s="135"/>
      <c r="U377" s="135"/>
      <c r="V377" s="135"/>
    </row>
    <row r="378" customFormat="false" ht="15.75" hidden="false" customHeight="true" outlineLevel="0" collapsed="false">
      <c r="A378" s="135"/>
      <c r="B378" s="135"/>
      <c r="C378" s="135"/>
      <c r="D378" s="229"/>
      <c r="E378" s="135"/>
      <c r="F378" s="189"/>
      <c r="G378" s="135"/>
      <c r="H378" s="135"/>
      <c r="I378" s="135"/>
      <c r="J378" s="135"/>
      <c r="K378" s="135"/>
      <c r="L378" s="189"/>
      <c r="M378" s="135"/>
      <c r="N378" s="189"/>
      <c r="O378" s="135"/>
      <c r="P378" s="229"/>
      <c r="Q378" s="135"/>
      <c r="R378" s="135"/>
      <c r="S378" s="135"/>
      <c r="T378" s="135"/>
      <c r="U378" s="135"/>
      <c r="V378" s="135"/>
    </row>
    <row r="379" customFormat="false" ht="15.75" hidden="false" customHeight="true" outlineLevel="0" collapsed="false">
      <c r="A379" s="135"/>
      <c r="B379" s="135"/>
      <c r="C379" s="135"/>
      <c r="D379" s="229"/>
      <c r="E379" s="135"/>
      <c r="F379" s="189"/>
      <c r="G379" s="135"/>
      <c r="H379" s="135"/>
      <c r="I379" s="135"/>
      <c r="J379" s="135"/>
      <c r="K379" s="135"/>
      <c r="L379" s="189"/>
      <c r="M379" s="135"/>
      <c r="N379" s="189"/>
      <c r="O379" s="135"/>
      <c r="P379" s="229"/>
      <c r="Q379" s="135"/>
      <c r="R379" s="135"/>
      <c r="S379" s="135"/>
      <c r="T379" s="135"/>
      <c r="U379" s="135"/>
      <c r="V379" s="135"/>
    </row>
    <row r="380" customFormat="false" ht="15.75" hidden="false" customHeight="true" outlineLevel="0" collapsed="false">
      <c r="A380" s="135"/>
      <c r="B380" s="135"/>
      <c r="C380" s="135"/>
      <c r="D380" s="229"/>
      <c r="E380" s="135"/>
      <c r="F380" s="189"/>
      <c r="G380" s="135"/>
      <c r="H380" s="135"/>
      <c r="I380" s="135"/>
      <c r="J380" s="135"/>
      <c r="K380" s="135"/>
      <c r="L380" s="189"/>
      <c r="M380" s="135"/>
      <c r="N380" s="189"/>
      <c r="O380" s="135"/>
      <c r="P380" s="229"/>
      <c r="Q380" s="135"/>
      <c r="R380" s="135"/>
      <c r="S380" s="135"/>
      <c r="T380" s="135"/>
      <c r="U380" s="135"/>
      <c r="V380" s="135"/>
    </row>
    <row r="381" customFormat="false" ht="15.75" hidden="false" customHeight="true" outlineLevel="0" collapsed="false">
      <c r="A381" s="135"/>
      <c r="B381" s="135"/>
      <c r="C381" s="135"/>
      <c r="D381" s="229"/>
      <c r="E381" s="135"/>
      <c r="F381" s="189"/>
      <c r="G381" s="135"/>
      <c r="H381" s="135"/>
      <c r="I381" s="135"/>
      <c r="J381" s="135"/>
      <c r="K381" s="135"/>
      <c r="L381" s="189"/>
      <c r="M381" s="135"/>
      <c r="N381" s="189"/>
      <c r="O381" s="135"/>
      <c r="P381" s="229"/>
      <c r="Q381" s="135"/>
      <c r="R381" s="135"/>
      <c r="S381" s="135"/>
      <c r="T381" s="135"/>
      <c r="U381" s="135"/>
      <c r="V381" s="135"/>
    </row>
    <row r="382" customFormat="false" ht="15.75" hidden="false" customHeight="true" outlineLevel="0" collapsed="false">
      <c r="A382" s="135"/>
      <c r="B382" s="135"/>
      <c r="C382" s="135"/>
      <c r="D382" s="229"/>
      <c r="E382" s="135"/>
      <c r="F382" s="189"/>
      <c r="G382" s="135"/>
      <c r="H382" s="135"/>
      <c r="I382" s="135"/>
      <c r="J382" s="135"/>
      <c r="K382" s="135"/>
      <c r="L382" s="189"/>
      <c r="M382" s="135"/>
      <c r="N382" s="189"/>
      <c r="O382" s="135"/>
      <c r="P382" s="229"/>
      <c r="Q382" s="135"/>
      <c r="R382" s="135"/>
      <c r="S382" s="135"/>
      <c r="T382" s="135"/>
      <c r="U382" s="135"/>
      <c r="V382" s="135"/>
    </row>
    <row r="383" customFormat="false" ht="15.75" hidden="false" customHeight="true" outlineLevel="0" collapsed="false">
      <c r="A383" s="135"/>
      <c r="B383" s="135"/>
      <c r="C383" s="135"/>
      <c r="D383" s="229"/>
      <c r="E383" s="135"/>
      <c r="F383" s="189"/>
      <c r="G383" s="135"/>
      <c r="H383" s="135"/>
      <c r="I383" s="135"/>
      <c r="J383" s="135"/>
      <c r="K383" s="135"/>
      <c r="L383" s="189"/>
      <c r="M383" s="135"/>
      <c r="N383" s="189"/>
      <c r="O383" s="135"/>
      <c r="P383" s="229"/>
      <c r="Q383" s="135"/>
      <c r="R383" s="135"/>
      <c r="S383" s="135"/>
      <c r="T383" s="135"/>
      <c r="U383" s="135"/>
      <c r="V383" s="135"/>
    </row>
    <row r="384" customFormat="false" ht="15.75" hidden="false" customHeight="true" outlineLevel="0" collapsed="false">
      <c r="A384" s="135"/>
      <c r="B384" s="135"/>
      <c r="C384" s="135"/>
      <c r="D384" s="229"/>
      <c r="E384" s="135"/>
      <c r="F384" s="189"/>
      <c r="G384" s="135"/>
      <c r="H384" s="135"/>
      <c r="I384" s="135"/>
      <c r="J384" s="135"/>
      <c r="K384" s="135"/>
      <c r="L384" s="189"/>
      <c r="M384" s="135"/>
      <c r="N384" s="189"/>
      <c r="O384" s="135"/>
      <c r="P384" s="229"/>
      <c r="Q384" s="135"/>
      <c r="R384" s="135"/>
      <c r="S384" s="135"/>
      <c r="T384" s="135"/>
      <c r="U384" s="135"/>
      <c r="V384" s="135"/>
    </row>
    <row r="385" customFormat="false" ht="15.75" hidden="false" customHeight="true" outlineLevel="0" collapsed="false">
      <c r="A385" s="135"/>
      <c r="B385" s="135"/>
      <c r="C385" s="135"/>
      <c r="D385" s="229"/>
      <c r="E385" s="135"/>
      <c r="F385" s="189"/>
      <c r="G385" s="135"/>
      <c r="H385" s="135"/>
      <c r="I385" s="135"/>
      <c r="J385" s="135"/>
      <c r="K385" s="135"/>
      <c r="L385" s="189"/>
      <c r="M385" s="135"/>
      <c r="N385" s="189"/>
      <c r="O385" s="135"/>
      <c r="P385" s="229"/>
      <c r="Q385" s="135"/>
      <c r="R385" s="135"/>
      <c r="S385" s="135"/>
      <c r="T385" s="135"/>
      <c r="U385" s="135"/>
      <c r="V385" s="135"/>
    </row>
    <row r="386" customFormat="false" ht="15.75" hidden="false" customHeight="true" outlineLevel="0" collapsed="false">
      <c r="A386" s="135"/>
      <c r="B386" s="135"/>
      <c r="C386" s="135"/>
      <c r="D386" s="229"/>
      <c r="E386" s="135"/>
      <c r="F386" s="189"/>
      <c r="G386" s="135"/>
      <c r="H386" s="135"/>
      <c r="I386" s="135"/>
      <c r="J386" s="135"/>
      <c r="K386" s="135"/>
      <c r="L386" s="189"/>
      <c r="M386" s="135"/>
      <c r="N386" s="189"/>
      <c r="O386" s="135"/>
      <c r="P386" s="229"/>
      <c r="Q386" s="135"/>
      <c r="R386" s="135"/>
      <c r="S386" s="135"/>
      <c r="T386" s="135"/>
      <c r="U386" s="135"/>
      <c r="V386" s="135"/>
    </row>
    <row r="387" customFormat="false" ht="15.75" hidden="false" customHeight="true" outlineLevel="0" collapsed="false">
      <c r="A387" s="135"/>
      <c r="B387" s="135"/>
      <c r="C387" s="135"/>
      <c r="D387" s="229"/>
      <c r="E387" s="135"/>
      <c r="F387" s="189"/>
      <c r="G387" s="135"/>
      <c r="H387" s="135"/>
      <c r="I387" s="135"/>
      <c r="J387" s="135"/>
      <c r="K387" s="135"/>
      <c r="L387" s="189"/>
      <c r="M387" s="135"/>
      <c r="N387" s="189"/>
      <c r="O387" s="135"/>
      <c r="P387" s="229"/>
      <c r="Q387" s="135"/>
      <c r="R387" s="135"/>
      <c r="S387" s="135"/>
      <c r="T387" s="135"/>
      <c r="U387" s="135"/>
      <c r="V387" s="135"/>
    </row>
    <row r="388" customFormat="false" ht="15.75" hidden="false" customHeight="true" outlineLevel="0" collapsed="false">
      <c r="A388" s="135"/>
      <c r="B388" s="135"/>
      <c r="C388" s="135"/>
      <c r="D388" s="229"/>
      <c r="E388" s="135"/>
      <c r="F388" s="189"/>
      <c r="G388" s="135"/>
      <c r="H388" s="135"/>
      <c r="I388" s="135"/>
      <c r="J388" s="135"/>
      <c r="K388" s="135"/>
      <c r="L388" s="189"/>
      <c r="M388" s="135"/>
      <c r="N388" s="189"/>
      <c r="O388" s="135"/>
      <c r="P388" s="229"/>
      <c r="Q388" s="135"/>
      <c r="R388" s="135"/>
      <c r="S388" s="135"/>
      <c r="T388" s="135"/>
      <c r="U388" s="135"/>
      <c r="V388" s="135"/>
    </row>
    <row r="389" customFormat="false" ht="15.75" hidden="false" customHeight="true" outlineLevel="0" collapsed="false">
      <c r="A389" s="135"/>
      <c r="B389" s="135"/>
      <c r="C389" s="135"/>
      <c r="D389" s="229"/>
      <c r="E389" s="135"/>
      <c r="F389" s="189"/>
      <c r="G389" s="135"/>
      <c r="H389" s="135"/>
      <c r="I389" s="135"/>
      <c r="J389" s="135"/>
      <c r="K389" s="135"/>
      <c r="L389" s="189"/>
      <c r="M389" s="135"/>
      <c r="N389" s="189"/>
      <c r="O389" s="135"/>
      <c r="P389" s="229"/>
      <c r="Q389" s="135"/>
      <c r="R389" s="135"/>
      <c r="S389" s="135"/>
      <c r="T389" s="135"/>
      <c r="U389" s="135"/>
      <c r="V389" s="135"/>
    </row>
    <row r="390" customFormat="false" ht="15.75" hidden="false" customHeight="true" outlineLevel="0" collapsed="false">
      <c r="A390" s="135"/>
      <c r="B390" s="135"/>
      <c r="C390" s="135"/>
      <c r="D390" s="229"/>
      <c r="E390" s="135"/>
      <c r="F390" s="189"/>
      <c r="G390" s="135"/>
      <c r="H390" s="135"/>
      <c r="I390" s="135"/>
      <c r="J390" s="135"/>
      <c r="K390" s="135"/>
      <c r="L390" s="189"/>
      <c r="M390" s="135"/>
      <c r="N390" s="189"/>
      <c r="O390" s="135"/>
      <c r="P390" s="229"/>
      <c r="Q390" s="135"/>
      <c r="R390" s="135"/>
      <c r="S390" s="135"/>
      <c r="T390" s="135"/>
      <c r="U390" s="135"/>
      <c r="V390" s="135"/>
    </row>
    <row r="391" customFormat="false" ht="15.75" hidden="false" customHeight="true" outlineLevel="0" collapsed="false">
      <c r="A391" s="135"/>
      <c r="B391" s="135"/>
      <c r="C391" s="135"/>
      <c r="D391" s="229"/>
      <c r="E391" s="135"/>
      <c r="F391" s="189"/>
      <c r="G391" s="135"/>
      <c r="H391" s="135"/>
      <c r="I391" s="135"/>
      <c r="J391" s="135"/>
      <c r="K391" s="135"/>
      <c r="L391" s="189"/>
      <c r="M391" s="135"/>
      <c r="N391" s="189"/>
      <c r="O391" s="135"/>
      <c r="P391" s="229"/>
      <c r="Q391" s="135"/>
      <c r="R391" s="135"/>
      <c r="S391" s="135"/>
      <c r="T391" s="135"/>
      <c r="U391" s="135"/>
      <c r="V391" s="135"/>
    </row>
    <row r="392" customFormat="false" ht="15.75" hidden="false" customHeight="true" outlineLevel="0" collapsed="false">
      <c r="A392" s="135"/>
      <c r="B392" s="135"/>
      <c r="C392" s="135"/>
      <c r="D392" s="229"/>
      <c r="E392" s="135"/>
      <c r="F392" s="189"/>
      <c r="G392" s="135"/>
      <c r="H392" s="135"/>
      <c r="I392" s="135"/>
      <c r="J392" s="135"/>
      <c r="K392" s="135"/>
      <c r="L392" s="189"/>
      <c r="M392" s="135"/>
      <c r="N392" s="189"/>
      <c r="O392" s="135"/>
      <c r="P392" s="229"/>
      <c r="Q392" s="135"/>
      <c r="R392" s="135"/>
      <c r="S392" s="135"/>
      <c r="T392" s="135"/>
      <c r="U392" s="135"/>
      <c r="V392" s="135"/>
    </row>
    <row r="393" customFormat="false" ht="15.75" hidden="false" customHeight="true" outlineLevel="0" collapsed="false">
      <c r="A393" s="135"/>
      <c r="B393" s="135"/>
      <c r="C393" s="135"/>
      <c r="D393" s="229"/>
      <c r="E393" s="135"/>
      <c r="F393" s="189"/>
      <c r="G393" s="135"/>
      <c r="H393" s="135"/>
      <c r="I393" s="135"/>
      <c r="J393" s="135"/>
      <c r="K393" s="135"/>
      <c r="L393" s="189"/>
      <c r="M393" s="135"/>
      <c r="N393" s="189"/>
      <c r="O393" s="135"/>
      <c r="P393" s="229"/>
      <c r="Q393" s="135"/>
      <c r="R393" s="135"/>
      <c r="S393" s="135"/>
      <c r="T393" s="135"/>
      <c r="U393" s="135"/>
      <c r="V393" s="135"/>
    </row>
    <row r="394" customFormat="false" ht="15.75" hidden="false" customHeight="true" outlineLevel="0" collapsed="false">
      <c r="A394" s="135"/>
      <c r="B394" s="135"/>
      <c r="C394" s="135"/>
      <c r="D394" s="229"/>
      <c r="E394" s="135"/>
      <c r="F394" s="189"/>
      <c r="G394" s="135"/>
      <c r="H394" s="135"/>
      <c r="I394" s="135"/>
      <c r="J394" s="135"/>
      <c r="K394" s="135"/>
      <c r="L394" s="189"/>
      <c r="M394" s="135"/>
      <c r="N394" s="189"/>
      <c r="O394" s="135"/>
      <c r="P394" s="229"/>
      <c r="Q394" s="135"/>
      <c r="R394" s="135"/>
      <c r="S394" s="135"/>
      <c r="T394" s="135"/>
      <c r="U394" s="135"/>
      <c r="V394" s="135"/>
    </row>
    <row r="395" customFormat="false" ht="15.75" hidden="false" customHeight="true" outlineLevel="0" collapsed="false">
      <c r="A395" s="135"/>
      <c r="B395" s="135"/>
      <c r="C395" s="135"/>
      <c r="D395" s="229"/>
      <c r="E395" s="135"/>
      <c r="F395" s="189"/>
      <c r="G395" s="135"/>
      <c r="H395" s="135"/>
      <c r="I395" s="135"/>
      <c r="J395" s="135"/>
      <c r="K395" s="135"/>
      <c r="L395" s="189"/>
      <c r="M395" s="135"/>
      <c r="N395" s="189"/>
      <c r="O395" s="135"/>
      <c r="P395" s="229"/>
      <c r="Q395" s="135"/>
      <c r="R395" s="135"/>
      <c r="S395" s="135"/>
      <c r="T395" s="135"/>
      <c r="U395" s="135"/>
      <c r="V395" s="135"/>
    </row>
    <row r="396" customFormat="false" ht="15.75" hidden="false" customHeight="true" outlineLevel="0" collapsed="false">
      <c r="A396" s="135"/>
      <c r="B396" s="135"/>
      <c r="C396" s="135"/>
      <c r="D396" s="229"/>
      <c r="E396" s="135"/>
      <c r="F396" s="189"/>
      <c r="G396" s="135"/>
      <c r="H396" s="135"/>
      <c r="I396" s="135"/>
      <c r="J396" s="135"/>
      <c r="K396" s="135"/>
      <c r="L396" s="189"/>
      <c r="M396" s="135"/>
      <c r="N396" s="189"/>
      <c r="O396" s="135"/>
      <c r="P396" s="229"/>
      <c r="Q396" s="135"/>
      <c r="R396" s="135"/>
      <c r="S396" s="135"/>
      <c r="T396" s="135"/>
      <c r="U396" s="135"/>
      <c r="V396" s="135"/>
    </row>
    <row r="397" customFormat="false" ht="15.75" hidden="false" customHeight="true" outlineLevel="0" collapsed="false">
      <c r="A397" s="135"/>
      <c r="B397" s="135"/>
      <c r="C397" s="135"/>
      <c r="D397" s="229"/>
      <c r="E397" s="135"/>
      <c r="F397" s="189"/>
      <c r="G397" s="135"/>
      <c r="H397" s="135"/>
      <c r="I397" s="135"/>
      <c r="J397" s="135"/>
      <c r="K397" s="135"/>
      <c r="L397" s="189"/>
      <c r="M397" s="135"/>
      <c r="N397" s="189"/>
      <c r="O397" s="135"/>
      <c r="P397" s="229"/>
      <c r="Q397" s="135"/>
      <c r="R397" s="135"/>
      <c r="S397" s="135"/>
      <c r="T397" s="135"/>
      <c r="U397" s="135"/>
      <c r="V397" s="135"/>
    </row>
    <row r="398" customFormat="false" ht="15.75" hidden="false" customHeight="true" outlineLevel="0" collapsed="false">
      <c r="A398" s="135"/>
      <c r="B398" s="135"/>
      <c r="C398" s="135"/>
      <c r="D398" s="229"/>
      <c r="E398" s="135"/>
      <c r="F398" s="189"/>
      <c r="G398" s="135"/>
      <c r="H398" s="135"/>
      <c r="I398" s="135"/>
      <c r="J398" s="135"/>
      <c r="K398" s="135"/>
      <c r="L398" s="189"/>
      <c r="M398" s="135"/>
      <c r="N398" s="189"/>
      <c r="O398" s="135"/>
      <c r="P398" s="229"/>
      <c r="Q398" s="135"/>
      <c r="R398" s="135"/>
      <c r="S398" s="135"/>
      <c r="T398" s="135"/>
      <c r="U398" s="135"/>
      <c r="V398" s="135"/>
    </row>
    <row r="399" customFormat="false" ht="15.75" hidden="false" customHeight="true" outlineLevel="0" collapsed="false">
      <c r="A399" s="135"/>
      <c r="B399" s="135"/>
      <c r="C399" s="135"/>
      <c r="D399" s="229"/>
      <c r="E399" s="135"/>
      <c r="F399" s="189"/>
      <c r="G399" s="135"/>
      <c r="H399" s="135"/>
      <c r="I399" s="135"/>
      <c r="J399" s="135"/>
      <c r="K399" s="135"/>
      <c r="L399" s="189"/>
      <c r="M399" s="135"/>
      <c r="N399" s="189"/>
      <c r="O399" s="135"/>
      <c r="P399" s="229"/>
      <c r="Q399" s="135"/>
      <c r="R399" s="135"/>
      <c r="S399" s="135"/>
      <c r="T399" s="135"/>
      <c r="U399" s="135"/>
      <c r="V399" s="135"/>
    </row>
    <row r="400" customFormat="false" ht="15.75" hidden="false" customHeight="true" outlineLevel="0" collapsed="false">
      <c r="A400" s="135"/>
      <c r="B400" s="135"/>
      <c r="C400" s="135"/>
      <c r="D400" s="229"/>
      <c r="E400" s="135"/>
      <c r="F400" s="189"/>
      <c r="G400" s="135"/>
      <c r="H400" s="135"/>
      <c r="I400" s="135"/>
      <c r="J400" s="135"/>
      <c r="K400" s="135"/>
      <c r="L400" s="189"/>
      <c r="M400" s="135"/>
      <c r="N400" s="189"/>
      <c r="O400" s="135"/>
      <c r="P400" s="229"/>
      <c r="Q400" s="135"/>
      <c r="R400" s="135"/>
      <c r="S400" s="135"/>
      <c r="T400" s="135"/>
      <c r="U400" s="135"/>
      <c r="V400" s="135"/>
    </row>
    <row r="401" customFormat="false" ht="15.75" hidden="false" customHeight="true" outlineLevel="0" collapsed="false">
      <c r="A401" s="135"/>
      <c r="B401" s="135"/>
      <c r="C401" s="135"/>
      <c r="D401" s="229"/>
      <c r="E401" s="135"/>
      <c r="F401" s="189"/>
      <c r="G401" s="135"/>
      <c r="H401" s="135"/>
      <c r="I401" s="135"/>
      <c r="J401" s="135"/>
      <c r="K401" s="135"/>
      <c r="L401" s="189"/>
      <c r="M401" s="135"/>
      <c r="N401" s="189"/>
      <c r="O401" s="135"/>
      <c r="P401" s="229"/>
      <c r="Q401" s="135"/>
      <c r="R401" s="135"/>
      <c r="S401" s="135"/>
      <c r="T401" s="135"/>
      <c r="U401" s="135"/>
      <c r="V401" s="135"/>
    </row>
    <row r="402" customFormat="false" ht="15.75" hidden="false" customHeight="true" outlineLevel="0" collapsed="false">
      <c r="A402" s="135"/>
      <c r="B402" s="135"/>
      <c r="C402" s="135"/>
      <c r="D402" s="229"/>
      <c r="E402" s="135"/>
      <c r="F402" s="189"/>
      <c r="G402" s="135"/>
      <c r="H402" s="135"/>
      <c r="I402" s="135"/>
      <c r="J402" s="135"/>
      <c r="K402" s="135"/>
      <c r="L402" s="189"/>
      <c r="M402" s="135"/>
      <c r="N402" s="189"/>
      <c r="O402" s="135"/>
      <c r="P402" s="229"/>
      <c r="Q402" s="135"/>
      <c r="R402" s="135"/>
      <c r="S402" s="135"/>
      <c r="T402" s="135"/>
      <c r="U402" s="135"/>
      <c r="V402" s="135"/>
    </row>
    <row r="403" customFormat="false" ht="15.75" hidden="false" customHeight="true" outlineLevel="0" collapsed="false">
      <c r="A403" s="135"/>
      <c r="B403" s="135"/>
      <c r="C403" s="135"/>
      <c r="D403" s="229"/>
      <c r="E403" s="135"/>
      <c r="F403" s="189"/>
      <c r="G403" s="135"/>
      <c r="H403" s="135"/>
      <c r="I403" s="135"/>
      <c r="J403" s="135"/>
      <c r="K403" s="135"/>
      <c r="L403" s="189"/>
      <c r="M403" s="135"/>
      <c r="N403" s="189"/>
      <c r="O403" s="135"/>
      <c r="P403" s="229"/>
      <c r="Q403" s="135"/>
      <c r="R403" s="135"/>
      <c r="S403" s="135"/>
      <c r="T403" s="135"/>
      <c r="U403" s="135"/>
      <c r="V403" s="135"/>
    </row>
    <row r="404" customFormat="false" ht="15.75" hidden="false" customHeight="true" outlineLevel="0" collapsed="false">
      <c r="A404" s="135"/>
      <c r="B404" s="135"/>
      <c r="C404" s="135"/>
      <c r="D404" s="229"/>
      <c r="E404" s="135"/>
      <c r="F404" s="189"/>
      <c r="G404" s="135"/>
      <c r="H404" s="135"/>
      <c r="I404" s="135"/>
      <c r="J404" s="135"/>
      <c r="K404" s="135"/>
      <c r="L404" s="189"/>
      <c r="M404" s="135"/>
      <c r="N404" s="189"/>
      <c r="O404" s="135"/>
      <c r="P404" s="229"/>
      <c r="Q404" s="135"/>
      <c r="R404" s="135"/>
      <c r="S404" s="135"/>
      <c r="T404" s="135"/>
      <c r="U404" s="135"/>
      <c r="V404" s="135"/>
    </row>
    <row r="405" customFormat="false" ht="15.75" hidden="false" customHeight="true" outlineLevel="0" collapsed="false">
      <c r="A405" s="135"/>
      <c r="B405" s="135"/>
      <c r="C405" s="135"/>
      <c r="D405" s="229"/>
      <c r="E405" s="135"/>
      <c r="F405" s="189"/>
      <c r="G405" s="135"/>
      <c r="H405" s="135"/>
      <c r="I405" s="135"/>
      <c r="J405" s="135"/>
      <c r="K405" s="135"/>
      <c r="L405" s="189"/>
      <c r="M405" s="135"/>
      <c r="N405" s="189"/>
      <c r="O405" s="135"/>
      <c r="P405" s="229"/>
      <c r="Q405" s="135"/>
      <c r="R405" s="135"/>
      <c r="S405" s="135"/>
      <c r="T405" s="135"/>
      <c r="U405" s="135"/>
      <c r="V405" s="135"/>
    </row>
    <row r="406" customFormat="false" ht="15.75" hidden="false" customHeight="true" outlineLevel="0" collapsed="false">
      <c r="A406" s="135"/>
      <c r="B406" s="135"/>
      <c r="C406" s="135"/>
      <c r="D406" s="229"/>
      <c r="E406" s="135"/>
      <c r="F406" s="189"/>
      <c r="G406" s="135"/>
      <c r="H406" s="135"/>
      <c r="I406" s="135"/>
      <c r="J406" s="135"/>
      <c r="K406" s="135"/>
      <c r="L406" s="189"/>
      <c r="M406" s="135"/>
      <c r="N406" s="189"/>
      <c r="O406" s="135"/>
      <c r="P406" s="229"/>
      <c r="Q406" s="135"/>
      <c r="R406" s="135"/>
      <c r="S406" s="135"/>
      <c r="T406" s="135"/>
      <c r="U406" s="135"/>
      <c r="V406" s="135"/>
    </row>
    <row r="407" customFormat="false" ht="15.75" hidden="false" customHeight="true" outlineLevel="0" collapsed="false">
      <c r="A407" s="135"/>
      <c r="B407" s="135"/>
      <c r="C407" s="135"/>
      <c r="D407" s="229"/>
      <c r="E407" s="135"/>
      <c r="F407" s="189"/>
      <c r="G407" s="135"/>
      <c r="H407" s="135"/>
      <c r="I407" s="135"/>
      <c r="J407" s="135"/>
      <c r="K407" s="135"/>
      <c r="L407" s="189"/>
      <c r="M407" s="135"/>
      <c r="N407" s="189"/>
      <c r="O407" s="135"/>
      <c r="P407" s="229"/>
      <c r="Q407" s="135"/>
      <c r="R407" s="135"/>
      <c r="S407" s="135"/>
      <c r="T407" s="135"/>
      <c r="U407" s="135"/>
      <c r="V407" s="135"/>
    </row>
    <row r="408" customFormat="false" ht="15.75" hidden="false" customHeight="true" outlineLevel="0" collapsed="false">
      <c r="A408" s="135"/>
      <c r="B408" s="135"/>
      <c r="C408" s="135"/>
      <c r="D408" s="229"/>
      <c r="E408" s="135"/>
      <c r="F408" s="189"/>
      <c r="G408" s="135"/>
      <c r="H408" s="135"/>
      <c r="I408" s="135"/>
      <c r="J408" s="135"/>
      <c r="K408" s="135"/>
      <c r="L408" s="189"/>
      <c r="M408" s="135"/>
      <c r="N408" s="189"/>
      <c r="O408" s="135"/>
      <c r="P408" s="229"/>
      <c r="Q408" s="135"/>
      <c r="R408" s="135"/>
      <c r="S408" s="135"/>
      <c r="T408" s="135"/>
      <c r="U408" s="135"/>
      <c r="V408" s="135"/>
    </row>
    <row r="409" customFormat="false" ht="15.75" hidden="false" customHeight="true" outlineLevel="0" collapsed="false">
      <c r="A409" s="135"/>
      <c r="B409" s="135"/>
      <c r="C409" s="135"/>
      <c r="D409" s="229"/>
      <c r="E409" s="135"/>
      <c r="F409" s="189"/>
      <c r="G409" s="135"/>
      <c r="H409" s="135"/>
      <c r="I409" s="135"/>
      <c r="J409" s="135"/>
      <c r="K409" s="135"/>
      <c r="L409" s="189"/>
      <c r="M409" s="135"/>
      <c r="N409" s="189"/>
      <c r="O409" s="135"/>
      <c r="P409" s="229"/>
      <c r="Q409" s="135"/>
      <c r="R409" s="135"/>
      <c r="S409" s="135"/>
      <c r="T409" s="135"/>
      <c r="U409" s="135"/>
      <c r="V409" s="135"/>
    </row>
    <row r="410" customFormat="false" ht="15.75" hidden="false" customHeight="true" outlineLevel="0" collapsed="false">
      <c r="A410" s="135"/>
      <c r="B410" s="135"/>
      <c r="C410" s="135"/>
      <c r="D410" s="229"/>
      <c r="E410" s="135"/>
      <c r="F410" s="189"/>
      <c r="G410" s="135"/>
      <c r="H410" s="135"/>
      <c r="I410" s="135"/>
      <c r="J410" s="135"/>
      <c r="K410" s="135"/>
      <c r="L410" s="189"/>
      <c r="M410" s="135"/>
      <c r="N410" s="189"/>
      <c r="O410" s="135"/>
      <c r="P410" s="229"/>
      <c r="Q410" s="135"/>
      <c r="R410" s="135"/>
      <c r="S410" s="135"/>
      <c r="T410" s="135"/>
      <c r="U410" s="135"/>
      <c r="V410" s="135"/>
    </row>
    <row r="411" customFormat="false" ht="15.75" hidden="false" customHeight="true" outlineLevel="0" collapsed="false">
      <c r="A411" s="135"/>
      <c r="B411" s="135"/>
      <c r="C411" s="135"/>
      <c r="D411" s="229"/>
      <c r="E411" s="135"/>
      <c r="F411" s="189"/>
      <c r="G411" s="135"/>
      <c r="H411" s="135"/>
      <c r="I411" s="135"/>
      <c r="J411" s="135"/>
      <c r="K411" s="135"/>
      <c r="L411" s="189"/>
      <c r="M411" s="135"/>
      <c r="N411" s="189"/>
      <c r="O411" s="135"/>
      <c r="P411" s="229"/>
      <c r="Q411" s="135"/>
      <c r="R411" s="135"/>
      <c r="S411" s="135"/>
      <c r="T411" s="135"/>
      <c r="U411" s="135"/>
      <c r="V411" s="135"/>
    </row>
    <row r="412" customFormat="false" ht="15.75" hidden="false" customHeight="true" outlineLevel="0" collapsed="false">
      <c r="A412" s="135"/>
      <c r="B412" s="135"/>
      <c r="C412" s="135"/>
      <c r="D412" s="229"/>
      <c r="E412" s="135"/>
      <c r="F412" s="189"/>
      <c r="G412" s="135"/>
      <c r="H412" s="135"/>
      <c r="I412" s="135"/>
      <c r="J412" s="135"/>
      <c r="K412" s="135"/>
      <c r="L412" s="189"/>
      <c r="M412" s="135"/>
      <c r="N412" s="189"/>
      <c r="O412" s="135"/>
      <c r="P412" s="229"/>
      <c r="Q412" s="135"/>
      <c r="R412" s="135"/>
      <c r="S412" s="135"/>
      <c r="T412" s="135"/>
      <c r="U412" s="135"/>
      <c r="V412" s="135"/>
    </row>
    <row r="413" customFormat="false" ht="15.75" hidden="false" customHeight="true" outlineLevel="0" collapsed="false">
      <c r="A413" s="135"/>
      <c r="B413" s="135"/>
      <c r="C413" s="135"/>
      <c r="D413" s="229"/>
      <c r="E413" s="135"/>
      <c r="F413" s="189"/>
      <c r="G413" s="135"/>
      <c r="H413" s="135"/>
      <c r="I413" s="135"/>
      <c r="J413" s="135"/>
      <c r="K413" s="135"/>
      <c r="L413" s="189"/>
      <c r="M413" s="135"/>
      <c r="N413" s="189"/>
      <c r="O413" s="135"/>
      <c r="P413" s="229"/>
      <c r="Q413" s="135"/>
      <c r="R413" s="135"/>
      <c r="S413" s="135"/>
      <c r="T413" s="135"/>
      <c r="U413" s="135"/>
      <c r="V413" s="135"/>
    </row>
    <row r="414" customFormat="false" ht="15.75" hidden="false" customHeight="true" outlineLevel="0" collapsed="false">
      <c r="A414" s="135"/>
      <c r="B414" s="135"/>
      <c r="C414" s="135"/>
      <c r="D414" s="229"/>
      <c r="E414" s="135"/>
      <c r="F414" s="189"/>
      <c r="G414" s="135"/>
      <c r="H414" s="135"/>
      <c r="I414" s="135"/>
      <c r="J414" s="135"/>
      <c r="K414" s="135"/>
      <c r="L414" s="189"/>
      <c r="M414" s="135"/>
      <c r="N414" s="189"/>
      <c r="O414" s="135"/>
      <c r="P414" s="229"/>
      <c r="Q414" s="135"/>
      <c r="R414" s="135"/>
      <c r="S414" s="135"/>
      <c r="T414" s="135"/>
      <c r="U414" s="135"/>
      <c r="V414" s="135"/>
    </row>
    <row r="415" customFormat="false" ht="15.75" hidden="false" customHeight="true" outlineLevel="0" collapsed="false">
      <c r="A415" s="135"/>
      <c r="B415" s="135"/>
      <c r="C415" s="135"/>
      <c r="D415" s="229"/>
      <c r="E415" s="135"/>
      <c r="F415" s="189"/>
      <c r="G415" s="135"/>
      <c r="H415" s="135"/>
      <c r="I415" s="135"/>
      <c r="J415" s="135"/>
      <c r="K415" s="135"/>
      <c r="L415" s="189"/>
      <c r="M415" s="135"/>
      <c r="N415" s="189"/>
      <c r="O415" s="135"/>
      <c r="P415" s="229"/>
      <c r="Q415" s="135"/>
      <c r="R415" s="135"/>
      <c r="S415" s="135"/>
      <c r="T415" s="135"/>
      <c r="U415" s="135"/>
      <c r="V415" s="135"/>
    </row>
    <row r="416" customFormat="false" ht="15.75" hidden="false" customHeight="true" outlineLevel="0" collapsed="false">
      <c r="A416" s="135"/>
      <c r="B416" s="135"/>
      <c r="C416" s="135"/>
      <c r="D416" s="229"/>
      <c r="E416" s="135"/>
      <c r="F416" s="189"/>
      <c r="G416" s="135"/>
      <c r="H416" s="135"/>
      <c r="I416" s="135"/>
      <c r="J416" s="135"/>
      <c r="K416" s="135"/>
      <c r="L416" s="189"/>
      <c r="M416" s="135"/>
      <c r="N416" s="189"/>
      <c r="O416" s="135"/>
      <c r="P416" s="229"/>
      <c r="Q416" s="135"/>
      <c r="R416" s="135"/>
      <c r="S416" s="135"/>
      <c r="T416" s="135"/>
      <c r="U416" s="135"/>
      <c r="V416" s="135"/>
    </row>
    <row r="417" customFormat="false" ht="15.75" hidden="false" customHeight="true" outlineLevel="0" collapsed="false">
      <c r="A417" s="135"/>
      <c r="B417" s="135"/>
      <c r="C417" s="135"/>
      <c r="D417" s="229"/>
      <c r="E417" s="135"/>
      <c r="F417" s="189"/>
      <c r="G417" s="135"/>
      <c r="H417" s="135"/>
      <c r="I417" s="135"/>
      <c r="J417" s="135"/>
      <c r="K417" s="135"/>
      <c r="L417" s="189"/>
      <c r="M417" s="135"/>
      <c r="N417" s="189"/>
      <c r="O417" s="135"/>
      <c r="P417" s="229"/>
      <c r="Q417" s="135"/>
      <c r="R417" s="135"/>
      <c r="S417" s="135"/>
      <c r="T417" s="135"/>
      <c r="U417" s="135"/>
      <c r="V417" s="135"/>
    </row>
    <row r="418" customFormat="false" ht="15.75" hidden="false" customHeight="true" outlineLevel="0" collapsed="false">
      <c r="A418" s="135"/>
      <c r="B418" s="135"/>
      <c r="C418" s="135"/>
      <c r="D418" s="229"/>
      <c r="E418" s="135"/>
      <c r="F418" s="189"/>
      <c r="G418" s="135"/>
      <c r="H418" s="135"/>
      <c r="I418" s="135"/>
      <c r="J418" s="135"/>
      <c r="K418" s="135"/>
      <c r="L418" s="189"/>
      <c r="M418" s="135"/>
      <c r="N418" s="189"/>
      <c r="O418" s="135"/>
      <c r="P418" s="229"/>
      <c r="Q418" s="135"/>
      <c r="R418" s="135"/>
      <c r="S418" s="135"/>
      <c r="T418" s="135"/>
      <c r="U418" s="135"/>
      <c r="V418" s="135"/>
    </row>
    <row r="419" customFormat="false" ht="15.75" hidden="false" customHeight="true" outlineLevel="0" collapsed="false">
      <c r="A419" s="135"/>
      <c r="B419" s="135"/>
      <c r="C419" s="135"/>
      <c r="D419" s="229"/>
      <c r="E419" s="135"/>
      <c r="F419" s="189"/>
      <c r="G419" s="135"/>
      <c r="H419" s="135"/>
      <c r="I419" s="135"/>
      <c r="J419" s="135"/>
      <c r="K419" s="135"/>
      <c r="L419" s="189"/>
      <c r="M419" s="135"/>
      <c r="N419" s="189"/>
      <c r="O419" s="135"/>
      <c r="P419" s="229"/>
      <c r="Q419" s="135"/>
      <c r="R419" s="135"/>
      <c r="S419" s="135"/>
      <c r="T419" s="135"/>
      <c r="U419" s="135"/>
      <c r="V419" s="135"/>
    </row>
    <row r="420" customFormat="false" ht="15.75" hidden="false" customHeight="true" outlineLevel="0" collapsed="false">
      <c r="A420" s="135"/>
      <c r="B420" s="135"/>
      <c r="C420" s="135"/>
      <c r="D420" s="229"/>
      <c r="E420" s="135"/>
      <c r="F420" s="189"/>
      <c r="G420" s="135"/>
      <c r="H420" s="135"/>
      <c r="I420" s="135"/>
      <c r="J420" s="135"/>
      <c r="K420" s="135"/>
      <c r="L420" s="189"/>
      <c r="M420" s="135"/>
      <c r="N420" s="189"/>
      <c r="O420" s="135"/>
      <c r="P420" s="229"/>
      <c r="Q420" s="135"/>
      <c r="R420" s="135"/>
      <c r="S420" s="135"/>
      <c r="T420" s="135"/>
      <c r="U420" s="135"/>
      <c r="V420" s="135"/>
    </row>
    <row r="421" customFormat="false" ht="15.75" hidden="false" customHeight="true" outlineLevel="0" collapsed="false">
      <c r="A421" s="135"/>
      <c r="B421" s="135"/>
      <c r="C421" s="135"/>
      <c r="D421" s="229"/>
      <c r="E421" s="135"/>
      <c r="F421" s="189"/>
      <c r="G421" s="135"/>
      <c r="H421" s="135"/>
      <c r="I421" s="135"/>
      <c r="J421" s="135"/>
      <c r="K421" s="135"/>
      <c r="L421" s="189"/>
      <c r="M421" s="135"/>
      <c r="N421" s="189"/>
      <c r="O421" s="135"/>
      <c r="P421" s="229"/>
      <c r="Q421" s="135"/>
      <c r="R421" s="135"/>
      <c r="S421" s="135"/>
      <c r="T421" s="135"/>
      <c r="U421" s="135"/>
      <c r="V421" s="135"/>
    </row>
    <row r="422" customFormat="false" ht="15.75" hidden="false" customHeight="true" outlineLevel="0" collapsed="false">
      <c r="A422" s="135"/>
      <c r="B422" s="135"/>
      <c r="C422" s="135"/>
      <c r="D422" s="229"/>
      <c r="E422" s="135"/>
      <c r="F422" s="189"/>
      <c r="G422" s="135"/>
      <c r="H422" s="135"/>
      <c r="I422" s="135"/>
      <c r="J422" s="135"/>
      <c r="K422" s="135"/>
      <c r="L422" s="189"/>
      <c r="M422" s="135"/>
      <c r="N422" s="189"/>
      <c r="O422" s="135"/>
      <c r="P422" s="229"/>
      <c r="Q422" s="135"/>
      <c r="R422" s="135"/>
      <c r="S422" s="135"/>
      <c r="T422" s="135"/>
      <c r="U422" s="135"/>
      <c r="V422" s="135"/>
    </row>
    <row r="423" customFormat="false" ht="15.75" hidden="false" customHeight="true" outlineLevel="0" collapsed="false">
      <c r="A423" s="135"/>
      <c r="B423" s="135"/>
      <c r="C423" s="135"/>
      <c r="D423" s="229"/>
      <c r="E423" s="135"/>
      <c r="F423" s="189"/>
      <c r="G423" s="135"/>
      <c r="H423" s="135"/>
      <c r="I423" s="135"/>
      <c r="J423" s="135"/>
      <c r="K423" s="135"/>
      <c r="L423" s="189"/>
      <c r="M423" s="135"/>
      <c r="N423" s="189"/>
      <c r="O423" s="135"/>
      <c r="P423" s="229"/>
      <c r="Q423" s="135"/>
      <c r="R423" s="135"/>
      <c r="S423" s="135"/>
      <c r="T423" s="135"/>
      <c r="U423" s="135"/>
      <c r="V423" s="135"/>
    </row>
    <row r="424" customFormat="false" ht="15.75" hidden="false" customHeight="true" outlineLevel="0" collapsed="false">
      <c r="A424" s="135"/>
      <c r="B424" s="135"/>
      <c r="C424" s="135"/>
      <c r="D424" s="229"/>
      <c r="E424" s="135"/>
      <c r="F424" s="189"/>
      <c r="G424" s="135"/>
      <c r="H424" s="135"/>
      <c r="I424" s="135"/>
      <c r="J424" s="135"/>
      <c r="K424" s="135"/>
      <c r="L424" s="189"/>
      <c r="M424" s="135"/>
      <c r="N424" s="189"/>
      <c r="O424" s="135"/>
      <c r="P424" s="229"/>
      <c r="Q424" s="135"/>
      <c r="R424" s="135"/>
      <c r="S424" s="135"/>
      <c r="T424" s="135"/>
      <c r="U424" s="135"/>
      <c r="V424" s="135"/>
    </row>
    <row r="425" customFormat="false" ht="15.75" hidden="false" customHeight="true" outlineLevel="0" collapsed="false">
      <c r="A425" s="135"/>
      <c r="B425" s="135"/>
      <c r="C425" s="135"/>
      <c r="D425" s="229"/>
      <c r="E425" s="135"/>
      <c r="F425" s="189"/>
      <c r="G425" s="135"/>
      <c r="H425" s="135"/>
      <c r="I425" s="135"/>
      <c r="J425" s="135"/>
      <c r="K425" s="135"/>
      <c r="L425" s="189"/>
      <c r="M425" s="135"/>
      <c r="N425" s="189"/>
      <c r="O425" s="135"/>
      <c r="P425" s="229"/>
      <c r="Q425" s="135"/>
      <c r="R425" s="135"/>
      <c r="S425" s="135"/>
      <c r="T425" s="135"/>
      <c r="U425" s="135"/>
      <c r="V425" s="135"/>
    </row>
    <row r="426" customFormat="false" ht="15.75" hidden="false" customHeight="true" outlineLevel="0" collapsed="false">
      <c r="A426" s="135"/>
      <c r="B426" s="135"/>
      <c r="C426" s="135"/>
      <c r="D426" s="229"/>
      <c r="E426" s="135"/>
      <c r="F426" s="189"/>
      <c r="G426" s="135"/>
      <c r="H426" s="135"/>
      <c r="I426" s="135"/>
      <c r="J426" s="135"/>
      <c r="K426" s="135"/>
      <c r="L426" s="189"/>
      <c r="M426" s="135"/>
      <c r="N426" s="189"/>
      <c r="O426" s="135"/>
      <c r="P426" s="229"/>
      <c r="Q426" s="135"/>
      <c r="R426" s="135"/>
      <c r="S426" s="135"/>
      <c r="T426" s="135"/>
      <c r="U426" s="135"/>
      <c r="V426" s="135"/>
    </row>
    <row r="427" customFormat="false" ht="15.75" hidden="false" customHeight="true" outlineLevel="0" collapsed="false">
      <c r="A427" s="135"/>
      <c r="B427" s="135"/>
      <c r="C427" s="135"/>
      <c r="D427" s="229"/>
      <c r="E427" s="135"/>
      <c r="F427" s="189"/>
      <c r="G427" s="135"/>
      <c r="H427" s="135"/>
      <c r="I427" s="135"/>
      <c r="J427" s="135"/>
      <c r="K427" s="135"/>
      <c r="L427" s="189"/>
      <c r="M427" s="135"/>
      <c r="N427" s="189"/>
      <c r="O427" s="135"/>
      <c r="P427" s="229"/>
      <c r="Q427" s="135"/>
      <c r="R427" s="135"/>
      <c r="S427" s="135"/>
      <c r="T427" s="135"/>
      <c r="U427" s="135"/>
      <c r="V427" s="135"/>
    </row>
    <row r="428" customFormat="false" ht="15.75" hidden="false" customHeight="true" outlineLevel="0" collapsed="false">
      <c r="A428" s="135"/>
      <c r="B428" s="135"/>
      <c r="C428" s="135"/>
      <c r="D428" s="229"/>
      <c r="E428" s="135"/>
      <c r="F428" s="189"/>
      <c r="G428" s="135"/>
      <c r="H428" s="135"/>
      <c r="I428" s="135"/>
      <c r="J428" s="135"/>
      <c r="K428" s="135"/>
      <c r="L428" s="189"/>
      <c r="M428" s="135"/>
      <c r="N428" s="189"/>
      <c r="O428" s="135"/>
      <c r="P428" s="229"/>
      <c r="Q428" s="135"/>
      <c r="R428" s="135"/>
      <c r="S428" s="135"/>
      <c r="T428" s="135"/>
      <c r="U428" s="135"/>
      <c r="V428" s="135"/>
    </row>
    <row r="429" customFormat="false" ht="15.75" hidden="false" customHeight="true" outlineLevel="0" collapsed="false">
      <c r="A429" s="135"/>
      <c r="B429" s="135"/>
      <c r="C429" s="135"/>
      <c r="D429" s="229"/>
      <c r="E429" s="135"/>
      <c r="F429" s="189"/>
      <c r="G429" s="135"/>
      <c r="H429" s="135"/>
      <c r="I429" s="135"/>
      <c r="J429" s="135"/>
      <c r="K429" s="135"/>
      <c r="L429" s="189"/>
      <c r="M429" s="135"/>
      <c r="N429" s="189"/>
      <c r="O429" s="135"/>
      <c r="P429" s="229"/>
      <c r="Q429" s="135"/>
      <c r="R429" s="135"/>
      <c r="S429" s="135"/>
      <c r="T429" s="135"/>
      <c r="U429" s="135"/>
      <c r="V429" s="135"/>
    </row>
    <row r="430" customFormat="false" ht="15.75" hidden="false" customHeight="true" outlineLevel="0" collapsed="false">
      <c r="A430" s="135"/>
      <c r="B430" s="135"/>
      <c r="C430" s="135"/>
      <c r="D430" s="229"/>
      <c r="E430" s="135"/>
      <c r="F430" s="189"/>
      <c r="G430" s="135"/>
      <c r="H430" s="135"/>
      <c r="I430" s="135"/>
      <c r="J430" s="135"/>
      <c r="K430" s="135"/>
      <c r="L430" s="189"/>
      <c r="M430" s="135"/>
      <c r="N430" s="189"/>
      <c r="O430" s="135"/>
      <c r="P430" s="229"/>
      <c r="Q430" s="135"/>
      <c r="R430" s="135"/>
      <c r="S430" s="135"/>
      <c r="T430" s="135"/>
      <c r="U430" s="135"/>
      <c r="V430" s="135"/>
    </row>
    <row r="431" customFormat="false" ht="15.75" hidden="false" customHeight="true" outlineLevel="0" collapsed="false">
      <c r="A431" s="135"/>
      <c r="B431" s="135"/>
      <c r="C431" s="135"/>
      <c r="D431" s="229"/>
      <c r="E431" s="135"/>
      <c r="F431" s="189"/>
      <c r="G431" s="135"/>
      <c r="H431" s="135"/>
      <c r="I431" s="135"/>
      <c r="J431" s="135"/>
      <c r="K431" s="135"/>
      <c r="L431" s="189"/>
      <c r="M431" s="135"/>
      <c r="N431" s="189"/>
      <c r="O431" s="135"/>
      <c r="P431" s="229"/>
      <c r="Q431" s="135"/>
      <c r="R431" s="135"/>
      <c r="S431" s="135"/>
      <c r="T431" s="135"/>
      <c r="U431" s="135"/>
      <c r="V431" s="135"/>
    </row>
    <row r="432" customFormat="false" ht="15.75" hidden="false" customHeight="true" outlineLevel="0" collapsed="false">
      <c r="A432" s="135"/>
      <c r="B432" s="135"/>
      <c r="C432" s="135"/>
      <c r="D432" s="229"/>
      <c r="E432" s="135"/>
      <c r="F432" s="189"/>
      <c r="G432" s="135"/>
      <c r="H432" s="135"/>
      <c r="I432" s="135"/>
      <c r="J432" s="135"/>
      <c r="K432" s="135"/>
      <c r="L432" s="189"/>
      <c r="M432" s="135"/>
      <c r="N432" s="189"/>
      <c r="O432" s="135"/>
      <c r="P432" s="229"/>
      <c r="Q432" s="135"/>
      <c r="R432" s="135"/>
      <c r="S432" s="135"/>
      <c r="T432" s="135"/>
      <c r="U432" s="135"/>
      <c r="V432" s="135"/>
    </row>
    <row r="433" customFormat="false" ht="15.75" hidden="false" customHeight="true" outlineLevel="0" collapsed="false">
      <c r="A433" s="135"/>
      <c r="B433" s="135"/>
      <c r="C433" s="135"/>
      <c r="D433" s="229"/>
      <c r="E433" s="135"/>
      <c r="F433" s="189"/>
      <c r="G433" s="135"/>
      <c r="H433" s="135"/>
      <c r="I433" s="135"/>
      <c r="J433" s="135"/>
      <c r="K433" s="135"/>
      <c r="L433" s="189"/>
      <c r="M433" s="135"/>
      <c r="N433" s="189"/>
      <c r="O433" s="135"/>
      <c r="P433" s="229"/>
      <c r="Q433" s="135"/>
      <c r="R433" s="135"/>
      <c r="S433" s="135"/>
      <c r="T433" s="135"/>
      <c r="U433" s="135"/>
      <c r="V433" s="135"/>
    </row>
    <row r="434" customFormat="false" ht="15.75" hidden="false" customHeight="true" outlineLevel="0" collapsed="false">
      <c r="A434" s="135"/>
      <c r="B434" s="135"/>
      <c r="C434" s="135"/>
      <c r="D434" s="229"/>
      <c r="E434" s="135"/>
      <c r="F434" s="189"/>
      <c r="G434" s="135"/>
      <c r="H434" s="135"/>
      <c r="I434" s="135"/>
      <c r="J434" s="135"/>
      <c r="K434" s="135"/>
      <c r="L434" s="189"/>
      <c r="M434" s="135"/>
      <c r="N434" s="189"/>
      <c r="O434" s="135"/>
      <c r="P434" s="229"/>
      <c r="Q434" s="135"/>
      <c r="R434" s="135"/>
      <c r="S434" s="135"/>
      <c r="T434" s="135"/>
      <c r="U434" s="135"/>
      <c r="V434" s="135"/>
    </row>
    <row r="435" customFormat="false" ht="15.75" hidden="false" customHeight="true" outlineLevel="0" collapsed="false">
      <c r="A435" s="135"/>
      <c r="B435" s="135"/>
      <c r="C435" s="135"/>
      <c r="D435" s="229"/>
      <c r="E435" s="135"/>
      <c r="F435" s="189"/>
      <c r="G435" s="135"/>
      <c r="H435" s="135"/>
      <c r="I435" s="135"/>
      <c r="J435" s="135"/>
      <c r="K435" s="135"/>
      <c r="L435" s="189"/>
      <c r="M435" s="135"/>
      <c r="N435" s="189"/>
      <c r="O435" s="135"/>
      <c r="P435" s="229"/>
      <c r="Q435" s="135"/>
      <c r="R435" s="135"/>
      <c r="S435" s="135"/>
      <c r="T435" s="135"/>
      <c r="U435" s="135"/>
      <c r="V435" s="135"/>
    </row>
    <row r="436" customFormat="false" ht="15.75" hidden="false" customHeight="true" outlineLevel="0" collapsed="false">
      <c r="A436" s="135"/>
      <c r="B436" s="135"/>
      <c r="C436" s="135"/>
      <c r="D436" s="229"/>
      <c r="E436" s="135"/>
      <c r="F436" s="189"/>
      <c r="G436" s="135"/>
      <c r="H436" s="135"/>
      <c r="I436" s="135"/>
      <c r="J436" s="135"/>
      <c r="K436" s="135"/>
      <c r="L436" s="189"/>
      <c r="M436" s="135"/>
      <c r="N436" s="189"/>
      <c r="O436" s="135"/>
      <c r="P436" s="229"/>
      <c r="Q436" s="135"/>
      <c r="R436" s="135"/>
      <c r="S436" s="135"/>
      <c r="T436" s="135"/>
      <c r="U436" s="135"/>
      <c r="V436" s="135"/>
    </row>
    <row r="437" customFormat="false" ht="15.75" hidden="false" customHeight="true" outlineLevel="0" collapsed="false">
      <c r="A437" s="135"/>
      <c r="B437" s="135"/>
      <c r="C437" s="135"/>
      <c r="D437" s="229"/>
      <c r="E437" s="135"/>
      <c r="F437" s="189"/>
      <c r="G437" s="135"/>
      <c r="H437" s="135"/>
      <c r="I437" s="135"/>
      <c r="J437" s="135"/>
      <c r="K437" s="135"/>
      <c r="L437" s="189"/>
      <c r="M437" s="135"/>
      <c r="N437" s="189"/>
      <c r="O437" s="135"/>
      <c r="P437" s="229"/>
      <c r="Q437" s="135"/>
      <c r="R437" s="135"/>
      <c r="S437" s="135"/>
      <c r="T437" s="135"/>
      <c r="U437" s="135"/>
      <c r="V437" s="135"/>
    </row>
    <row r="438" customFormat="false" ht="15.75" hidden="false" customHeight="true" outlineLevel="0" collapsed="false">
      <c r="A438" s="135"/>
      <c r="B438" s="135"/>
      <c r="C438" s="135"/>
      <c r="D438" s="229"/>
      <c r="E438" s="135"/>
      <c r="F438" s="189"/>
      <c r="G438" s="135"/>
      <c r="H438" s="135"/>
      <c r="I438" s="135"/>
      <c r="J438" s="135"/>
      <c r="K438" s="135"/>
      <c r="L438" s="189"/>
      <c r="M438" s="135"/>
      <c r="N438" s="189"/>
      <c r="O438" s="135"/>
      <c r="P438" s="229"/>
      <c r="Q438" s="135"/>
      <c r="R438" s="135"/>
      <c r="S438" s="135"/>
      <c r="T438" s="135"/>
      <c r="U438" s="135"/>
      <c r="V438" s="135"/>
    </row>
    <row r="439" customFormat="false" ht="15.75" hidden="false" customHeight="true" outlineLevel="0" collapsed="false">
      <c r="A439" s="135"/>
      <c r="B439" s="135"/>
      <c r="C439" s="135"/>
      <c r="D439" s="229"/>
      <c r="E439" s="135"/>
      <c r="F439" s="189"/>
      <c r="G439" s="135"/>
      <c r="H439" s="135"/>
      <c r="I439" s="135"/>
      <c r="J439" s="135"/>
      <c r="K439" s="135"/>
      <c r="L439" s="189"/>
      <c r="M439" s="135"/>
      <c r="N439" s="189"/>
      <c r="O439" s="135"/>
      <c r="P439" s="229"/>
      <c r="Q439" s="135"/>
      <c r="R439" s="135"/>
      <c r="S439" s="135"/>
      <c r="T439" s="135"/>
      <c r="U439" s="135"/>
      <c r="V439" s="135"/>
    </row>
    <row r="440" customFormat="false" ht="15.75" hidden="false" customHeight="true" outlineLevel="0" collapsed="false">
      <c r="A440" s="135"/>
      <c r="B440" s="135"/>
      <c r="C440" s="135"/>
      <c r="D440" s="229"/>
      <c r="E440" s="135"/>
      <c r="F440" s="189"/>
      <c r="G440" s="135"/>
      <c r="H440" s="135"/>
      <c r="I440" s="135"/>
      <c r="J440" s="135"/>
      <c r="K440" s="135"/>
      <c r="L440" s="189"/>
      <c r="M440" s="135"/>
      <c r="N440" s="189"/>
      <c r="O440" s="135"/>
      <c r="P440" s="229"/>
      <c r="Q440" s="135"/>
      <c r="R440" s="135"/>
      <c r="S440" s="135"/>
      <c r="T440" s="135"/>
      <c r="U440" s="135"/>
      <c r="V440" s="135"/>
    </row>
    <row r="441" customFormat="false" ht="15.75" hidden="false" customHeight="true" outlineLevel="0" collapsed="false">
      <c r="A441" s="135"/>
      <c r="B441" s="135"/>
      <c r="C441" s="135"/>
      <c r="D441" s="229"/>
      <c r="E441" s="135"/>
      <c r="F441" s="189"/>
      <c r="G441" s="135"/>
      <c r="H441" s="135"/>
      <c r="I441" s="135"/>
      <c r="J441" s="135"/>
      <c r="K441" s="135"/>
      <c r="L441" s="189"/>
      <c r="M441" s="135"/>
      <c r="N441" s="189"/>
      <c r="O441" s="135"/>
      <c r="P441" s="229"/>
      <c r="Q441" s="135"/>
      <c r="R441" s="135"/>
      <c r="S441" s="135"/>
      <c r="T441" s="135"/>
      <c r="U441" s="135"/>
      <c r="V441" s="135"/>
    </row>
    <row r="442" customFormat="false" ht="15.75" hidden="false" customHeight="true" outlineLevel="0" collapsed="false">
      <c r="A442" s="135"/>
      <c r="B442" s="135"/>
      <c r="C442" s="135"/>
      <c r="D442" s="229"/>
      <c r="E442" s="135"/>
      <c r="F442" s="189"/>
      <c r="G442" s="135"/>
      <c r="H442" s="135"/>
      <c r="I442" s="135"/>
      <c r="J442" s="135"/>
      <c r="K442" s="135"/>
      <c r="L442" s="189"/>
      <c r="M442" s="135"/>
      <c r="N442" s="189"/>
      <c r="O442" s="135"/>
      <c r="P442" s="229"/>
      <c r="Q442" s="135"/>
      <c r="R442" s="135"/>
      <c r="S442" s="135"/>
      <c r="T442" s="135"/>
      <c r="U442" s="135"/>
      <c r="V442" s="135"/>
    </row>
    <row r="443" customFormat="false" ht="15.75" hidden="false" customHeight="true" outlineLevel="0" collapsed="false">
      <c r="A443" s="135"/>
      <c r="B443" s="135"/>
      <c r="C443" s="135"/>
      <c r="D443" s="229"/>
      <c r="E443" s="135"/>
      <c r="F443" s="189"/>
      <c r="G443" s="135"/>
      <c r="H443" s="135"/>
      <c r="I443" s="135"/>
      <c r="J443" s="135"/>
      <c r="K443" s="135"/>
      <c r="L443" s="189"/>
      <c r="M443" s="135"/>
      <c r="N443" s="189"/>
      <c r="O443" s="135"/>
      <c r="P443" s="229"/>
      <c r="Q443" s="135"/>
      <c r="R443" s="135"/>
      <c r="S443" s="135"/>
      <c r="T443" s="135"/>
      <c r="U443" s="135"/>
      <c r="V443" s="135"/>
    </row>
    <row r="444" customFormat="false" ht="15.75" hidden="false" customHeight="true" outlineLevel="0" collapsed="false">
      <c r="A444" s="135"/>
      <c r="B444" s="135"/>
      <c r="C444" s="135"/>
      <c r="D444" s="229"/>
      <c r="E444" s="135"/>
      <c r="F444" s="189"/>
      <c r="G444" s="135"/>
      <c r="H444" s="135"/>
      <c r="I444" s="135"/>
      <c r="J444" s="135"/>
      <c r="K444" s="135"/>
      <c r="L444" s="189"/>
      <c r="M444" s="135"/>
      <c r="N444" s="189"/>
      <c r="O444" s="135"/>
      <c r="P444" s="229"/>
      <c r="Q444" s="135"/>
      <c r="R444" s="135"/>
      <c r="S444" s="135"/>
      <c r="T444" s="135"/>
      <c r="U444" s="135"/>
      <c r="V444" s="135"/>
    </row>
    <row r="445" customFormat="false" ht="15.75" hidden="false" customHeight="true" outlineLevel="0" collapsed="false">
      <c r="A445" s="135"/>
      <c r="B445" s="135"/>
      <c r="C445" s="135"/>
      <c r="D445" s="229"/>
      <c r="E445" s="135"/>
      <c r="F445" s="189"/>
      <c r="G445" s="135"/>
      <c r="H445" s="135"/>
      <c r="I445" s="135"/>
      <c r="J445" s="135"/>
      <c r="K445" s="135"/>
      <c r="L445" s="189"/>
      <c r="M445" s="135"/>
      <c r="N445" s="189"/>
      <c r="O445" s="135"/>
      <c r="P445" s="229"/>
      <c r="Q445" s="135"/>
      <c r="R445" s="135"/>
      <c r="S445" s="135"/>
      <c r="T445" s="135"/>
      <c r="U445" s="135"/>
      <c r="V445" s="135"/>
    </row>
    <row r="446" customFormat="false" ht="15.75" hidden="false" customHeight="true" outlineLevel="0" collapsed="false">
      <c r="A446" s="135"/>
      <c r="B446" s="135"/>
      <c r="C446" s="135"/>
      <c r="D446" s="229"/>
      <c r="E446" s="135"/>
      <c r="F446" s="189"/>
      <c r="G446" s="135"/>
      <c r="H446" s="135"/>
      <c r="I446" s="135"/>
      <c r="J446" s="135"/>
      <c r="K446" s="135"/>
      <c r="L446" s="189"/>
      <c r="M446" s="135"/>
      <c r="N446" s="189"/>
      <c r="O446" s="135"/>
      <c r="P446" s="229"/>
      <c r="Q446" s="135"/>
      <c r="R446" s="135"/>
      <c r="S446" s="135"/>
      <c r="T446" s="135"/>
      <c r="U446" s="135"/>
      <c r="V446" s="135"/>
    </row>
    <row r="447" customFormat="false" ht="15.75" hidden="false" customHeight="true" outlineLevel="0" collapsed="false">
      <c r="A447" s="135"/>
      <c r="B447" s="135"/>
      <c r="C447" s="135"/>
      <c r="D447" s="229"/>
      <c r="E447" s="135"/>
      <c r="F447" s="189"/>
      <c r="G447" s="135"/>
      <c r="H447" s="135"/>
      <c r="I447" s="135"/>
      <c r="J447" s="135"/>
      <c r="K447" s="135"/>
      <c r="L447" s="189"/>
      <c r="M447" s="135"/>
      <c r="N447" s="189"/>
      <c r="O447" s="135"/>
      <c r="P447" s="229"/>
      <c r="Q447" s="135"/>
      <c r="R447" s="135"/>
      <c r="S447" s="135"/>
      <c r="T447" s="135"/>
      <c r="U447" s="135"/>
      <c r="V447" s="135"/>
    </row>
    <row r="448" customFormat="false" ht="15.75" hidden="false" customHeight="true" outlineLevel="0" collapsed="false">
      <c r="A448" s="135"/>
      <c r="B448" s="135"/>
      <c r="C448" s="135"/>
      <c r="D448" s="229"/>
      <c r="E448" s="135"/>
      <c r="F448" s="189"/>
      <c r="G448" s="135"/>
      <c r="H448" s="135"/>
      <c r="I448" s="135"/>
      <c r="J448" s="135"/>
      <c r="K448" s="135"/>
      <c r="L448" s="189"/>
      <c r="M448" s="135"/>
      <c r="N448" s="189"/>
      <c r="O448" s="135"/>
      <c r="P448" s="229"/>
      <c r="Q448" s="135"/>
      <c r="R448" s="135"/>
      <c r="S448" s="135"/>
      <c r="T448" s="135"/>
      <c r="U448" s="135"/>
      <c r="V448" s="135"/>
    </row>
    <row r="449" customFormat="false" ht="15.75" hidden="false" customHeight="true" outlineLevel="0" collapsed="false">
      <c r="A449" s="135"/>
      <c r="B449" s="135"/>
      <c r="C449" s="135"/>
      <c r="D449" s="229"/>
      <c r="E449" s="135"/>
      <c r="F449" s="189"/>
      <c r="G449" s="135"/>
      <c r="H449" s="135"/>
      <c r="I449" s="135"/>
      <c r="J449" s="135"/>
      <c r="K449" s="135"/>
      <c r="L449" s="189"/>
      <c r="M449" s="135"/>
      <c r="N449" s="189"/>
      <c r="O449" s="135"/>
      <c r="P449" s="229"/>
      <c r="Q449" s="135"/>
      <c r="R449" s="135"/>
      <c r="S449" s="135"/>
      <c r="T449" s="135"/>
      <c r="U449" s="135"/>
      <c r="V449" s="135"/>
    </row>
    <row r="450" customFormat="false" ht="15.75" hidden="false" customHeight="true" outlineLevel="0" collapsed="false">
      <c r="A450" s="135"/>
      <c r="B450" s="135"/>
      <c r="C450" s="135"/>
      <c r="D450" s="229"/>
      <c r="E450" s="135"/>
      <c r="F450" s="189"/>
      <c r="G450" s="135"/>
      <c r="H450" s="135"/>
      <c r="I450" s="135"/>
      <c r="J450" s="135"/>
      <c r="K450" s="135"/>
      <c r="L450" s="189"/>
      <c r="M450" s="135"/>
      <c r="N450" s="189"/>
      <c r="O450" s="135"/>
      <c r="P450" s="229"/>
      <c r="Q450" s="135"/>
      <c r="R450" s="135"/>
      <c r="S450" s="135"/>
      <c r="T450" s="135"/>
      <c r="U450" s="135"/>
      <c r="V450" s="135"/>
    </row>
    <row r="451" customFormat="false" ht="15.75" hidden="false" customHeight="true" outlineLevel="0" collapsed="false">
      <c r="A451" s="135"/>
      <c r="B451" s="135"/>
      <c r="C451" s="135"/>
      <c r="D451" s="229"/>
      <c r="E451" s="135"/>
      <c r="F451" s="189"/>
      <c r="G451" s="135"/>
      <c r="H451" s="135"/>
      <c r="I451" s="135"/>
      <c r="J451" s="135"/>
      <c r="K451" s="135"/>
      <c r="L451" s="189"/>
      <c r="M451" s="135"/>
      <c r="N451" s="189"/>
      <c r="O451" s="135"/>
      <c r="P451" s="229"/>
      <c r="Q451" s="135"/>
      <c r="R451" s="135"/>
      <c r="S451" s="135"/>
      <c r="T451" s="135"/>
      <c r="U451" s="135"/>
      <c r="V451" s="135"/>
    </row>
    <row r="452" customFormat="false" ht="15.75" hidden="false" customHeight="true" outlineLevel="0" collapsed="false">
      <c r="A452" s="135"/>
      <c r="B452" s="135"/>
      <c r="C452" s="135"/>
      <c r="D452" s="229"/>
      <c r="E452" s="135"/>
      <c r="F452" s="189"/>
      <c r="G452" s="135"/>
      <c r="H452" s="135"/>
      <c r="I452" s="135"/>
      <c r="J452" s="135"/>
      <c r="K452" s="135"/>
      <c r="L452" s="189"/>
      <c r="M452" s="135"/>
      <c r="N452" s="189"/>
      <c r="O452" s="135"/>
      <c r="P452" s="229"/>
      <c r="Q452" s="135"/>
      <c r="R452" s="135"/>
      <c r="S452" s="135"/>
      <c r="T452" s="135"/>
      <c r="U452" s="135"/>
      <c r="V452" s="135"/>
    </row>
    <row r="453" customFormat="false" ht="15.75" hidden="false" customHeight="true" outlineLevel="0" collapsed="false">
      <c r="A453" s="135"/>
      <c r="B453" s="135"/>
      <c r="C453" s="135"/>
      <c r="D453" s="229"/>
      <c r="E453" s="135"/>
      <c r="F453" s="189"/>
      <c r="G453" s="135"/>
      <c r="H453" s="135"/>
      <c r="I453" s="135"/>
      <c r="J453" s="135"/>
      <c r="K453" s="135"/>
      <c r="L453" s="189"/>
      <c r="M453" s="135"/>
      <c r="N453" s="189"/>
      <c r="O453" s="135"/>
      <c r="P453" s="229"/>
      <c r="Q453" s="135"/>
      <c r="R453" s="135"/>
      <c r="S453" s="135"/>
      <c r="T453" s="135"/>
      <c r="U453" s="135"/>
      <c r="V453" s="135"/>
    </row>
    <row r="454" customFormat="false" ht="15.75" hidden="false" customHeight="true" outlineLevel="0" collapsed="false">
      <c r="A454" s="135"/>
      <c r="B454" s="135"/>
      <c r="C454" s="135"/>
      <c r="D454" s="229"/>
      <c r="E454" s="135"/>
      <c r="F454" s="189"/>
      <c r="G454" s="135"/>
      <c r="H454" s="135"/>
      <c r="I454" s="135"/>
      <c r="J454" s="135"/>
      <c r="K454" s="135"/>
      <c r="L454" s="189"/>
      <c r="M454" s="135"/>
      <c r="N454" s="189"/>
      <c r="O454" s="135"/>
      <c r="P454" s="229"/>
      <c r="Q454" s="135"/>
      <c r="R454" s="135"/>
      <c r="S454" s="135"/>
      <c r="T454" s="135"/>
      <c r="U454" s="135"/>
      <c r="V454" s="135"/>
    </row>
    <row r="455" customFormat="false" ht="15.75" hidden="false" customHeight="true" outlineLevel="0" collapsed="false">
      <c r="A455" s="135"/>
      <c r="B455" s="135"/>
      <c r="C455" s="135"/>
      <c r="D455" s="229"/>
      <c r="E455" s="135"/>
      <c r="F455" s="189"/>
      <c r="G455" s="135"/>
      <c r="H455" s="135"/>
      <c r="I455" s="135"/>
      <c r="J455" s="135"/>
      <c r="K455" s="135"/>
      <c r="L455" s="189"/>
      <c r="M455" s="135"/>
      <c r="N455" s="189"/>
      <c r="O455" s="135"/>
      <c r="P455" s="229"/>
      <c r="Q455" s="135"/>
      <c r="R455" s="135"/>
      <c r="S455" s="135"/>
      <c r="T455" s="135"/>
      <c r="U455" s="135"/>
      <c r="V455" s="135"/>
    </row>
    <row r="456" customFormat="false" ht="15.75" hidden="false" customHeight="true" outlineLevel="0" collapsed="false">
      <c r="A456" s="135"/>
      <c r="B456" s="135"/>
      <c r="C456" s="135"/>
      <c r="D456" s="229"/>
      <c r="E456" s="135"/>
      <c r="F456" s="189"/>
      <c r="G456" s="135"/>
      <c r="H456" s="135"/>
      <c r="I456" s="135"/>
      <c r="J456" s="135"/>
      <c r="K456" s="135"/>
      <c r="L456" s="189"/>
      <c r="M456" s="135"/>
      <c r="N456" s="189"/>
      <c r="O456" s="135"/>
      <c r="P456" s="229"/>
      <c r="Q456" s="135"/>
      <c r="R456" s="135"/>
      <c r="S456" s="135"/>
      <c r="T456" s="135"/>
      <c r="U456" s="135"/>
      <c r="V456" s="135"/>
    </row>
    <row r="457" customFormat="false" ht="15.75" hidden="false" customHeight="true" outlineLevel="0" collapsed="false">
      <c r="A457" s="135"/>
      <c r="B457" s="135"/>
      <c r="C457" s="135"/>
      <c r="D457" s="229"/>
      <c r="E457" s="135"/>
      <c r="F457" s="189"/>
      <c r="G457" s="135"/>
      <c r="H457" s="135"/>
      <c r="I457" s="135"/>
      <c r="J457" s="135"/>
      <c r="K457" s="135"/>
      <c r="L457" s="189"/>
      <c r="M457" s="135"/>
      <c r="N457" s="189"/>
      <c r="O457" s="135"/>
      <c r="P457" s="229"/>
      <c r="Q457" s="135"/>
      <c r="R457" s="135"/>
      <c r="S457" s="135"/>
      <c r="T457" s="135"/>
      <c r="U457" s="135"/>
      <c r="V457" s="135"/>
    </row>
    <row r="458" customFormat="false" ht="15.75" hidden="false" customHeight="true" outlineLevel="0" collapsed="false">
      <c r="A458" s="135"/>
      <c r="B458" s="135"/>
      <c r="C458" s="135"/>
      <c r="D458" s="229"/>
      <c r="E458" s="135"/>
      <c r="F458" s="189"/>
      <c r="G458" s="135"/>
      <c r="H458" s="135"/>
      <c r="I458" s="135"/>
      <c r="J458" s="135"/>
      <c r="K458" s="135"/>
      <c r="L458" s="189"/>
      <c r="M458" s="135"/>
      <c r="N458" s="189"/>
      <c r="O458" s="135"/>
      <c r="P458" s="229"/>
      <c r="Q458" s="135"/>
      <c r="R458" s="135"/>
      <c r="S458" s="135"/>
      <c r="T458" s="135"/>
      <c r="U458" s="135"/>
      <c r="V458" s="135"/>
    </row>
    <row r="459" customFormat="false" ht="15.75" hidden="false" customHeight="true" outlineLevel="0" collapsed="false">
      <c r="A459" s="135"/>
      <c r="B459" s="135"/>
      <c r="C459" s="135"/>
      <c r="D459" s="229"/>
      <c r="E459" s="135"/>
      <c r="F459" s="189"/>
      <c r="G459" s="135"/>
      <c r="H459" s="135"/>
      <c r="I459" s="135"/>
      <c r="J459" s="135"/>
      <c r="K459" s="135"/>
      <c r="L459" s="189"/>
      <c r="M459" s="135"/>
      <c r="N459" s="189"/>
      <c r="O459" s="135"/>
      <c r="P459" s="229"/>
      <c r="Q459" s="135"/>
      <c r="R459" s="135"/>
      <c r="S459" s="135"/>
      <c r="T459" s="135"/>
      <c r="U459" s="135"/>
      <c r="V459" s="135"/>
    </row>
    <row r="460" customFormat="false" ht="15.75" hidden="false" customHeight="true" outlineLevel="0" collapsed="false">
      <c r="A460" s="135"/>
      <c r="B460" s="135"/>
      <c r="C460" s="135"/>
      <c r="D460" s="229"/>
      <c r="E460" s="135"/>
      <c r="F460" s="189"/>
      <c r="G460" s="135"/>
      <c r="H460" s="135"/>
      <c r="I460" s="135"/>
      <c r="J460" s="135"/>
      <c r="K460" s="135"/>
      <c r="L460" s="189"/>
      <c r="M460" s="135"/>
      <c r="N460" s="189"/>
      <c r="O460" s="135"/>
      <c r="P460" s="229"/>
      <c r="Q460" s="135"/>
      <c r="R460" s="135"/>
      <c r="S460" s="135"/>
      <c r="T460" s="135"/>
      <c r="U460" s="135"/>
      <c r="V460" s="135"/>
    </row>
    <row r="461" customFormat="false" ht="15.75" hidden="false" customHeight="true" outlineLevel="0" collapsed="false">
      <c r="A461" s="135"/>
      <c r="B461" s="135"/>
      <c r="C461" s="135"/>
      <c r="D461" s="229"/>
      <c r="E461" s="135"/>
      <c r="F461" s="189"/>
      <c r="G461" s="135"/>
      <c r="H461" s="135"/>
      <c r="I461" s="135"/>
      <c r="J461" s="135"/>
      <c r="K461" s="135"/>
      <c r="L461" s="189"/>
      <c r="M461" s="135"/>
      <c r="N461" s="189"/>
      <c r="O461" s="135"/>
      <c r="P461" s="229"/>
      <c r="Q461" s="135"/>
      <c r="R461" s="135"/>
      <c r="S461" s="135"/>
      <c r="T461" s="135"/>
      <c r="U461" s="135"/>
      <c r="V461" s="135"/>
    </row>
    <row r="462" customFormat="false" ht="15.75" hidden="false" customHeight="true" outlineLevel="0" collapsed="false">
      <c r="A462" s="135"/>
      <c r="B462" s="135"/>
      <c r="C462" s="135"/>
      <c r="D462" s="229"/>
      <c r="E462" s="135"/>
      <c r="F462" s="189"/>
      <c r="G462" s="135"/>
      <c r="H462" s="135"/>
      <c r="I462" s="135"/>
      <c r="J462" s="135"/>
      <c r="K462" s="135"/>
      <c r="L462" s="189"/>
      <c r="M462" s="135"/>
      <c r="N462" s="189"/>
      <c r="O462" s="135"/>
      <c r="P462" s="229"/>
      <c r="Q462" s="135"/>
      <c r="R462" s="135"/>
      <c r="S462" s="135"/>
      <c r="T462" s="135"/>
      <c r="U462" s="135"/>
      <c r="V462" s="135"/>
    </row>
    <row r="463" customFormat="false" ht="15.75" hidden="false" customHeight="true" outlineLevel="0" collapsed="false">
      <c r="A463" s="135"/>
      <c r="B463" s="135"/>
      <c r="C463" s="135"/>
      <c r="D463" s="229"/>
      <c r="E463" s="135"/>
      <c r="F463" s="189"/>
      <c r="G463" s="135"/>
      <c r="H463" s="135"/>
      <c r="I463" s="135"/>
      <c r="J463" s="135"/>
      <c r="K463" s="135"/>
      <c r="L463" s="189"/>
      <c r="M463" s="135"/>
      <c r="N463" s="189"/>
      <c r="O463" s="135"/>
      <c r="P463" s="229"/>
      <c r="Q463" s="135"/>
      <c r="R463" s="135"/>
      <c r="S463" s="135"/>
      <c r="T463" s="135"/>
      <c r="U463" s="135"/>
      <c r="V463" s="135"/>
    </row>
    <row r="464" customFormat="false" ht="15.75" hidden="false" customHeight="true" outlineLevel="0" collapsed="false">
      <c r="A464" s="135"/>
      <c r="B464" s="135"/>
      <c r="C464" s="135"/>
      <c r="D464" s="229"/>
      <c r="E464" s="135"/>
      <c r="F464" s="189"/>
      <c r="G464" s="135"/>
      <c r="H464" s="135"/>
      <c r="I464" s="135"/>
      <c r="J464" s="135"/>
      <c r="K464" s="135"/>
      <c r="L464" s="189"/>
      <c r="M464" s="135"/>
      <c r="N464" s="189"/>
      <c r="O464" s="135"/>
      <c r="P464" s="229"/>
      <c r="Q464" s="135"/>
      <c r="R464" s="135"/>
      <c r="S464" s="135"/>
      <c r="T464" s="135"/>
      <c r="U464" s="135"/>
      <c r="V464" s="135"/>
    </row>
    <row r="465" customFormat="false" ht="15.75" hidden="false" customHeight="true" outlineLevel="0" collapsed="false">
      <c r="A465" s="135"/>
      <c r="B465" s="135"/>
      <c r="C465" s="135"/>
      <c r="D465" s="229"/>
      <c r="E465" s="135"/>
      <c r="F465" s="189"/>
      <c r="G465" s="135"/>
      <c r="H465" s="135"/>
      <c r="I465" s="135"/>
      <c r="J465" s="135"/>
      <c r="K465" s="135"/>
      <c r="L465" s="189"/>
      <c r="M465" s="135"/>
      <c r="N465" s="189"/>
      <c r="O465" s="135"/>
      <c r="P465" s="229"/>
      <c r="Q465" s="135"/>
      <c r="R465" s="135"/>
      <c r="S465" s="135"/>
      <c r="T465" s="135"/>
      <c r="U465" s="135"/>
      <c r="V465" s="135"/>
    </row>
    <row r="466" customFormat="false" ht="15.75" hidden="false" customHeight="true" outlineLevel="0" collapsed="false">
      <c r="A466" s="135"/>
      <c r="B466" s="135"/>
      <c r="C466" s="135"/>
      <c r="D466" s="229"/>
      <c r="E466" s="135"/>
      <c r="F466" s="189"/>
      <c r="G466" s="135"/>
      <c r="H466" s="135"/>
      <c r="I466" s="135"/>
      <c r="J466" s="135"/>
      <c r="K466" s="135"/>
      <c r="L466" s="189"/>
      <c r="M466" s="135"/>
      <c r="N466" s="189"/>
      <c r="O466" s="135"/>
      <c r="P466" s="229"/>
      <c r="Q466" s="135"/>
      <c r="R466" s="135"/>
      <c r="S466" s="135"/>
      <c r="T466" s="135"/>
      <c r="U466" s="135"/>
      <c r="V466" s="135"/>
    </row>
    <row r="467" customFormat="false" ht="15.75" hidden="false" customHeight="true" outlineLevel="0" collapsed="false">
      <c r="A467" s="135"/>
      <c r="B467" s="135"/>
      <c r="C467" s="135"/>
      <c r="D467" s="229"/>
      <c r="E467" s="135"/>
      <c r="F467" s="189"/>
      <c r="G467" s="135"/>
      <c r="H467" s="135"/>
      <c r="I467" s="135"/>
      <c r="J467" s="135"/>
      <c r="K467" s="135"/>
      <c r="L467" s="189"/>
      <c r="M467" s="135"/>
      <c r="N467" s="189"/>
      <c r="O467" s="135"/>
      <c r="P467" s="229"/>
      <c r="Q467" s="135"/>
      <c r="R467" s="135"/>
      <c r="S467" s="135"/>
      <c r="T467" s="135"/>
      <c r="U467" s="135"/>
      <c r="V467" s="135"/>
    </row>
    <row r="468" customFormat="false" ht="15.75" hidden="false" customHeight="true" outlineLevel="0" collapsed="false">
      <c r="A468" s="135"/>
      <c r="B468" s="135"/>
      <c r="C468" s="135"/>
      <c r="D468" s="229"/>
      <c r="E468" s="135"/>
      <c r="F468" s="189"/>
      <c r="G468" s="135"/>
      <c r="H468" s="135"/>
      <c r="I468" s="135"/>
      <c r="J468" s="135"/>
      <c r="K468" s="135"/>
      <c r="L468" s="189"/>
      <c r="M468" s="135"/>
      <c r="N468" s="189"/>
      <c r="O468" s="135"/>
      <c r="P468" s="229"/>
      <c r="Q468" s="135"/>
      <c r="R468" s="135"/>
      <c r="S468" s="135"/>
      <c r="T468" s="135"/>
      <c r="U468" s="135"/>
      <c r="V468" s="135"/>
    </row>
    <row r="469" customFormat="false" ht="15.75" hidden="false" customHeight="true" outlineLevel="0" collapsed="false">
      <c r="A469" s="135"/>
      <c r="B469" s="135"/>
      <c r="C469" s="135"/>
      <c r="D469" s="229"/>
      <c r="E469" s="135"/>
      <c r="F469" s="189"/>
      <c r="G469" s="135"/>
      <c r="H469" s="135"/>
      <c r="I469" s="135"/>
      <c r="J469" s="135"/>
      <c r="K469" s="135"/>
      <c r="L469" s="189"/>
      <c r="M469" s="135"/>
      <c r="N469" s="189"/>
      <c r="O469" s="135"/>
      <c r="P469" s="229"/>
      <c r="Q469" s="135"/>
      <c r="R469" s="135"/>
      <c r="S469" s="135"/>
      <c r="T469" s="135"/>
      <c r="U469" s="135"/>
      <c r="V469" s="135"/>
    </row>
    <row r="470" customFormat="false" ht="15.75" hidden="false" customHeight="true" outlineLevel="0" collapsed="false">
      <c r="A470" s="135"/>
      <c r="B470" s="135"/>
      <c r="C470" s="135"/>
      <c r="D470" s="229"/>
      <c r="E470" s="135"/>
      <c r="F470" s="189"/>
      <c r="G470" s="135"/>
      <c r="H470" s="135"/>
      <c r="I470" s="135"/>
      <c r="J470" s="135"/>
      <c r="K470" s="135"/>
      <c r="L470" s="189"/>
      <c r="M470" s="135"/>
      <c r="N470" s="189"/>
      <c r="O470" s="135"/>
      <c r="P470" s="229"/>
      <c r="Q470" s="135"/>
      <c r="R470" s="135"/>
      <c r="S470" s="135"/>
      <c r="T470" s="135"/>
      <c r="U470" s="135"/>
      <c r="V470" s="135"/>
    </row>
    <row r="471" customFormat="false" ht="15.75" hidden="false" customHeight="true" outlineLevel="0" collapsed="false">
      <c r="A471" s="135"/>
      <c r="B471" s="135"/>
      <c r="C471" s="135"/>
      <c r="D471" s="229"/>
      <c r="E471" s="135"/>
      <c r="F471" s="189"/>
      <c r="G471" s="135"/>
      <c r="H471" s="135"/>
      <c r="I471" s="135"/>
      <c r="J471" s="135"/>
      <c r="K471" s="135"/>
      <c r="L471" s="189"/>
      <c r="M471" s="135"/>
      <c r="N471" s="189"/>
      <c r="O471" s="135"/>
      <c r="P471" s="229"/>
      <c r="Q471" s="135"/>
      <c r="R471" s="135"/>
      <c r="S471" s="135"/>
      <c r="T471" s="135"/>
      <c r="U471" s="135"/>
      <c r="V471" s="135"/>
    </row>
    <row r="472" customFormat="false" ht="15.75" hidden="false" customHeight="true" outlineLevel="0" collapsed="false">
      <c r="A472" s="135"/>
      <c r="B472" s="135"/>
      <c r="C472" s="135"/>
      <c r="D472" s="229"/>
      <c r="E472" s="135"/>
      <c r="F472" s="189"/>
      <c r="G472" s="135"/>
      <c r="H472" s="135"/>
      <c r="I472" s="135"/>
      <c r="J472" s="135"/>
      <c r="K472" s="135"/>
      <c r="L472" s="189"/>
      <c r="M472" s="135"/>
      <c r="N472" s="189"/>
      <c r="O472" s="135"/>
      <c r="P472" s="229"/>
      <c r="Q472" s="135"/>
      <c r="R472" s="135"/>
      <c r="S472" s="135"/>
      <c r="T472" s="135"/>
      <c r="U472" s="135"/>
      <c r="V472" s="135"/>
    </row>
    <row r="473" customFormat="false" ht="15.75" hidden="false" customHeight="true" outlineLevel="0" collapsed="false">
      <c r="A473" s="135"/>
      <c r="B473" s="135"/>
      <c r="C473" s="135"/>
      <c r="D473" s="229"/>
      <c r="E473" s="135"/>
      <c r="F473" s="189"/>
      <c r="G473" s="135"/>
      <c r="H473" s="135"/>
      <c r="I473" s="135"/>
      <c r="J473" s="135"/>
      <c r="K473" s="135"/>
      <c r="L473" s="189"/>
      <c r="M473" s="135"/>
      <c r="N473" s="189"/>
      <c r="O473" s="135"/>
      <c r="P473" s="229"/>
      <c r="Q473" s="135"/>
      <c r="R473" s="135"/>
      <c r="S473" s="135"/>
      <c r="T473" s="135"/>
      <c r="U473" s="135"/>
      <c r="V473" s="135"/>
    </row>
    <row r="474" customFormat="false" ht="15.75" hidden="false" customHeight="true" outlineLevel="0" collapsed="false">
      <c r="A474" s="135"/>
      <c r="B474" s="135"/>
      <c r="C474" s="135"/>
      <c r="D474" s="229"/>
      <c r="E474" s="135"/>
      <c r="F474" s="189"/>
      <c r="G474" s="135"/>
      <c r="H474" s="135"/>
      <c r="I474" s="135"/>
      <c r="J474" s="135"/>
      <c r="K474" s="135"/>
      <c r="L474" s="189"/>
      <c r="M474" s="135"/>
      <c r="N474" s="189"/>
      <c r="O474" s="135"/>
      <c r="P474" s="229"/>
      <c r="Q474" s="135"/>
      <c r="R474" s="135"/>
      <c r="S474" s="135"/>
      <c r="T474" s="135"/>
      <c r="U474" s="135"/>
      <c r="V474" s="135"/>
    </row>
    <row r="475" customFormat="false" ht="15.75" hidden="false" customHeight="true" outlineLevel="0" collapsed="false">
      <c r="A475" s="135"/>
      <c r="B475" s="135"/>
      <c r="C475" s="135"/>
      <c r="D475" s="229"/>
      <c r="E475" s="135"/>
      <c r="F475" s="189"/>
      <c r="G475" s="135"/>
      <c r="H475" s="135"/>
      <c r="I475" s="135"/>
      <c r="J475" s="135"/>
      <c r="K475" s="135"/>
      <c r="L475" s="189"/>
      <c r="M475" s="135"/>
      <c r="N475" s="189"/>
      <c r="O475" s="135"/>
      <c r="P475" s="229"/>
      <c r="Q475" s="135"/>
      <c r="R475" s="135"/>
      <c r="S475" s="135"/>
      <c r="T475" s="135"/>
      <c r="U475" s="135"/>
      <c r="V475" s="135"/>
    </row>
    <row r="476" customFormat="false" ht="15.75" hidden="false" customHeight="true" outlineLevel="0" collapsed="false">
      <c r="A476" s="135"/>
      <c r="B476" s="135"/>
      <c r="C476" s="135"/>
      <c r="D476" s="229"/>
      <c r="E476" s="135"/>
      <c r="F476" s="189"/>
      <c r="G476" s="135"/>
      <c r="H476" s="135"/>
      <c r="I476" s="135"/>
      <c r="J476" s="135"/>
      <c r="K476" s="135"/>
      <c r="L476" s="189"/>
      <c r="M476" s="135"/>
      <c r="N476" s="189"/>
      <c r="O476" s="135"/>
      <c r="P476" s="229"/>
      <c r="Q476" s="135"/>
      <c r="R476" s="135"/>
      <c r="S476" s="135"/>
      <c r="T476" s="135"/>
      <c r="U476" s="135"/>
      <c r="V476" s="135"/>
    </row>
    <row r="477" customFormat="false" ht="15.75" hidden="false" customHeight="true" outlineLevel="0" collapsed="false">
      <c r="A477" s="135"/>
      <c r="B477" s="135"/>
      <c r="C477" s="135"/>
      <c r="D477" s="229"/>
      <c r="E477" s="135"/>
      <c r="F477" s="189"/>
      <c r="G477" s="135"/>
      <c r="H477" s="135"/>
      <c r="I477" s="135"/>
      <c r="J477" s="135"/>
      <c r="K477" s="135"/>
      <c r="L477" s="189"/>
      <c r="M477" s="135"/>
      <c r="N477" s="189"/>
      <c r="O477" s="135"/>
      <c r="P477" s="229"/>
      <c r="Q477" s="135"/>
      <c r="R477" s="135"/>
      <c r="S477" s="135"/>
      <c r="T477" s="135"/>
      <c r="U477" s="135"/>
      <c r="V477" s="135"/>
    </row>
    <row r="478" customFormat="false" ht="15.75" hidden="false" customHeight="true" outlineLevel="0" collapsed="false">
      <c r="A478" s="135"/>
      <c r="B478" s="135"/>
      <c r="C478" s="135"/>
      <c r="D478" s="229"/>
      <c r="E478" s="135"/>
      <c r="F478" s="189"/>
      <c r="G478" s="135"/>
      <c r="H478" s="135"/>
      <c r="I478" s="135"/>
      <c r="J478" s="135"/>
      <c r="K478" s="135"/>
      <c r="L478" s="189"/>
      <c r="M478" s="135"/>
      <c r="N478" s="189"/>
      <c r="O478" s="135"/>
      <c r="P478" s="229"/>
      <c r="Q478" s="135"/>
      <c r="R478" s="135"/>
      <c r="S478" s="135"/>
      <c r="T478" s="135"/>
      <c r="U478" s="135"/>
      <c r="V478" s="135"/>
    </row>
    <row r="479" customFormat="false" ht="15.75" hidden="false" customHeight="true" outlineLevel="0" collapsed="false">
      <c r="A479" s="135"/>
      <c r="B479" s="135"/>
      <c r="C479" s="135"/>
      <c r="D479" s="229"/>
      <c r="E479" s="135"/>
      <c r="F479" s="189"/>
      <c r="G479" s="135"/>
      <c r="H479" s="135"/>
      <c r="I479" s="135"/>
      <c r="J479" s="135"/>
      <c r="K479" s="135"/>
      <c r="L479" s="189"/>
      <c r="M479" s="135"/>
      <c r="N479" s="189"/>
      <c r="O479" s="135"/>
      <c r="P479" s="229"/>
      <c r="Q479" s="135"/>
      <c r="R479" s="135"/>
      <c r="S479" s="135"/>
      <c r="T479" s="135"/>
      <c r="U479" s="135"/>
      <c r="V479" s="135"/>
    </row>
    <row r="480" customFormat="false" ht="15.75" hidden="false" customHeight="true" outlineLevel="0" collapsed="false">
      <c r="A480" s="135"/>
      <c r="B480" s="135"/>
      <c r="C480" s="135"/>
      <c r="D480" s="229"/>
      <c r="E480" s="135"/>
      <c r="F480" s="189"/>
      <c r="G480" s="135"/>
      <c r="H480" s="135"/>
      <c r="I480" s="135"/>
      <c r="J480" s="135"/>
      <c r="K480" s="135"/>
      <c r="L480" s="189"/>
      <c r="M480" s="135"/>
      <c r="N480" s="189"/>
      <c r="O480" s="135"/>
      <c r="P480" s="229"/>
      <c r="Q480" s="135"/>
      <c r="R480" s="135"/>
      <c r="S480" s="135"/>
      <c r="T480" s="135"/>
      <c r="U480" s="135"/>
      <c r="V480" s="135"/>
    </row>
    <row r="481" customFormat="false" ht="15.75" hidden="false" customHeight="true" outlineLevel="0" collapsed="false">
      <c r="A481" s="135"/>
      <c r="B481" s="135"/>
      <c r="C481" s="135"/>
      <c r="D481" s="229"/>
      <c r="E481" s="135"/>
      <c r="F481" s="189"/>
      <c r="G481" s="135"/>
      <c r="H481" s="135"/>
      <c r="I481" s="135"/>
      <c r="J481" s="135"/>
      <c r="K481" s="135"/>
      <c r="L481" s="189"/>
      <c r="M481" s="135"/>
      <c r="N481" s="189"/>
      <c r="O481" s="135"/>
      <c r="P481" s="229"/>
      <c r="Q481" s="135"/>
      <c r="R481" s="135"/>
      <c r="S481" s="135"/>
      <c r="T481" s="135"/>
      <c r="U481" s="135"/>
      <c r="V481" s="135"/>
    </row>
    <row r="482" customFormat="false" ht="15.75" hidden="false" customHeight="true" outlineLevel="0" collapsed="false">
      <c r="A482" s="135"/>
      <c r="B482" s="135"/>
      <c r="C482" s="135"/>
      <c r="D482" s="229"/>
      <c r="E482" s="135"/>
      <c r="F482" s="189"/>
      <c r="G482" s="135"/>
      <c r="H482" s="135"/>
      <c r="I482" s="135"/>
      <c r="J482" s="135"/>
      <c r="K482" s="135"/>
      <c r="L482" s="189"/>
      <c r="M482" s="135"/>
      <c r="N482" s="189"/>
      <c r="O482" s="135"/>
      <c r="P482" s="229"/>
      <c r="Q482" s="135"/>
      <c r="R482" s="135"/>
      <c r="S482" s="135"/>
      <c r="T482" s="135"/>
      <c r="U482" s="135"/>
      <c r="V482" s="135"/>
    </row>
    <row r="483" customFormat="false" ht="15.75" hidden="false" customHeight="true" outlineLevel="0" collapsed="false">
      <c r="A483" s="135"/>
      <c r="B483" s="135"/>
      <c r="C483" s="135"/>
      <c r="D483" s="229"/>
      <c r="E483" s="135"/>
      <c r="F483" s="189"/>
      <c r="G483" s="135"/>
      <c r="H483" s="135"/>
      <c r="I483" s="135"/>
      <c r="J483" s="135"/>
      <c r="K483" s="135"/>
      <c r="L483" s="189"/>
      <c r="M483" s="135"/>
      <c r="N483" s="189"/>
      <c r="O483" s="135"/>
      <c r="P483" s="229"/>
      <c r="Q483" s="135"/>
      <c r="R483" s="135"/>
      <c r="S483" s="135"/>
      <c r="T483" s="135"/>
      <c r="U483" s="135"/>
      <c r="V483" s="135"/>
    </row>
    <row r="484" customFormat="false" ht="15.75" hidden="false" customHeight="true" outlineLevel="0" collapsed="false">
      <c r="A484" s="135"/>
      <c r="B484" s="135"/>
      <c r="C484" s="135"/>
      <c r="D484" s="229"/>
      <c r="E484" s="135"/>
      <c r="F484" s="189"/>
      <c r="G484" s="135"/>
      <c r="H484" s="135"/>
      <c r="I484" s="135"/>
      <c r="J484" s="135"/>
      <c r="K484" s="135"/>
      <c r="L484" s="189"/>
      <c r="M484" s="135"/>
      <c r="N484" s="189"/>
      <c r="O484" s="135"/>
      <c r="P484" s="229"/>
      <c r="Q484" s="135"/>
      <c r="R484" s="135"/>
      <c r="S484" s="135"/>
      <c r="T484" s="135"/>
      <c r="U484" s="135"/>
      <c r="V484" s="135"/>
    </row>
    <row r="485" customFormat="false" ht="15.75" hidden="false" customHeight="true" outlineLevel="0" collapsed="false">
      <c r="A485" s="135"/>
      <c r="B485" s="135"/>
      <c r="C485" s="135"/>
      <c r="D485" s="229"/>
      <c r="E485" s="135"/>
      <c r="F485" s="189"/>
      <c r="G485" s="135"/>
      <c r="H485" s="135"/>
      <c r="I485" s="135"/>
      <c r="J485" s="135"/>
      <c r="K485" s="135"/>
      <c r="L485" s="189"/>
      <c r="M485" s="135"/>
      <c r="N485" s="189"/>
      <c r="O485" s="135"/>
      <c r="P485" s="229"/>
      <c r="Q485" s="135"/>
      <c r="R485" s="135"/>
      <c r="S485" s="135"/>
      <c r="T485" s="135"/>
      <c r="U485" s="135"/>
      <c r="V485" s="135"/>
    </row>
    <row r="486" customFormat="false" ht="15.75" hidden="false" customHeight="true" outlineLevel="0" collapsed="false">
      <c r="A486" s="135"/>
      <c r="B486" s="135"/>
      <c r="C486" s="135"/>
      <c r="D486" s="229"/>
      <c r="E486" s="135"/>
      <c r="F486" s="189"/>
      <c r="G486" s="135"/>
      <c r="H486" s="135"/>
      <c r="I486" s="135"/>
      <c r="J486" s="135"/>
      <c r="K486" s="135"/>
      <c r="L486" s="189"/>
      <c r="M486" s="135"/>
      <c r="N486" s="189"/>
      <c r="O486" s="135"/>
      <c r="P486" s="229"/>
      <c r="Q486" s="135"/>
      <c r="R486" s="135"/>
      <c r="S486" s="135"/>
      <c r="T486" s="135"/>
      <c r="U486" s="135"/>
      <c r="V486" s="135"/>
    </row>
    <row r="487" customFormat="false" ht="15.75" hidden="false" customHeight="true" outlineLevel="0" collapsed="false">
      <c r="A487" s="135"/>
      <c r="B487" s="135"/>
      <c r="C487" s="135"/>
      <c r="D487" s="229"/>
      <c r="E487" s="135"/>
      <c r="F487" s="189"/>
      <c r="G487" s="135"/>
      <c r="H487" s="135"/>
      <c r="I487" s="135"/>
      <c r="J487" s="135"/>
      <c r="K487" s="135"/>
      <c r="L487" s="189"/>
      <c r="M487" s="135"/>
      <c r="N487" s="189"/>
      <c r="O487" s="135"/>
      <c r="P487" s="229"/>
      <c r="Q487" s="135"/>
      <c r="R487" s="135"/>
      <c r="S487" s="135"/>
      <c r="T487" s="135"/>
      <c r="U487" s="135"/>
      <c r="V487" s="135"/>
    </row>
    <row r="488" customFormat="false" ht="15.75" hidden="false" customHeight="true" outlineLevel="0" collapsed="false">
      <c r="A488" s="135"/>
      <c r="B488" s="135"/>
      <c r="C488" s="135"/>
      <c r="D488" s="229"/>
      <c r="E488" s="135"/>
      <c r="F488" s="189"/>
      <c r="G488" s="135"/>
      <c r="H488" s="135"/>
      <c r="I488" s="135"/>
      <c r="J488" s="135"/>
      <c r="K488" s="135"/>
      <c r="L488" s="189"/>
      <c r="M488" s="135"/>
      <c r="N488" s="189"/>
      <c r="O488" s="135"/>
      <c r="P488" s="229"/>
      <c r="Q488" s="135"/>
      <c r="R488" s="135"/>
      <c r="S488" s="135"/>
      <c r="T488" s="135"/>
      <c r="U488" s="135"/>
      <c r="V488" s="135"/>
    </row>
    <row r="489" customFormat="false" ht="15.75" hidden="false" customHeight="true" outlineLevel="0" collapsed="false">
      <c r="A489" s="135"/>
      <c r="B489" s="135"/>
      <c r="C489" s="135"/>
      <c r="D489" s="229"/>
      <c r="E489" s="135"/>
      <c r="F489" s="189"/>
      <c r="G489" s="135"/>
      <c r="H489" s="135"/>
      <c r="I489" s="135"/>
      <c r="J489" s="135"/>
      <c r="K489" s="135"/>
      <c r="L489" s="189"/>
      <c r="M489" s="135"/>
      <c r="N489" s="189"/>
      <c r="O489" s="135"/>
      <c r="P489" s="229"/>
      <c r="Q489" s="135"/>
      <c r="R489" s="135"/>
      <c r="S489" s="135"/>
      <c r="T489" s="135"/>
      <c r="U489" s="135"/>
      <c r="V489" s="135"/>
    </row>
    <row r="490" customFormat="false" ht="15.75" hidden="false" customHeight="true" outlineLevel="0" collapsed="false">
      <c r="A490" s="135"/>
      <c r="B490" s="135"/>
      <c r="C490" s="135"/>
      <c r="D490" s="229"/>
      <c r="E490" s="135"/>
      <c r="F490" s="189"/>
      <c r="G490" s="135"/>
      <c r="H490" s="135"/>
      <c r="I490" s="135"/>
      <c r="J490" s="135"/>
      <c r="K490" s="135"/>
      <c r="L490" s="189"/>
      <c r="M490" s="135"/>
      <c r="N490" s="189"/>
      <c r="O490" s="135"/>
      <c r="P490" s="229"/>
      <c r="Q490" s="135"/>
      <c r="R490" s="135"/>
      <c r="S490" s="135"/>
      <c r="T490" s="135"/>
      <c r="U490" s="135"/>
      <c r="V490" s="135"/>
    </row>
    <row r="491" customFormat="false" ht="15.75" hidden="false" customHeight="true" outlineLevel="0" collapsed="false">
      <c r="A491" s="135"/>
      <c r="B491" s="135"/>
      <c r="C491" s="135"/>
      <c r="D491" s="229"/>
      <c r="E491" s="135"/>
      <c r="F491" s="189"/>
      <c r="G491" s="135"/>
      <c r="H491" s="135"/>
      <c r="I491" s="135"/>
      <c r="J491" s="135"/>
      <c r="K491" s="135"/>
      <c r="L491" s="189"/>
      <c r="M491" s="135"/>
      <c r="N491" s="189"/>
      <c r="O491" s="135"/>
      <c r="P491" s="229"/>
      <c r="Q491" s="135"/>
      <c r="R491" s="135"/>
      <c r="S491" s="135"/>
      <c r="T491" s="135"/>
      <c r="U491" s="135"/>
      <c r="V491" s="135"/>
    </row>
    <row r="492" customFormat="false" ht="15.75" hidden="false" customHeight="true" outlineLevel="0" collapsed="false">
      <c r="A492" s="135"/>
      <c r="B492" s="135"/>
      <c r="C492" s="135"/>
      <c r="D492" s="229"/>
      <c r="E492" s="135"/>
      <c r="F492" s="189"/>
      <c r="G492" s="135"/>
      <c r="H492" s="135"/>
      <c r="I492" s="135"/>
      <c r="J492" s="135"/>
      <c r="K492" s="135"/>
      <c r="L492" s="189"/>
      <c r="M492" s="135"/>
      <c r="N492" s="189"/>
      <c r="O492" s="135"/>
      <c r="P492" s="229"/>
      <c r="Q492" s="135"/>
      <c r="R492" s="135"/>
      <c r="S492" s="135"/>
      <c r="T492" s="135"/>
      <c r="U492" s="135"/>
      <c r="V492" s="135"/>
    </row>
    <row r="493" customFormat="false" ht="15.75" hidden="false" customHeight="true" outlineLevel="0" collapsed="false">
      <c r="A493" s="135"/>
      <c r="B493" s="135"/>
      <c r="C493" s="135"/>
      <c r="D493" s="229"/>
      <c r="E493" s="135"/>
      <c r="F493" s="189"/>
      <c r="G493" s="135"/>
      <c r="H493" s="135"/>
      <c r="I493" s="135"/>
      <c r="J493" s="135"/>
      <c r="K493" s="135"/>
      <c r="L493" s="189"/>
      <c r="M493" s="135"/>
      <c r="N493" s="189"/>
      <c r="O493" s="135"/>
      <c r="P493" s="229"/>
      <c r="Q493" s="135"/>
      <c r="R493" s="135"/>
      <c r="S493" s="135"/>
      <c r="T493" s="135"/>
      <c r="U493" s="135"/>
      <c r="V493" s="135"/>
    </row>
    <row r="494" customFormat="false" ht="15.75" hidden="false" customHeight="true" outlineLevel="0" collapsed="false">
      <c r="A494" s="135"/>
      <c r="B494" s="135"/>
      <c r="C494" s="135"/>
      <c r="D494" s="229"/>
      <c r="E494" s="135"/>
      <c r="F494" s="189"/>
      <c r="G494" s="135"/>
      <c r="H494" s="135"/>
      <c r="I494" s="135"/>
      <c r="J494" s="135"/>
      <c r="K494" s="135"/>
      <c r="L494" s="189"/>
      <c r="M494" s="135"/>
      <c r="N494" s="189"/>
      <c r="O494" s="135"/>
      <c r="P494" s="229"/>
      <c r="Q494" s="135"/>
      <c r="R494" s="135"/>
      <c r="S494" s="135"/>
      <c r="T494" s="135"/>
      <c r="U494" s="135"/>
      <c r="V494" s="135"/>
    </row>
    <row r="495" customFormat="false" ht="15.75" hidden="false" customHeight="true" outlineLevel="0" collapsed="false">
      <c r="A495" s="135"/>
      <c r="B495" s="135"/>
      <c r="C495" s="135"/>
      <c r="D495" s="229"/>
      <c r="E495" s="135"/>
      <c r="F495" s="189"/>
      <c r="G495" s="135"/>
      <c r="H495" s="135"/>
      <c r="I495" s="135"/>
      <c r="J495" s="135"/>
      <c r="K495" s="135"/>
      <c r="L495" s="189"/>
      <c r="M495" s="135"/>
      <c r="N495" s="189"/>
      <c r="O495" s="135"/>
      <c r="P495" s="229"/>
      <c r="Q495" s="135"/>
      <c r="R495" s="135"/>
      <c r="S495" s="135"/>
      <c r="T495" s="135"/>
      <c r="U495" s="135"/>
      <c r="V495" s="135"/>
    </row>
    <row r="496" customFormat="false" ht="15.75" hidden="false" customHeight="true" outlineLevel="0" collapsed="false">
      <c r="A496" s="135"/>
      <c r="B496" s="135"/>
      <c r="C496" s="135"/>
      <c r="D496" s="229"/>
      <c r="E496" s="135"/>
      <c r="F496" s="189"/>
      <c r="G496" s="135"/>
      <c r="H496" s="135"/>
      <c r="I496" s="135"/>
      <c r="J496" s="135"/>
      <c r="K496" s="135"/>
      <c r="L496" s="189"/>
      <c r="M496" s="135"/>
      <c r="N496" s="189"/>
      <c r="O496" s="135"/>
      <c r="P496" s="229"/>
      <c r="Q496" s="135"/>
      <c r="R496" s="135"/>
      <c r="S496" s="135"/>
      <c r="T496" s="135"/>
      <c r="U496" s="135"/>
      <c r="V496" s="135"/>
    </row>
    <row r="497" customFormat="false" ht="15.75" hidden="false" customHeight="true" outlineLevel="0" collapsed="false">
      <c r="A497" s="135"/>
      <c r="B497" s="135"/>
      <c r="C497" s="135"/>
      <c r="D497" s="229"/>
      <c r="E497" s="135"/>
      <c r="F497" s="189"/>
      <c r="G497" s="135"/>
      <c r="H497" s="135"/>
      <c r="I497" s="135"/>
      <c r="J497" s="135"/>
      <c r="K497" s="135"/>
      <c r="L497" s="189"/>
      <c r="M497" s="135"/>
      <c r="N497" s="189"/>
      <c r="O497" s="135"/>
      <c r="P497" s="229"/>
      <c r="Q497" s="135"/>
      <c r="R497" s="135"/>
      <c r="S497" s="135"/>
      <c r="T497" s="135"/>
      <c r="U497" s="135"/>
      <c r="V497" s="135"/>
    </row>
    <row r="498" customFormat="false" ht="15.75" hidden="false" customHeight="true" outlineLevel="0" collapsed="false">
      <c r="A498" s="135"/>
      <c r="B498" s="135"/>
      <c r="C498" s="135"/>
      <c r="D498" s="229"/>
      <c r="E498" s="135"/>
      <c r="F498" s="189"/>
      <c r="G498" s="135"/>
      <c r="H498" s="135"/>
      <c r="I498" s="135"/>
      <c r="J498" s="135"/>
      <c r="K498" s="135"/>
      <c r="L498" s="189"/>
      <c r="M498" s="135"/>
      <c r="N498" s="189"/>
      <c r="O498" s="135"/>
      <c r="P498" s="229"/>
      <c r="Q498" s="135"/>
      <c r="R498" s="135"/>
      <c r="S498" s="135"/>
      <c r="T498" s="135"/>
      <c r="U498" s="135"/>
      <c r="V498" s="135"/>
    </row>
    <row r="499" customFormat="false" ht="15.75" hidden="false" customHeight="true" outlineLevel="0" collapsed="false">
      <c r="A499" s="135"/>
      <c r="B499" s="135"/>
      <c r="C499" s="135"/>
      <c r="D499" s="229"/>
      <c r="E499" s="135"/>
      <c r="F499" s="189"/>
      <c r="G499" s="135"/>
      <c r="H499" s="135"/>
      <c r="I499" s="135"/>
      <c r="J499" s="135"/>
      <c r="K499" s="135"/>
      <c r="L499" s="189"/>
      <c r="M499" s="135"/>
      <c r="N499" s="189"/>
      <c r="O499" s="135"/>
      <c r="P499" s="229"/>
      <c r="Q499" s="135"/>
      <c r="R499" s="135"/>
      <c r="S499" s="135"/>
      <c r="T499" s="135"/>
      <c r="U499" s="135"/>
      <c r="V499" s="135"/>
    </row>
    <row r="500" customFormat="false" ht="15.75" hidden="false" customHeight="true" outlineLevel="0" collapsed="false">
      <c r="A500" s="135"/>
      <c r="B500" s="135"/>
      <c r="C500" s="135"/>
      <c r="D500" s="229"/>
      <c r="E500" s="135"/>
      <c r="F500" s="189"/>
      <c r="G500" s="135"/>
      <c r="H500" s="135"/>
      <c r="I500" s="135"/>
      <c r="J500" s="135"/>
      <c r="K500" s="135"/>
      <c r="L500" s="189"/>
      <c r="M500" s="135"/>
      <c r="N500" s="189"/>
      <c r="O500" s="135"/>
      <c r="P500" s="229"/>
      <c r="Q500" s="135"/>
      <c r="R500" s="135"/>
      <c r="S500" s="135"/>
      <c r="T500" s="135"/>
      <c r="U500" s="135"/>
      <c r="V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S6"/>
  <conditionalFormatting sqref="H4:H1000">
    <cfRule type="expression" priority="2" aboveAverage="0" equalAverage="0" bottom="0" percent="0" rank="0" text="" dxfId="14">
      <formula>ISNUMBER(SEARCH("high",H4))</formula>
    </cfRule>
    <cfRule type="expression" priority="3" aboveAverage="0" equalAverage="0" bottom="0" percent="0" rank="0" text="" dxfId="15">
      <formula>ISNUMBER(SEARCH("medium",H4))</formula>
    </cfRule>
  </conditionalFormatting>
  <conditionalFormatting sqref="J4:J1000">
    <cfRule type="expression" priority="4" aboveAverage="0" equalAverage="0" bottom="0" percent="0" rank="0" text="" dxfId="18">
      <formula>ISNUMBER(SEARCH("resolved",J4))</formula>
    </cfRule>
    <cfRule type="expression" priority="5" aboveAverage="0" equalAverage="0" bottom="0" percent="0" rank="0" text="" dxfId="14">
      <formula>ISNUMBER(SEARCH("escalated",J4))</formula>
    </cfRule>
    <cfRule type="expression" priority="6" aboveAverage="0" equalAverage="0" bottom="0" percent="0" rank="0" text="" dxfId="15">
      <formula>ISNUMBER(SEARCH("new",J4))</formula>
    </cfRule>
  </conditionalFormatting>
  <conditionalFormatting sqref="R4:R1000">
    <cfRule type="expression" priority="7" aboveAverage="0" equalAverage="0" bottom="0" percent="0" rank="0" text="" dxfId="14">
      <formula>ISNUMBER(SEARCH("Quá SLA",R4))</formula>
    </cfRule>
    <cfRule type="expression" priority="8" aboveAverage="0" equalAverage="0" bottom="0" percent="0" rank="0" text="" dxfId="18">
      <formula>ISNUMBER(SEARCH("✓",R4))</formula>
    </cfRule>
  </conditionalFormatting>
  <conditionalFormatting sqref="T4:T1000">
    <cfRule type="expression" priority="9" aboveAverage="0" equalAverage="0" bottom="0" percent="0" rank="0" text="" dxfId="14">
      <formula>ISNUMBER(SEARCH("⚠",T4))</formula>
    </cfRule>
    <cfRule type="expression" priority="10" aboveAverage="0" equalAverage="0" bottom="0" percent="0" rank="0" text="" dxfId="18">
      <formula>ISNUMBER(SEARCH("✓",T4))</formula>
    </cfRule>
    <cfRule type="expression" priority="11" aboveAverage="0" equalAverage="0" bottom="0" percent="0" rank="0" text="" dxfId="14">
      <formula>OR(ISNUMBER(SEARCH("Quá SLA",T4)),ISNUMBER(SEARCH("NGAY",T4)),ISNUMBER(SEARCH("GẤP",T4)),ISNUMBER(SEARCH("NGUY HIỂM",T4)),ISNUMBER(SEARCH("XỬ LÝ",T4)),ISNUMBER(SEARCH("THAM GIA",T4)),ISNUMBER(SEARCH("LH GẤP",T4)))</formula>
    </cfRule>
    <cfRule type="expression" priority="12" aboveAverage="0" equalAverage="0" bottom="0" percent="0" rank="0" text="" dxfId="15">
      <formula>OR(ISNUMBER(SEARCH("đến hạn",T4)),ISNUMBER(SEARCH("còn ",T4)),ISNUMBER(SEARCH("trong SLA",T4)),ISNUMBER(SEARCH("chốt",T4)),ISNUMBER(SEARCH("LH chốt",T4)),ISNUMBER(SEARCH("Follow-up",T4)),ISNUMBER(SEARCH("Phân tích",T4)),ISNUMBER(SEARCH("đến hạn",T4)),ISNUMBER(SEARCH("Set ",T4)))</formula>
    </cfRule>
    <cfRule type="expression" priority="13" aboveAverage="0" equalAverage="0" bottom="0" percent="0" rank="0" text="" dxfId="19">
      <formula>OR(ISNUMBER(SEARCH(" ngay",T4)),ISNUMBER(SEARCH(" gấp",T4)),ISNUMBER(SEARCH("GỌI",T4)),ISNUMBER(SEARCH("NGUY",T4)))</formula>
    </cfRule>
    <cfRule type="expression" priority="14" aboveAverage="0" equalAverage="0" bottom="0" percent="0" rank="0" text="" dxfId="20">
      <formula>ISNUMBER(SEARCH("Không cần làm gì",T4))</formula>
    </cfRule>
    <cfRule type="expression" priority="15" aboveAverage="0" equalAverage="0" bottom="0" percent="0" rank="0" text="" dxfId="21">
      <formula>LEN(T4)&gt;0</formula>
    </cfRule>
  </conditionalFormatting>
  <dataValidations count="5">
    <dataValidation allowBlank="true" errorStyle="stop" operator="between" showDropDown="false" showErrorMessage="false" showInputMessage="false" sqref="O4:O1000" type="list">
      <formula1>'CH1. Danh mục lựa chọn'!$B$347:$B$349</formula1>
      <formula2>0</formula2>
    </dataValidation>
    <dataValidation allowBlank="true" errorStyle="stop" operator="between" showDropDown="false" showErrorMessage="false" showInputMessage="false" sqref="E4:E1000" type="list">
      <formula1>'CH1. Danh mục lựa chọn'!$B$317:$B$320</formula1>
      <formula2>0</formula2>
    </dataValidation>
    <dataValidation allowBlank="true" errorStyle="stop" operator="between" showDropDown="false" showErrorMessage="false" showInputMessage="false" sqref="G4:G1000" type="list">
      <formula1>'CH1. Danh mục lựa chọn'!$B$324:$B$329</formula1>
      <formula2>0</formula2>
    </dataValidation>
    <dataValidation allowBlank="true" errorStyle="stop" operator="between" showDropDown="false" showErrorMessage="false" showInputMessage="false" sqref="H4:H1000" type="list">
      <formula1>'CH1. Danh mục lựa chọn'!$B$333:$B$335</formula1>
      <formula2>0</formula2>
    </dataValidation>
    <dataValidation allowBlank="true" errorStyle="stop" operator="between" showDropDown="false" showErrorMessage="false" showInputMessage="false" sqref="J4:J1000" type="list">
      <formula1>'CH1. Danh mục lựa chọn'!$B$339:$B$343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9.71"/>
    <col collapsed="false" customWidth="true" hidden="false" outlineLevel="0" max="2" min="2" style="1" width="15.71"/>
    <col collapsed="false" customWidth="true" hidden="false" outlineLevel="0" max="3" min="3" style="1" width="19.29"/>
    <col collapsed="false" customWidth="true" hidden="false" outlineLevel="0" max="4" min="4" style="1" width="17.71"/>
    <col collapsed="false" customWidth="true" hidden="false" outlineLevel="0" max="5" min="5" style="1" width="31"/>
    <col collapsed="false" customWidth="true" hidden="false" outlineLevel="0" max="6" min="6" style="1" width="32.86"/>
    <col collapsed="false" customWidth="true" hidden="false" outlineLevel="0" max="7" min="7" style="1" width="22.29"/>
    <col collapsed="false" customWidth="true" hidden="false" outlineLevel="0" max="8" min="8" style="1" width="21.84"/>
    <col collapsed="false" customWidth="true" hidden="false" outlineLevel="0" max="9" min="9" style="1" width="21.14"/>
    <col collapsed="false" customWidth="true" hidden="false" outlineLevel="0" max="10" min="10" style="1" width="19.43"/>
    <col collapsed="false" customWidth="true" hidden="false" outlineLevel="0" max="11" min="11" style="1" width="18.29"/>
    <col collapsed="false" customWidth="true" hidden="false" outlineLevel="0" max="12" min="12" style="1" width="17.71"/>
    <col collapsed="false" customWidth="true" hidden="false" outlineLevel="0" max="13" min="13" style="1" width="20"/>
    <col collapsed="false" customWidth="true" hidden="false" outlineLevel="0" max="14" min="14" style="1" width="20.57"/>
    <col collapsed="false" customWidth="true" hidden="false" outlineLevel="0" max="15" min="15" style="1" width="42"/>
    <col collapsed="false" customWidth="true" hidden="false" outlineLevel="0" max="16" min="16" style="1" width="24.43"/>
    <col collapsed="false" customWidth="true" hidden="false" outlineLevel="0" max="17" min="17" style="1" width="21.57"/>
    <col collapsed="false" customWidth="true" hidden="false" outlineLevel="0" max="18" min="18" style="1" width="30.14"/>
    <col collapsed="false" customWidth="true" hidden="false" outlineLevel="0" max="19" min="19" style="1" width="37.43"/>
    <col collapsed="false" customWidth="true" hidden="false" outlineLevel="0" max="20" min="20" style="1" width="43.86"/>
    <col collapsed="false" customWidth="true" hidden="false" outlineLevel="0" max="21" min="21" style="1" width="34.85"/>
    <col collapsed="false" customWidth="true" hidden="false" outlineLevel="0" max="22" min="22" style="1" width="25.43"/>
    <col collapsed="false" customWidth="true" hidden="false" outlineLevel="0" max="23" min="23" style="1" width="25.29"/>
    <col collapsed="false" customWidth="true" hidden="false" outlineLevel="0" max="24" min="24" style="1" width="23.57"/>
    <col collapsed="false" customWidth="true" hidden="false" outlineLevel="0" max="25" min="25" style="1" width="56.43"/>
    <col collapsed="false" customWidth="true" hidden="false" outlineLevel="0" max="26" min="26" style="1" width="18.43"/>
    <col collapsed="false" customWidth="true" hidden="false" outlineLevel="0" max="27" min="27" style="1" width="42"/>
  </cols>
  <sheetData>
    <row r="1" customFormat="false" ht="21.75" hidden="false" customHeight="true" outlineLevel="0" collapsed="false">
      <c r="A1" s="109" t="s">
        <v>3618</v>
      </c>
      <c r="B1" s="109" t="s">
        <v>850</v>
      </c>
      <c r="C1" s="109" t="s">
        <v>867</v>
      </c>
      <c r="D1" s="109" t="s">
        <v>872</v>
      </c>
      <c r="E1" s="109" t="s">
        <v>3619</v>
      </c>
      <c r="F1" s="109" t="s">
        <v>3051</v>
      </c>
      <c r="G1" s="109" t="s">
        <v>910</v>
      </c>
      <c r="H1" s="109" t="s">
        <v>912</v>
      </c>
      <c r="I1" s="109" t="s">
        <v>3620</v>
      </c>
      <c r="J1" s="109" t="s">
        <v>3621</v>
      </c>
      <c r="K1" s="109" t="s">
        <v>3622</v>
      </c>
      <c r="L1" s="109" t="s">
        <v>3623</v>
      </c>
      <c r="M1" s="109" t="s">
        <v>3624</v>
      </c>
      <c r="N1" s="109" t="s">
        <v>2476</v>
      </c>
      <c r="O1" s="109" t="s">
        <v>3625</v>
      </c>
      <c r="P1" s="109" t="s">
        <v>460</v>
      </c>
      <c r="Q1" s="109" t="s">
        <v>3626</v>
      </c>
      <c r="R1" s="109" t="s">
        <v>3627</v>
      </c>
      <c r="S1" s="109" t="s">
        <v>3628</v>
      </c>
      <c r="T1" s="109" t="s">
        <v>3629</v>
      </c>
      <c r="U1" s="109" t="s">
        <v>3630</v>
      </c>
      <c r="V1" s="109" t="s">
        <v>3631</v>
      </c>
      <c r="W1" s="109" t="s">
        <v>3632</v>
      </c>
      <c r="X1" s="109" t="s">
        <v>3633</v>
      </c>
      <c r="Y1" s="183" t="s">
        <v>480</v>
      </c>
      <c r="Z1" s="241" t="s">
        <v>862</v>
      </c>
      <c r="AA1" s="241" t="s">
        <v>875</v>
      </c>
    </row>
    <row r="2" customFormat="false" ht="18" hidden="false" customHeight="true" outlineLevel="0" collapsed="false">
      <c r="A2" s="176" t="s">
        <v>3634</v>
      </c>
      <c r="B2" s="176" t="s">
        <v>2857</v>
      </c>
      <c r="C2" s="176" t="s">
        <v>2997</v>
      </c>
      <c r="D2" s="176" t="s">
        <v>3002</v>
      </c>
      <c r="E2" s="176" t="s">
        <v>3635</v>
      </c>
      <c r="F2" s="176" t="s">
        <v>3636</v>
      </c>
      <c r="G2" s="176" t="s">
        <v>2092</v>
      </c>
      <c r="H2" s="176" t="s">
        <v>3637</v>
      </c>
      <c r="I2" s="176" t="s">
        <v>3638</v>
      </c>
      <c r="J2" s="176" t="s">
        <v>1194</v>
      </c>
      <c r="K2" s="176" t="s">
        <v>1196</v>
      </c>
      <c r="L2" s="176" t="s">
        <v>1198</v>
      </c>
      <c r="M2" s="176" t="s">
        <v>1200</v>
      </c>
      <c r="N2" s="176" t="s">
        <v>3639</v>
      </c>
      <c r="O2" s="176" t="s">
        <v>3640</v>
      </c>
      <c r="P2" s="176" t="s">
        <v>3641</v>
      </c>
      <c r="Q2" s="176" t="s">
        <v>3642</v>
      </c>
      <c r="R2" s="176" t="s">
        <v>3643</v>
      </c>
      <c r="S2" s="176" t="s">
        <v>3644</v>
      </c>
      <c r="T2" s="176" t="s">
        <v>3645</v>
      </c>
      <c r="U2" s="176" t="s">
        <v>3646</v>
      </c>
      <c r="V2" s="176" t="s">
        <v>3647</v>
      </c>
      <c r="W2" s="176" t="s">
        <v>3648</v>
      </c>
      <c r="X2" s="176" t="s">
        <v>3649</v>
      </c>
      <c r="Y2" s="176" t="s">
        <v>2503</v>
      </c>
      <c r="Z2" s="191" t="s">
        <v>2873</v>
      </c>
      <c r="AA2" s="191" t="s">
        <v>3010</v>
      </c>
    </row>
    <row r="3" customFormat="false" ht="27.75" hidden="false" customHeight="true" outlineLevel="0" collapsed="false">
      <c r="A3" s="195" t="s">
        <v>3650</v>
      </c>
      <c r="B3" s="195" t="s">
        <v>3315</v>
      </c>
      <c r="C3" s="195" t="s">
        <v>3651</v>
      </c>
      <c r="D3" s="195" t="s">
        <v>3652</v>
      </c>
      <c r="E3" s="195" t="s">
        <v>2291</v>
      </c>
      <c r="F3" s="195" t="s">
        <v>3653</v>
      </c>
      <c r="G3" s="195" t="s">
        <v>3654</v>
      </c>
      <c r="H3" s="195" t="s">
        <v>3655</v>
      </c>
      <c r="I3" s="195" t="s">
        <v>3656</v>
      </c>
      <c r="J3" s="195" t="s">
        <v>3657</v>
      </c>
      <c r="K3" s="195" t="s">
        <v>3658</v>
      </c>
      <c r="L3" s="195" t="s">
        <v>3659</v>
      </c>
      <c r="M3" s="195" t="s">
        <v>3660</v>
      </c>
      <c r="N3" s="195" t="s">
        <v>3661</v>
      </c>
      <c r="O3" s="195" t="s">
        <v>3662</v>
      </c>
      <c r="P3" s="195" t="s">
        <v>3663</v>
      </c>
      <c r="Q3" s="195" t="s">
        <v>3664</v>
      </c>
      <c r="R3" s="195" t="s">
        <v>3665</v>
      </c>
      <c r="S3" s="195" t="s">
        <v>2780</v>
      </c>
      <c r="T3" s="195" t="s">
        <v>2514</v>
      </c>
      <c r="U3" s="195" t="s">
        <v>2291</v>
      </c>
      <c r="V3" s="195" t="s">
        <v>3666</v>
      </c>
      <c r="W3" s="195" t="s">
        <v>3667</v>
      </c>
      <c r="X3" s="195" t="s">
        <v>3553</v>
      </c>
      <c r="Y3" s="195" t="s">
        <v>2523</v>
      </c>
      <c r="Z3" s="242" t="s">
        <v>2888</v>
      </c>
      <c r="AA3" s="242" t="s">
        <v>3022</v>
      </c>
    </row>
    <row r="4" customFormat="false" ht="39" hidden="false" customHeight="true" outlineLevel="0" collapsed="false">
      <c r="A4" s="209" t="s">
        <v>3668</v>
      </c>
      <c r="B4" s="210" t="str">
        <f aca="false">IFERROR(HYPERLINK("#'DL09. Học viên'!A"&amp;MATCH("HV002",'DL09. Học viên'!A:A,0),"HV002"),"HV002")</f>
        <v>HV002</v>
      </c>
      <c r="C4" s="210" t="str">
        <f aca="false">IFERROR(HYPERLINK("#'DL09. Học viên'!A"&amp;MATCH("ENR-2026-002",'DL06. Đăng ký'!A:A,0),"ENR-2026-002"),"ENR-2026-002")</f>
        <v>ENR-2026-002</v>
      </c>
      <c r="D4" s="210" t="str">
        <f aca="false">IFERROR(HYPERLINK("#'DL09. Học viên'!A"&amp;MATCH("LOP-IELTS-6.5-04",'DL10. Lớp học'!A:A,0),"LOP-IELTS-6.5-04"),"LOP-IELTS-6.5-04")</f>
        <v>LOP-IELTS-6.5-04</v>
      </c>
      <c r="E4" s="211" t="n">
        <v>46204.375</v>
      </c>
      <c r="F4" s="209" t="s">
        <v>1127</v>
      </c>
      <c r="G4" s="249" t="n">
        <f aca="false">IFERROR((COUNTIFS('DL12. Điểm danh'!C4:C1000,B4,'DL12. Điểm danh'!E4:E1000,"*on_time*")+COUNTIFS('DL12. Điểm danh'!C4:C1000,B4,'DL12. Điểm danh'!E4:E1000,"*late*"))/COUNTIFS('DL12. Điểm danh'!C4:C1000,B4),"")</f>
        <v>1</v>
      </c>
      <c r="H4" s="249" t="n">
        <f aca="false">IFERROR(COUNTIFS('DL13. Bài tập'!D4:D1000,B4,'DL13. Bài tập'!L4:L1000,"*submitted*")/COUNTIFS('DL13. Bài tập'!D4:D1000,B4),"")</f>
        <v>1</v>
      </c>
      <c r="I4" s="250"/>
      <c r="J4" s="250"/>
      <c r="K4" s="250"/>
      <c r="L4" s="250"/>
      <c r="M4" s="250"/>
      <c r="N4" s="250" t="n">
        <v>6.5</v>
      </c>
      <c r="O4" s="209"/>
      <c r="P4" s="209"/>
      <c r="Q4" s="209"/>
      <c r="R4" s="209"/>
      <c r="S4" s="209"/>
      <c r="T4" s="209" t="s">
        <v>1322</v>
      </c>
      <c r="U4" s="211"/>
      <c r="V4" s="209"/>
      <c r="W4" s="209"/>
      <c r="X4" s="235" t="n">
        <v>0</v>
      </c>
      <c r="Y4" s="212" t="str">
        <f aca="true" t="array" ref="Y4:Y4">IF(AND(ISNUMBER(SEARCH("completed",F4)),I4="",(NOW()-N(E4))&gt;slaFinalTest_days),INDEX('CH4. Thông điệp nhắc việc'!$G:$G,MATCH("NA082",'CH4. Thông điệp nhắc việc'!$A:$A,0)),IF(AND(ISNUMBER(SEARCH("interested",T4)),W4="",(NOW()-N(E4))&gt;slaReenrollSchedule_days),INDEX('CH4. Thông điệp nhắc việc'!$G:$G,MATCH("NA083",'CH4. Thông điệp nhắc việc'!$A:$A,0)),IF(AND(ISNUMBER(SEARCH("completed",F4)),ISNUMBER(SEARCH("not_contacted",T4)),(NOW()-N(E4))&gt;slaReenroll_contact_days),INDEX('CH4. Thông điệp nhắc việc'!$G:$G,MATCH("NA042",'CH4. Thông điệp nhắc việc'!$A:$A,0)),IF(AND(ISNUMBER(SEARCH("dropped",F4)),T4=""),INDEX('CH4. Thông điệp nhắc việc'!$G:$G,MATCH("NA043",'CH4. Thông điệp nhắc việc'!$A:$A,0)),IF(ISNUMBER(SEARCH("confirmed_with_deposit",T4)),INDEX('CH4. Thông điệp nhắc việc'!$G:$G,MATCH("NA044",'CH4. Thông điệp nhắc việc'!$A:$A,0)),IF(ISNUMBER(SEARCH("rejected",T4)),INDEX('CH4. Thông điệp nhắc việc'!$G:$G,MATCH("NA084",'CH4. Thông điệp nhắc việc'!$A:$A,0)),IF(ISNUMBER(SEARCH("interested",T4)),INDEX('CH4. Thông điệp nhắc việc'!$G:$G,MATCH("NA045",'CH4. Thông điệp nhắc việc'!$A:$A,0)),"")))))))</f>
        <v>HV hoàn thành khóa nhưng quá 3 ngày (cấu hình slaFinalTest_days) chưa có điểm test cuối. Việc cần làm: nhập điểm test cuối ngay.</v>
      </c>
      <c r="Z4" s="224" t="str">
        <f aca="false">IFERROR(VLOOKUP(B4,'DL09. Học viên'!$A:$B,2,FALSE()),"")</f>
        <v>Lê Thị Bích Ngọc</v>
      </c>
      <c r="AA4" s="224" t="str">
        <f aca="false">IFERROR(VLOOKUP(D4,'DL10. Lớp học'!$A:$B,2,FALSE()),"")</f>
        <v>IELTS 6.5 Tối T2-T4-T6 (10/2025)</v>
      </c>
    </row>
    <row r="5" customFormat="false" ht="39" hidden="false" customHeight="true" outlineLevel="0" collapsed="false">
      <c r="A5" s="209" t="s">
        <v>3669</v>
      </c>
      <c r="B5" s="210" t="str">
        <f aca="false">IFERROR(HYPERLINK("#'DL09. Học viên'!A"&amp;MATCH("HV007",'DL09. Học viên'!A:A,0),"HV007"),"HV007")</f>
        <v>HV007</v>
      </c>
      <c r="C5" s="210" t="str">
        <f aca="false">IFERROR(HYPERLINK("#'DL09. Học viên'!A"&amp;MATCH("ENR-2026-007",'DL06. Đăng ký'!A:A,0),"ENR-2026-007"),"ENR-2026-007")</f>
        <v>ENR-2026-007</v>
      </c>
      <c r="D5" s="210" t="str">
        <f aca="false">IFERROR(HYPERLINK("#'DL09. Học viên'!A"&amp;MATCH("LOP-PRE-06",'DL10. Lớp học'!A:A,0),"LOP-PRE-06"),"LOP-PRE-06")</f>
        <v>LOP-PRE-06</v>
      </c>
      <c r="E5" s="211" t="n">
        <v>46173.375</v>
      </c>
      <c r="F5" s="209" t="s">
        <v>1128</v>
      </c>
      <c r="G5" s="249" t="str">
        <f aca="false">IFERROR((COUNTIFS('DL12. Điểm danh'!C4:C1000,B5,'DL12. Điểm danh'!E4:E1000,"*on_time*")+COUNTIFS('DL12. Điểm danh'!C4:C1000,B5,'DL12. Điểm danh'!E4:E1000,"*late*"))/COUNTIFS('DL12. Điểm danh'!C4:C1000,B5),"")</f>
        <v/>
      </c>
      <c r="H5" s="249" t="str">
        <f aca="false">IFERROR(COUNTIFS('DL13. Bài tập'!D4:D1000,B5,'DL13. Bài tập'!L4:L1000,"*submitted*")/COUNTIFS('DL13. Bài tập'!D4:D1000,B5),"")</f>
        <v/>
      </c>
      <c r="I5" s="250"/>
      <c r="J5" s="250"/>
      <c r="K5" s="250"/>
      <c r="L5" s="250"/>
      <c r="M5" s="250"/>
      <c r="N5" s="250" t="n">
        <v>5.5</v>
      </c>
      <c r="O5" s="209" t="s">
        <v>1318</v>
      </c>
      <c r="P5" s="209"/>
      <c r="Q5" s="209" t="s">
        <v>3670</v>
      </c>
      <c r="R5" s="209"/>
      <c r="S5" s="209"/>
      <c r="T5" s="209" t="s">
        <v>1321</v>
      </c>
      <c r="U5" s="211"/>
      <c r="V5" s="209"/>
      <c r="W5" s="209"/>
      <c r="X5" s="235" t="n">
        <v>0</v>
      </c>
      <c r="Y5" s="212" t="str">
        <f aca="true" t="array" ref="Y5:Y5">IF(AND(ISNUMBER(SEARCH("completed",F5)),I5="",(NOW()-N(E5))&gt;slaFinalTest_days),INDEX('CH4. Thông điệp nhắc việc'!$G:$G,MATCH("NA082",'CH4. Thông điệp nhắc việc'!$A:$A,0)),IF(AND(ISNUMBER(SEARCH("interested",T5)),W5="",(NOW()-N(E5))&gt;slaReenrollSchedule_days),INDEX('CH4. Thông điệp nhắc việc'!$G:$G,MATCH("NA083",'CH4. Thông điệp nhắc việc'!$A:$A,0)),IF(AND(ISNUMBER(SEARCH("completed",F5)),ISNUMBER(SEARCH("not_contacted",T5)),(NOW()-N(E5))&gt;slaReenroll_contact_days),INDEX('CH4. Thông điệp nhắc việc'!$G:$G,MATCH("NA042",'CH4. Thông điệp nhắc việc'!$A:$A,0)),IF(AND(ISNUMBER(SEARCH("dropped",F5)),T5=""),INDEX('CH4. Thông điệp nhắc việc'!$G:$G,MATCH("NA043",'CH4. Thông điệp nhắc việc'!$A:$A,0)),IF(ISNUMBER(SEARCH("confirmed_with_deposit",T5)),INDEX('CH4. Thông điệp nhắc việc'!$G:$G,MATCH("NA044",'CH4. Thông điệp nhắc việc'!$A:$A,0)),IF(ISNUMBER(SEARCH("rejected",T5)),INDEX('CH4. Thông điệp nhắc việc'!$G:$G,MATCH("NA084",'CH4. Thông điệp nhắc việc'!$A:$A,0)),IF(ISNUMBER(SEARCH("interested",T5)),INDEX('CH4. Thông điệp nhắc việc'!$G:$G,MATCH("NA045",'CH4. Thông điệp nhắc việc'!$A:$A,0)),"")))))))</f>
        <v/>
      </c>
      <c r="Z5" s="224" t="str">
        <f aca="false">IFERROR(VLOOKUP(B5,'DL09. Học viên'!$A:$B,2,FALSE()),"")</f>
        <v>Bùi Văn Giang</v>
      </c>
      <c r="AA5" s="224" t="str">
        <f aca="false">IFERROR(VLOOKUP(D5,'DL10. Lớp học'!$A:$B,2,FALSE()),"")</f>
        <v>Pre-IELTS Buổi tối (06/2026)</v>
      </c>
    </row>
    <row r="6" customFormat="false" ht="39" hidden="false" customHeight="true" outlineLevel="0" collapsed="false">
      <c r="A6" s="209" t="s">
        <v>3671</v>
      </c>
      <c r="B6" s="210" t="str">
        <f aca="false">IFERROR(HYPERLINK("#'DL09. Học viên'!A"&amp;MATCH("HV008",'DL09. Học viên'!A:A,0),"HV008"),"HV008")</f>
        <v>HV008</v>
      </c>
      <c r="C6" s="210" t="str">
        <f aca="false">IFERROR(HYPERLINK("#'DL09. Học viên'!A"&amp;MATCH("ENR-2025-050",'DL06. Đăng ký'!A:A,0),"ENR-2025-050"),"ENR-2025-050")</f>
        <v>ENR-2025-050</v>
      </c>
      <c r="D6" s="210" t="str">
        <f aca="false">IFERROR(HYPERLINK("#'DL09. Học viên'!A"&amp;MATCH("LOP-IELTS-6.0-15",'DL10. Lớp học'!A:A,0),"LOP-IELTS-6.0-15"),"LOP-IELTS-6.0-15")</f>
        <v>LOP-IELTS-6.0-15</v>
      </c>
      <c r="E6" s="211" t="n">
        <v>46178.375</v>
      </c>
      <c r="F6" s="209" t="s">
        <v>1127</v>
      </c>
      <c r="G6" s="249" t="str">
        <f aca="false">IFERROR((COUNTIFS('DL12. Điểm danh'!C4:C1000,B6,'DL12. Điểm danh'!E4:E1000,"*on_time*")+COUNTIFS('DL12. Điểm danh'!C4:C1000,B6,'DL12. Điểm danh'!E4:E1000,"*late*"))/COUNTIFS('DL12. Điểm danh'!C4:C1000,B6),"")</f>
        <v/>
      </c>
      <c r="H6" s="249" t="str">
        <f aca="false">IFERROR(COUNTIFS('DL13. Bài tập'!D4:D1000,B6,'DL13. Bài tập'!L4:L1000,"*submitted*")/COUNTIFS('DL13. Bài tập'!D4:D1000,B6),"")</f>
        <v/>
      </c>
      <c r="I6" s="250" t="n">
        <v>6.5</v>
      </c>
      <c r="J6" s="250" t="n">
        <v>6.5</v>
      </c>
      <c r="K6" s="250" t="n">
        <v>7</v>
      </c>
      <c r="L6" s="250" t="n">
        <v>6</v>
      </c>
      <c r="M6" s="250" t="n">
        <v>6.5</v>
      </c>
      <c r="N6" s="250" t="n">
        <v>6</v>
      </c>
      <c r="O6" s="209" t="s">
        <v>1314</v>
      </c>
      <c r="P6" s="209" t="s">
        <v>3672</v>
      </c>
      <c r="Q6" s="209"/>
      <c r="R6" s="209"/>
      <c r="S6" s="209"/>
      <c r="T6" s="209" t="s">
        <v>1069</v>
      </c>
      <c r="U6" s="211" t="n">
        <v>46202.375</v>
      </c>
      <c r="V6" s="209"/>
      <c r="W6" s="209" t="s">
        <v>2902</v>
      </c>
      <c r="X6" s="235" t="n">
        <v>1</v>
      </c>
      <c r="Y6" s="212" t="str">
        <f aca="true" t="array" ref="Y6:Y6">IF(AND(ISNUMBER(SEARCH("completed",F6)),I6="",(NOW()-N(E6))&gt;slaFinalTest_days),INDEX('CH4. Thông điệp nhắc việc'!$G:$G,MATCH("NA082",'CH4. Thông điệp nhắc việc'!$A:$A,0)),IF(AND(ISNUMBER(SEARCH("interested",T6)),W6="",(NOW()-N(E6))&gt;slaReenrollSchedule_days),INDEX('CH4. Thông điệp nhắc việc'!$G:$G,MATCH("NA083",'CH4. Thông điệp nhắc việc'!$A:$A,0)),IF(AND(ISNUMBER(SEARCH("completed",F6)),ISNUMBER(SEARCH("not_contacted",T6)),(NOW()-N(E6))&gt;slaReenroll_contact_days),INDEX('CH4. Thông điệp nhắc việc'!$G:$G,MATCH("NA042",'CH4. Thông điệp nhắc việc'!$A:$A,0)),IF(AND(ISNUMBER(SEARCH("dropped",F6)),T6=""),INDEX('CH4. Thông điệp nhắc việc'!$G:$G,MATCH("NA043",'CH4. Thông điệp nhắc việc'!$A:$A,0)),IF(ISNUMBER(SEARCH("confirmed_with_deposit",T6)),INDEX('CH4. Thông điệp nhắc việc'!$G:$G,MATCH("NA044",'CH4. Thông điệp nhắc việc'!$A:$A,0)),IF(ISNUMBER(SEARCH("rejected",T6)),INDEX('CH4. Thông điệp nhắc việc'!$G:$G,MATCH("NA084",'CH4. Thông điệp nhắc việc'!$A:$A,0)),IF(ISNUMBER(SEARCH("interested",T6)),INDEX('CH4. Thông điệp nhắc việc'!$G:$G,MATCH("NA045",'CH4. Thông điệp nhắc việc'!$A:$A,0)),"")))))))</f>
        <v>HV đã đăng ký học khóa tiếp theo. Không cần làm gì thêm.</v>
      </c>
      <c r="Z6" s="224" t="str">
        <f aca="false">IFERROR(VLOOKUP(B6,'DL09. Học viên'!$A:$B,2,FALSE()),"")</f>
        <v>Hồ Thị Hoa</v>
      </c>
      <c r="AA6" s="224" t="str">
        <f aca="false">IFERROR(VLOOKUP(D6,'DL10. Lớp học'!$A:$B,2,FALSE()),"")</f>
        <v>PRIVATE Nguyễn Loan - 36H OFF CN4 (07/2026)</v>
      </c>
    </row>
    <row r="7" customFormat="false" ht="15" hidden="false" customHeight="true" outlineLevel="0" collapsed="false">
      <c r="A7" s="203"/>
      <c r="B7" s="251"/>
      <c r="C7" s="251"/>
      <c r="D7" s="203"/>
      <c r="E7" s="206"/>
      <c r="F7" s="203"/>
      <c r="G7" s="252"/>
      <c r="H7" s="252"/>
      <c r="I7" s="203"/>
      <c r="J7" s="203"/>
      <c r="K7" s="203"/>
      <c r="L7" s="203"/>
      <c r="M7" s="203"/>
      <c r="N7" s="203"/>
      <c r="O7" s="203"/>
      <c r="P7" s="203"/>
      <c r="Q7" s="203"/>
      <c r="R7" s="203"/>
      <c r="S7" s="203"/>
      <c r="T7" s="203"/>
      <c r="U7" s="206"/>
      <c r="V7" s="203"/>
      <c r="W7" s="203"/>
      <c r="X7" s="203"/>
      <c r="Y7" s="253"/>
      <c r="Z7" s="208"/>
      <c r="AA7" s="179"/>
    </row>
    <row r="8" customFormat="false" ht="15" hidden="false" customHeight="true" outlineLevel="0" collapsed="false">
      <c r="A8" s="21"/>
      <c r="B8" s="254"/>
      <c r="C8" s="254"/>
      <c r="D8" s="254"/>
      <c r="E8" s="185"/>
      <c r="F8" s="21"/>
      <c r="G8" s="255"/>
      <c r="H8" s="255"/>
      <c r="I8" s="21"/>
      <c r="J8" s="21"/>
      <c r="K8" s="21"/>
      <c r="L8" s="21"/>
      <c r="M8" s="21"/>
      <c r="N8" s="21"/>
      <c r="O8" s="21"/>
      <c r="P8" s="21"/>
      <c r="Q8" s="21"/>
      <c r="R8" s="21"/>
      <c r="S8" s="21"/>
      <c r="T8" s="21"/>
      <c r="U8" s="185"/>
      <c r="V8" s="178"/>
      <c r="W8" s="21"/>
      <c r="X8" s="21"/>
      <c r="Y8" s="253"/>
      <c r="Z8" s="181"/>
      <c r="AA8" s="181"/>
    </row>
    <row r="9" customFormat="false" ht="15" hidden="false" customHeight="true" outlineLevel="0" collapsed="false">
      <c r="A9" s="135"/>
      <c r="B9" s="135"/>
      <c r="C9" s="135"/>
      <c r="D9" s="135"/>
      <c r="E9" s="189"/>
      <c r="F9" s="135"/>
      <c r="G9" s="256"/>
      <c r="H9" s="256"/>
      <c r="I9" s="135"/>
      <c r="J9" s="135"/>
      <c r="K9" s="135"/>
      <c r="L9" s="135"/>
      <c r="M9" s="135"/>
      <c r="N9" s="135"/>
      <c r="O9" s="135"/>
      <c r="P9" s="135"/>
      <c r="Q9" s="135"/>
      <c r="R9" s="135"/>
      <c r="S9" s="135"/>
      <c r="T9" s="135"/>
      <c r="U9" s="189"/>
      <c r="V9" s="135"/>
      <c r="W9" s="135"/>
      <c r="X9" s="135"/>
      <c r="Y9" s="135"/>
      <c r="Z9" s="135"/>
      <c r="AA9" s="135"/>
    </row>
    <row r="10" customFormat="false" ht="15" hidden="false" customHeight="true" outlineLevel="0" collapsed="false">
      <c r="A10" s="135"/>
      <c r="B10" s="135"/>
      <c r="C10" s="135"/>
      <c r="D10" s="135"/>
      <c r="E10" s="189"/>
      <c r="F10" s="135"/>
      <c r="G10" s="256"/>
      <c r="H10" s="256"/>
      <c r="I10" s="135"/>
      <c r="J10" s="135"/>
      <c r="K10" s="135"/>
      <c r="L10" s="135"/>
      <c r="M10" s="135"/>
      <c r="N10" s="135"/>
      <c r="O10" s="135"/>
      <c r="P10" s="135"/>
      <c r="Q10" s="135"/>
      <c r="R10" s="135"/>
      <c r="S10" s="135"/>
      <c r="T10" s="135"/>
      <c r="U10" s="189"/>
      <c r="V10" s="135"/>
      <c r="W10" s="135"/>
      <c r="X10" s="135"/>
      <c r="Y10" s="135"/>
      <c r="Z10" s="135"/>
      <c r="AA10" s="135"/>
    </row>
    <row r="11" customFormat="false" ht="15" hidden="false" customHeight="true" outlineLevel="0" collapsed="false">
      <c r="A11" s="135"/>
      <c r="B11" s="135"/>
      <c r="C11" s="135"/>
      <c r="D11" s="135"/>
      <c r="E11" s="189"/>
      <c r="F11" s="135"/>
      <c r="G11" s="256"/>
      <c r="H11" s="256"/>
      <c r="I11" s="135"/>
      <c r="J11" s="135"/>
      <c r="K11" s="135"/>
      <c r="L11" s="135"/>
      <c r="M11" s="135"/>
      <c r="N11" s="135"/>
      <c r="O11" s="135"/>
      <c r="P11" s="135"/>
      <c r="Q11" s="135"/>
      <c r="R11" s="135"/>
      <c r="S11" s="135"/>
      <c r="T11" s="135"/>
      <c r="U11" s="189"/>
      <c r="V11" s="135"/>
      <c r="W11" s="135"/>
      <c r="X11" s="135"/>
      <c r="Y11" s="135"/>
      <c r="Z11" s="135"/>
      <c r="AA11" s="135"/>
    </row>
    <row r="12" customFormat="false" ht="15" hidden="false" customHeight="true" outlineLevel="0" collapsed="false">
      <c r="A12" s="135"/>
      <c r="B12" s="135"/>
      <c r="C12" s="135"/>
      <c r="D12" s="135"/>
      <c r="E12" s="189"/>
      <c r="F12" s="135"/>
      <c r="G12" s="256"/>
      <c r="H12" s="256"/>
      <c r="I12" s="135"/>
      <c r="J12" s="135"/>
      <c r="K12" s="135"/>
      <c r="L12" s="135"/>
      <c r="M12" s="135"/>
      <c r="N12" s="135"/>
      <c r="O12" s="135"/>
      <c r="P12" s="135"/>
      <c r="Q12" s="135"/>
      <c r="R12" s="135"/>
      <c r="S12" s="135"/>
      <c r="T12" s="135"/>
      <c r="U12" s="189"/>
      <c r="V12" s="135"/>
      <c r="W12" s="135"/>
      <c r="X12" s="135"/>
      <c r="Y12" s="135"/>
      <c r="Z12" s="135"/>
      <c r="AA12" s="135"/>
    </row>
    <row r="13" customFormat="false" ht="15" hidden="false" customHeight="true" outlineLevel="0" collapsed="false">
      <c r="A13" s="135"/>
      <c r="B13" s="135"/>
      <c r="C13" s="135"/>
      <c r="D13" s="135"/>
      <c r="E13" s="189"/>
      <c r="F13" s="135"/>
      <c r="G13" s="256"/>
      <c r="H13" s="256"/>
      <c r="I13" s="135"/>
      <c r="J13" s="135"/>
      <c r="K13" s="135"/>
      <c r="L13" s="135"/>
      <c r="M13" s="135"/>
      <c r="N13" s="135"/>
      <c r="O13" s="135"/>
      <c r="P13" s="135"/>
      <c r="Q13" s="135"/>
      <c r="R13" s="135"/>
      <c r="S13" s="135"/>
      <c r="T13" s="135"/>
      <c r="U13" s="189"/>
      <c r="V13" s="135"/>
      <c r="W13" s="135"/>
      <c r="X13" s="135"/>
      <c r="Y13" s="135"/>
      <c r="Z13" s="135"/>
      <c r="AA13" s="135"/>
    </row>
    <row r="14" customFormat="false" ht="15" hidden="false" customHeight="true" outlineLevel="0" collapsed="false">
      <c r="A14" s="135"/>
      <c r="B14" s="135"/>
      <c r="C14" s="135"/>
      <c r="D14" s="135"/>
      <c r="E14" s="189"/>
      <c r="F14" s="135"/>
      <c r="G14" s="256"/>
      <c r="H14" s="256"/>
      <c r="I14" s="135"/>
      <c r="J14" s="135"/>
      <c r="K14" s="135"/>
      <c r="L14" s="135"/>
      <c r="M14" s="135"/>
      <c r="N14" s="135"/>
      <c r="O14" s="135"/>
      <c r="P14" s="135"/>
      <c r="Q14" s="135"/>
      <c r="R14" s="135"/>
      <c r="S14" s="135"/>
      <c r="T14" s="135"/>
      <c r="U14" s="189"/>
      <c r="V14" s="135"/>
      <c r="W14" s="135"/>
      <c r="X14" s="135"/>
      <c r="Y14" s="135"/>
      <c r="Z14" s="135"/>
      <c r="AA14" s="135"/>
    </row>
    <row r="15" customFormat="false" ht="15" hidden="false" customHeight="true" outlineLevel="0" collapsed="false">
      <c r="A15" s="135"/>
      <c r="B15" s="135"/>
      <c r="C15" s="135"/>
      <c r="D15" s="135"/>
      <c r="E15" s="189"/>
      <c r="F15" s="135"/>
      <c r="G15" s="256"/>
      <c r="H15" s="256"/>
      <c r="I15" s="135"/>
      <c r="J15" s="135"/>
      <c r="K15" s="135"/>
      <c r="L15" s="135"/>
      <c r="M15" s="135"/>
      <c r="N15" s="135"/>
      <c r="O15" s="135"/>
      <c r="P15" s="135"/>
      <c r="Q15" s="135"/>
      <c r="R15" s="135"/>
      <c r="S15" s="135"/>
      <c r="T15" s="135"/>
      <c r="U15" s="189"/>
      <c r="V15" s="135"/>
      <c r="W15" s="135"/>
      <c r="X15" s="135"/>
      <c r="Y15" s="135"/>
      <c r="Z15" s="135"/>
      <c r="AA15" s="135"/>
    </row>
    <row r="16" customFormat="false" ht="15" hidden="false" customHeight="true" outlineLevel="0" collapsed="false">
      <c r="A16" s="135"/>
      <c r="B16" s="135"/>
      <c r="C16" s="135"/>
      <c r="D16" s="135"/>
      <c r="E16" s="189"/>
      <c r="F16" s="135"/>
      <c r="G16" s="256"/>
      <c r="H16" s="256"/>
      <c r="I16" s="135"/>
      <c r="J16" s="135"/>
      <c r="K16" s="135"/>
      <c r="L16" s="135"/>
      <c r="M16" s="135"/>
      <c r="N16" s="135"/>
      <c r="O16" s="135"/>
      <c r="P16" s="135"/>
      <c r="Q16" s="135"/>
      <c r="R16" s="135"/>
      <c r="S16" s="135"/>
      <c r="T16" s="135"/>
      <c r="U16" s="189"/>
      <c r="V16" s="135"/>
      <c r="W16" s="135"/>
      <c r="X16" s="135"/>
      <c r="Y16" s="135"/>
      <c r="Z16" s="135"/>
      <c r="AA16" s="135"/>
    </row>
    <row r="17" customFormat="false" ht="15" hidden="false" customHeight="true" outlineLevel="0" collapsed="false">
      <c r="A17" s="135"/>
      <c r="B17" s="135"/>
      <c r="C17" s="135"/>
      <c r="D17" s="135"/>
      <c r="E17" s="189"/>
      <c r="F17" s="135"/>
      <c r="G17" s="256"/>
      <c r="H17" s="256"/>
      <c r="I17" s="135"/>
      <c r="J17" s="135"/>
      <c r="K17" s="135"/>
      <c r="L17" s="135"/>
      <c r="M17" s="135"/>
      <c r="N17" s="135"/>
      <c r="O17" s="135"/>
      <c r="P17" s="135"/>
      <c r="Q17" s="135"/>
      <c r="R17" s="135"/>
      <c r="S17" s="135"/>
      <c r="T17" s="135"/>
      <c r="U17" s="189"/>
      <c r="V17" s="135"/>
      <c r="W17" s="135"/>
      <c r="X17" s="135"/>
      <c r="Y17" s="135"/>
      <c r="Z17" s="135"/>
      <c r="AA17" s="135"/>
    </row>
    <row r="18" customFormat="false" ht="15" hidden="false" customHeight="true" outlineLevel="0" collapsed="false">
      <c r="A18" s="135"/>
      <c r="B18" s="135"/>
      <c r="C18" s="135"/>
      <c r="D18" s="135"/>
      <c r="E18" s="189"/>
      <c r="F18" s="135"/>
      <c r="G18" s="256"/>
      <c r="H18" s="256"/>
      <c r="I18" s="135"/>
      <c r="J18" s="135"/>
      <c r="K18" s="135"/>
      <c r="L18" s="135"/>
      <c r="M18" s="135"/>
      <c r="N18" s="135"/>
      <c r="O18" s="135"/>
      <c r="P18" s="135"/>
      <c r="Q18" s="135"/>
      <c r="R18" s="135"/>
      <c r="S18" s="135"/>
      <c r="T18" s="135"/>
      <c r="U18" s="189"/>
      <c r="V18" s="135"/>
      <c r="W18" s="135"/>
      <c r="X18" s="135"/>
      <c r="Y18" s="135"/>
      <c r="Z18" s="135"/>
      <c r="AA18" s="135"/>
    </row>
    <row r="19" customFormat="false" ht="15" hidden="false" customHeight="true" outlineLevel="0" collapsed="false">
      <c r="A19" s="135"/>
      <c r="B19" s="135"/>
      <c r="C19" s="135"/>
      <c r="D19" s="135"/>
      <c r="E19" s="189"/>
      <c r="F19" s="135"/>
      <c r="G19" s="256"/>
      <c r="H19" s="256"/>
      <c r="I19" s="135"/>
      <c r="J19" s="135"/>
      <c r="K19" s="135"/>
      <c r="L19" s="135"/>
      <c r="M19" s="135"/>
      <c r="N19" s="135"/>
      <c r="O19" s="135"/>
      <c r="P19" s="135"/>
      <c r="Q19" s="135"/>
      <c r="R19" s="135"/>
      <c r="S19" s="135"/>
      <c r="T19" s="135"/>
      <c r="U19" s="189"/>
      <c r="V19" s="135"/>
      <c r="W19" s="135"/>
      <c r="X19" s="135"/>
      <c r="Y19" s="135"/>
      <c r="Z19" s="135"/>
      <c r="AA19" s="135"/>
    </row>
    <row r="20" customFormat="false" ht="15" hidden="false" customHeight="true" outlineLevel="0" collapsed="false">
      <c r="A20" s="135"/>
      <c r="B20" s="135"/>
      <c r="C20" s="135"/>
      <c r="D20" s="135"/>
      <c r="E20" s="189"/>
      <c r="F20" s="135"/>
      <c r="G20" s="256"/>
      <c r="H20" s="256"/>
      <c r="I20" s="135"/>
      <c r="J20" s="135"/>
      <c r="K20" s="135"/>
      <c r="L20" s="135"/>
      <c r="M20" s="135"/>
      <c r="N20" s="135"/>
      <c r="O20" s="135"/>
      <c r="P20" s="135"/>
      <c r="Q20" s="135"/>
      <c r="R20" s="135"/>
      <c r="S20" s="135"/>
      <c r="T20" s="135"/>
      <c r="U20" s="189"/>
      <c r="V20" s="135"/>
      <c r="W20" s="135"/>
      <c r="X20" s="135"/>
      <c r="Y20" s="135"/>
      <c r="Z20" s="135"/>
      <c r="AA20" s="135"/>
    </row>
    <row r="21" customFormat="false" ht="15.75" hidden="false" customHeight="true" outlineLevel="0" collapsed="false">
      <c r="A21" s="135"/>
      <c r="B21" s="135"/>
      <c r="C21" s="135"/>
      <c r="D21" s="135"/>
      <c r="E21" s="189"/>
      <c r="F21" s="135"/>
      <c r="G21" s="256"/>
      <c r="H21" s="256"/>
      <c r="I21" s="135"/>
      <c r="J21" s="135"/>
      <c r="K21" s="135"/>
      <c r="L21" s="135"/>
      <c r="M21" s="135"/>
      <c r="N21" s="135"/>
      <c r="O21" s="135"/>
      <c r="P21" s="135"/>
      <c r="Q21" s="135"/>
      <c r="R21" s="135"/>
      <c r="S21" s="135"/>
      <c r="T21" s="135"/>
      <c r="U21" s="189"/>
      <c r="V21" s="135"/>
      <c r="W21" s="135"/>
      <c r="X21" s="135"/>
      <c r="Y21" s="135"/>
      <c r="Z21" s="135"/>
      <c r="AA21" s="135"/>
    </row>
    <row r="22" customFormat="false" ht="15.75" hidden="false" customHeight="true" outlineLevel="0" collapsed="false">
      <c r="A22" s="135"/>
      <c r="B22" s="135"/>
      <c r="C22" s="135"/>
      <c r="D22" s="135"/>
      <c r="E22" s="189"/>
      <c r="F22" s="135"/>
      <c r="G22" s="256"/>
      <c r="H22" s="256"/>
      <c r="I22" s="135"/>
      <c r="J22" s="135"/>
      <c r="K22" s="135"/>
      <c r="L22" s="135"/>
      <c r="M22" s="135"/>
      <c r="N22" s="135"/>
      <c r="O22" s="135"/>
      <c r="P22" s="135"/>
      <c r="Q22" s="135"/>
      <c r="R22" s="135"/>
      <c r="S22" s="135"/>
      <c r="T22" s="135"/>
      <c r="U22" s="189"/>
      <c r="V22" s="135"/>
      <c r="W22" s="135"/>
      <c r="X22" s="135"/>
      <c r="Y22" s="135"/>
      <c r="Z22" s="135"/>
      <c r="AA22" s="135"/>
    </row>
    <row r="23" customFormat="false" ht="15.75" hidden="false" customHeight="true" outlineLevel="0" collapsed="false">
      <c r="A23" s="135"/>
      <c r="B23" s="135"/>
      <c r="C23" s="135"/>
      <c r="D23" s="135"/>
      <c r="E23" s="189"/>
      <c r="F23" s="135"/>
      <c r="G23" s="256"/>
      <c r="H23" s="256"/>
      <c r="I23" s="135"/>
      <c r="J23" s="135"/>
      <c r="K23" s="135"/>
      <c r="L23" s="135"/>
      <c r="M23" s="135"/>
      <c r="N23" s="135"/>
      <c r="O23" s="135"/>
      <c r="P23" s="135"/>
      <c r="Q23" s="135"/>
      <c r="R23" s="135"/>
      <c r="S23" s="135"/>
      <c r="T23" s="135"/>
      <c r="U23" s="189"/>
      <c r="V23" s="135"/>
      <c r="W23" s="135"/>
      <c r="X23" s="135"/>
      <c r="Y23" s="135"/>
      <c r="Z23" s="135"/>
      <c r="AA23" s="135"/>
    </row>
    <row r="24" customFormat="false" ht="15.75" hidden="false" customHeight="true" outlineLevel="0" collapsed="false">
      <c r="A24" s="135"/>
      <c r="B24" s="135"/>
      <c r="C24" s="135"/>
      <c r="D24" s="135"/>
      <c r="E24" s="189"/>
      <c r="F24" s="135"/>
      <c r="G24" s="256"/>
      <c r="H24" s="256"/>
      <c r="I24" s="135"/>
      <c r="J24" s="135"/>
      <c r="K24" s="135"/>
      <c r="L24" s="135"/>
      <c r="M24" s="135"/>
      <c r="N24" s="135"/>
      <c r="O24" s="135"/>
      <c r="P24" s="135"/>
      <c r="Q24" s="135"/>
      <c r="R24" s="135"/>
      <c r="S24" s="135"/>
      <c r="T24" s="135"/>
      <c r="U24" s="189"/>
      <c r="V24" s="135"/>
      <c r="W24" s="135"/>
      <c r="X24" s="135"/>
      <c r="Y24" s="135"/>
      <c r="Z24" s="135"/>
      <c r="AA24" s="135"/>
    </row>
    <row r="25" customFormat="false" ht="15.75" hidden="false" customHeight="true" outlineLevel="0" collapsed="false">
      <c r="A25" s="135"/>
      <c r="B25" s="135"/>
      <c r="C25" s="135"/>
      <c r="D25" s="135"/>
      <c r="E25" s="189"/>
      <c r="F25" s="135"/>
      <c r="G25" s="256"/>
      <c r="H25" s="256"/>
      <c r="I25" s="135"/>
      <c r="J25" s="135"/>
      <c r="K25" s="135"/>
      <c r="L25" s="135"/>
      <c r="M25" s="135"/>
      <c r="N25" s="135"/>
      <c r="O25" s="135"/>
      <c r="P25" s="135"/>
      <c r="Q25" s="135"/>
      <c r="R25" s="135"/>
      <c r="S25" s="135"/>
      <c r="T25" s="135"/>
      <c r="U25" s="189"/>
      <c r="V25" s="135"/>
      <c r="W25" s="135"/>
      <c r="X25" s="135"/>
      <c r="Y25" s="135"/>
      <c r="Z25" s="135"/>
      <c r="AA25" s="135"/>
    </row>
    <row r="26" customFormat="false" ht="15.75" hidden="false" customHeight="true" outlineLevel="0" collapsed="false">
      <c r="A26" s="135"/>
      <c r="B26" s="135"/>
      <c r="C26" s="135"/>
      <c r="D26" s="135"/>
      <c r="E26" s="189"/>
      <c r="F26" s="135"/>
      <c r="G26" s="256"/>
      <c r="H26" s="256"/>
      <c r="I26" s="135"/>
      <c r="J26" s="135"/>
      <c r="K26" s="135"/>
      <c r="L26" s="135"/>
      <c r="M26" s="135"/>
      <c r="N26" s="135"/>
      <c r="O26" s="135"/>
      <c r="P26" s="135"/>
      <c r="Q26" s="135"/>
      <c r="R26" s="135"/>
      <c r="S26" s="135"/>
      <c r="T26" s="135"/>
      <c r="U26" s="189"/>
      <c r="V26" s="135"/>
      <c r="W26" s="135"/>
      <c r="X26" s="135"/>
      <c r="Y26" s="135"/>
      <c r="Z26" s="135"/>
      <c r="AA26" s="135"/>
    </row>
    <row r="27" customFormat="false" ht="15.75" hidden="false" customHeight="true" outlineLevel="0" collapsed="false">
      <c r="A27" s="135"/>
      <c r="B27" s="135"/>
      <c r="C27" s="135"/>
      <c r="D27" s="135"/>
      <c r="E27" s="189"/>
      <c r="F27" s="135"/>
      <c r="G27" s="256"/>
      <c r="H27" s="256"/>
      <c r="I27" s="135"/>
      <c r="J27" s="135"/>
      <c r="K27" s="135"/>
      <c r="L27" s="135"/>
      <c r="M27" s="135"/>
      <c r="N27" s="135"/>
      <c r="O27" s="135"/>
      <c r="P27" s="135"/>
      <c r="Q27" s="135"/>
      <c r="R27" s="135"/>
      <c r="S27" s="135"/>
      <c r="T27" s="135"/>
      <c r="U27" s="189"/>
      <c r="V27" s="135"/>
      <c r="W27" s="135"/>
      <c r="X27" s="135"/>
      <c r="Y27" s="135"/>
      <c r="Z27" s="135"/>
      <c r="AA27" s="135"/>
    </row>
    <row r="28" customFormat="false" ht="15.75" hidden="false" customHeight="true" outlineLevel="0" collapsed="false">
      <c r="A28" s="135"/>
      <c r="B28" s="135"/>
      <c r="C28" s="135"/>
      <c r="D28" s="135"/>
      <c r="E28" s="189"/>
      <c r="F28" s="135"/>
      <c r="G28" s="256"/>
      <c r="H28" s="256"/>
      <c r="I28" s="135"/>
      <c r="J28" s="135"/>
      <c r="K28" s="135"/>
      <c r="L28" s="135"/>
      <c r="M28" s="135"/>
      <c r="N28" s="135"/>
      <c r="O28" s="135"/>
      <c r="P28" s="135"/>
      <c r="Q28" s="135"/>
      <c r="R28" s="135"/>
      <c r="S28" s="135"/>
      <c r="T28" s="135"/>
      <c r="U28" s="189"/>
      <c r="V28" s="135"/>
      <c r="W28" s="135"/>
      <c r="X28" s="135"/>
      <c r="Y28" s="135"/>
      <c r="Z28" s="135"/>
      <c r="AA28" s="135"/>
    </row>
    <row r="29" customFormat="false" ht="15.75" hidden="false" customHeight="true" outlineLevel="0" collapsed="false">
      <c r="A29" s="135"/>
      <c r="B29" s="135"/>
      <c r="C29" s="135"/>
      <c r="D29" s="135"/>
      <c r="E29" s="189"/>
      <c r="F29" s="135"/>
      <c r="G29" s="256"/>
      <c r="H29" s="256"/>
      <c r="I29" s="135"/>
      <c r="J29" s="135"/>
      <c r="K29" s="135"/>
      <c r="L29" s="135"/>
      <c r="M29" s="135"/>
      <c r="N29" s="135"/>
      <c r="O29" s="135"/>
      <c r="P29" s="135"/>
      <c r="Q29" s="135"/>
      <c r="R29" s="135"/>
      <c r="S29" s="135"/>
      <c r="T29" s="135"/>
      <c r="U29" s="189"/>
      <c r="V29" s="135"/>
      <c r="W29" s="135"/>
      <c r="X29" s="135"/>
      <c r="Y29" s="135"/>
      <c r="Z29" s="135"/>
      <c r="AA29" s="135"/>
    </row>
    <row r="30" customFormat="false" ht="15.75" hidden="false" customHeight="true" outlineLevel="0" collapsed="false">
      <c r="A30" s="135"/>
      <c r="B30" s="135"/>
      <c r="C30" s="135"/>
      <c r="D30" s="135"/>
      <c r="E30" s="189"/>
      <c r="F30" s="135"/>
      <c r="G30" s="256"/>
      <c r="H30" s="256"/>
      <c r="I30" s="135"/>
      <c r="J30" s="135"/>
      <c r="K30" s="135"/>
      <c r="L30" s="135"/>
      <c r="M30" s="135"/>
      <c r="N30" s="135"/>
      <c r="O30" s="135"/>
      <c r="P30" s="135"/>
      <c r="Q30" s="135"/>
      <c r="R30" s="135"/>
      <c r="S30" s="135"/>
      <c r="T30" s="135"/>
      <c r="U30" s="189"/>
      <c r="V30" s="135"/>
      <c r="W30" s="135"/>
      <c r="X30" s="135"/>
      <c r="Y30" s="135"/>
      <c r="Z30" s="135"/>
      <c r="AA30" s="135"/>
    </row>
    <row r="31" customFormat="false" ht="15.75" hidden="false" customHeight="true" outlineLevel="0" collapsed="false">
      <c r="A31" s="135"/>
      <c r="B31" s="135"/>
      <c r="C31" s="135"/>
      <c r="D31" s="135"/>
      <c r="E31" s="189"/>
      <c r="F31" s="135"/>
      <c r="G31" s="256"/>
      <c r="H31" s="256"/>
      <c r="I31" s="135"/>
      <c r="J31" s="135"/>
      <c r="K31" s="135"/>
      <c r="L31" s="135"/>
      <c r="M31" s="135"/>
      <c r="N31" s="135"/>
      <c r="O31" s="135"/>
      <c r="P31" s="135"/>
      <c r="Q31" s="135"/>
      <c r="R31" s="135"/>
      <c r="S31" s="135"/>
      <c r="T31" s="135"/>
      <c r="U31" s="189"/>
      <c r="V31" s="135"/>
      <c r="W31" s="135"/>
      <c r="X31" s="135"/>
      <c r="Y31" s="135"/>
      <c r="Z31" s="135"/>
      <c r="AA31" s="135"/>
    </row>
    <row r="32" customFormat="false" ht="15.75" hidden="false" customHeight="true" outlineLevel="0" collapsed="false">
      <c r="A32" s="135"/>
      <c r="B32" s="135"/>
      <c r="C32" s="135"/>
      <c r="D32" s="135"/>
      <c r="E32" s="189"/>
      <c r="F32" s="135"/>
      <c r="G32" s="256"/>
      <c r="H32" s="256"/>
      <c r="I32" s="135"/>
      <c r="J32" s="135"/>
      <c r="K32" s="135"/>
      <c r="L32" s="135"/>
      <c r="M32" s="135"/>
      <c r="N32" s="135"/>
      <c r="O32" s="135"/>
      <c r="P32" s="135"/>
      <c r="Q32" s="135"/>
      <c r="R32" s="135"/>
      <c r="S32" s="135"/>
      <c r="T32" s="135"/>
      <c r="U32" s="189"/>
      <c r="V32" s="135"/>
      <c r="W32" s="135"/>
      <c r="X32" s="135"/>
      <c r="Y32" s="135"/>
      <c r="Z32" s="135"/>
      <c r="AA32" s="135"/>
    </row>
    <row r="33" customFormat="false" ht="15.75" hidden="false" customHeight="true" outlineLevel="0" collapsed="false">
      <c r="A33" s="135"/>
      <c r="B33" s="135"/>
      <c r="C33" s="135"/>
      <c r="D33" s="135"/>
      <c r="E33" s="189"/>
      <c r="F33" s="135"/>
      <c r="G33" s="256"/>
      <c r="H33" s="256"/>
      <c r="I33" s="135"/>
      <c r="J33" s="135"/>
      <c r="K33" s="135"/>
      <c r="L33" s="135"/>
      <c r="M33" s="135"/>
      <c r="N33" s="135"/>
      <c r="O33" s="135"/>
      <c r="P33" s="135"/>
      <c r="Q33" s="135"/>
      <c r="R33" s="135"/>
      <c r="S33" s="135"/>
      <c r="T33" s="135"/>
      <c r="U33" s="189"/>
      <c r="V33" s="135"/>
      <c r="W33" s="135"/>
      <c r="X33" s="135"/>
      <c r="Y33" s="135"/>
      <c r="Z33" s="135"/>
      <c r="AA33" s="135"/>
    </row>
    <row r="34" customFormat="false" ht="15.75" hidden="false" customHeight="true" outlineLevel="0" collapsed="false">
      <c r="A34" s="135"/>
      <c r="B34" s="135"/>
      <c r="C34" s="135"/>
      <c r="D34" s="135"/>
      <c r="E34" s="189"/>
      <c r="F34" s="135"/>
      <c r="G34" s="256"/>
      <c r="H34" s="256"/>
      <c r="I34" s="135"/>
      <c r="J34" s="135"/>
      <c r="K34" s="135"/>
      <c r="L34" s="135"/>
      <c r="M34" s="135"/>
      <c r="N34" s="135"/>
      <c r="O34" s="135"/>
      <c r="P34" s="135"/>
      <c r="Q34" s="135"/>
      <c r="R34" s="135"/>
      <c r="S34" s="135"/>
      <c r="T34" s="135"/>
      <c r="U34" s="189"/>
      <c r="V34" s="135"/>
      <c r="W34" s="135"/>
      <c r="X34" s="135"/>
      <c r="Y34" s="135"/>
      <c r="Z34" s="135"/>
      <c r="AA34" s="135"/>
    </row>
    <row r="35" customFormat="false" ht="15.75" hidden="false" customHeight="true" outlineLevel="0" collapsed="false">
      <c r="A35" s="135"/>
      <c r="B35" s="135"/>
      <c r="C35" s="135"/>
      <c r="D35" s="135"/>
      <c r="E35" s="189"/>
      <c r="F35" s="135"/>
      <c r="G35" s="256"/>
      <c r="H35" s="256"/>
      <c r="I35" s="135"/>
      <c r="J35" s="135"/>
      <c r="K35" s="135"/>
      <c r="L35" s="135"/>
      <c r="M35" s="135"/>
      <c r="N35" s="135"/>
      <c r="O35" s="135"/>
      <c r="P35" s="135"/>
      <c r="Q35" s="135"/>
      <c r="R35" s="135"/>
      <c r="S35" s="135"/>
      <c r="T35" s="135"/>
      <c r="U35" s="189"/>
      <c r="V35" s="135"/>
      <c r="W35" s="135"/>
      <c r="X35" s="135"/>
      <c r="Y35" s="135"/>
      <c r="Z35" s="135"/>
      <c r="AA35" s="135"/>
    </row>
    <row r="36" customFormat="false" ht="15.75" hidden="false" customHeight="true" outlineLevel="0" collapsed="false">
      <c r="A36" s="135"/>
      <c r="B36" s="135"/>
      <c r="C36" s="135"/>
      <c r="D36" s="135"/>
      <c r="E36" s="189"/>
      <c r="F36" s="135"/>
      <c r="G36" s="256"/>
      <c r="H36" s="256"/>
      <c r="I36" s="135"/>
      <c r="J36" s="135"/>
      <c r="K36" s="135"/>
      <c r="L36" s="135"/>
      <c r="M36" s="135"/>
      <c r="N36" s="135"/>
      <c r="O36" s="135"/>
      <c r="P36" s="135"/>
      <c r="Q36" s="135"/>
      <c r="R36" s="135"/>
      <c r="S36" s="135"/>
      <c r="T36" s="135"/>
      <c r="U36" s="189"/>
      <c r="V36" s="135"/>
      <c r="W36" s="135"/>
      <c r="X36" s="135"/>
      <c r="Y36" s="135"/>
      <c r="Z36" s="135"/>
      <c r="AA36" s="135"/>
    </row>
    <row r="37" customFormat="false" ht="15.75" hidden="false" customHeight="true" outlineLevel="0" collapsed="false">
      <c r="A37" s="135"/>
      <c r="B37" s="135"/>
      <c r="C37" s="135"/>
      <c r="D37" s="135"/>
      <c r="E37" s="189"/>
      <c r="F37" s="135"/>
      <c r="G37" s="256"/>
      <c r="H37" s="256"/>
      <c r="I37" s="135"/>
      <c r="J37" s="135"/>
      <c r="K37" s="135"/>
      <c r="L37" s="135"/>
      <c r="M37" s="135"/>
      <c r="N37" s="135"/>
      <c r="O37" s="135"/>
      <c r="P37" s="135"/>
      <c r="Q37" s="135"/>
      <c r="R37" s="135"/>
      <c r="S37" s="135"/>
      <c r="T37" s="135"/>
      <c r="U37" s="189"/>
      <c r="V37" s="135"/>
      <c r="W37" s="135"/>
      <c r="X37" s="135"/>
      <c r="Y37" s="135"/>
      <c r="Z37" s="135"/>
      <c r="AA37" s="135"/>
    </row>
    <row r="38" customFormat="false" ht="15.75" hidden="false" customHeight="true" outlineLevel="0" collapsed="false">
      <c r="A38" s="135"/>
      <c r="B38" s="135"/>
      <c r="C38" s="135"/>
      <c r="D38" s="135"/>
      <c r="E38" s="189"/>
      <c r="F38" s="135"/>
      <c r="G38" s="256"/>
      <c r="H38" s="256"/>
      <c r="I38" s="135"/>
      <c r="J38" s="135"/>
      <c r="K38" s="135"/>
      <c r="L38" s="135"/>
      <c r="M38" s="135"/>
      <c r="N38" s="135"/>
      <c r="O38" s="135"/>
      <c r="P38" s="135"/>
      <c r="Q38" s="135"/>
      <c r="R38" s="135"/>
      <c r="S38" s="135"/>
      <c r="T38" s="135"/>
      <c r="U38" s="189"/>
      <c r="V38" s="135"/>
      <c r="W38" s="135"/>
      <c r="X38" s="135"/>
      <c r="Y38" s="135"/>
      <c r="Z38" s="135"/>
      <c r="AA38" s="135"/>
    </row>
    <row r="39" customFormat="false" ht="15.75" hidden="false" customHeight="true" outlineLevel="0" collapsed="false">
      <c r="A39" s="135"/>
      <c r="B39" s="135"/>
      <c r="C39" s="135"/>
      <c r="D39" s="135"/>
      <c r="E39" s="189"/>
      <c r="F39" s="135"/>
      <c r="G39" s="256"/>
      <c r="H39" s="256"/>
      <c r="I39" s="135"/>
      <c r="J39" s="135"/>
      <c r="K39" s="135"/>
      <c r="L39" s="135"/>
      <c r="M39" s="135"/>
      <c r="N39" s="135"/>
      <c r="O39" s="135"/>
      <c r="P39" s="135"/>
      <c r="Q39" s="135"/>
      <c r="R39" s="135"/>
      <c r="S39" s="135"/>
      <c r="T39" s="135"/>
      <c r="U39" s="189"/>
      <c r="V39" s="135"/>
      <c r="W39" s="135"/>
      <c r="X39" s="135"/>
      <c r="Y39" s="135"/>
      <c r="Z39" s="135"/>
      <c r="AA39" s="135"/>
    </row>
    <row r="40" customFormat="false" ht="15.75" hidden="false" customHeight="true" outlineLevel="0" collapsed="false">
      <c r="A40" s="135"/>
      <c r="B40" s="135"/>
      <c r="C40" s="135"/>
      <c r="D40" s="135"/>
      <c r="E40" s="189"/>
      <c r="F40" s="135"/>
      <c r="G40" s="256"/>
      <c r="H40" s="256"/>
      <c r="I40" s="135"/>
      <c r="J40" s="135"/>
      <c r="K40" s="135"/>
      <c r="L40" s="135"/>
      <c r="M40" s="135"/>
      <c r="N40" s="135"/>
      <c r="O40" s="135"/>
      <c r="P40" s="135"/>
      <c r="Q40" s="135"/>
      <c r="R40" s="135"/>
      <c r="S40" s="135"/>
      <c r="T40" s="135"/>
      <c r="U40" s="189"/>
      <c r="V40" s="135"/>
      <c r="W40" s="135"/>
      <c r="X40" s="135"/>
      <c r="Y40" s="135"/>
      <c r="Z40" s="135"/>
      <c r="AA40" s="135"/>
    </row>
    <row r="41" customFormat="false" ht="15.75" hidden="false" customHeight="true" outlineLevel="0" collapsed="false">
      <c r="A41" s="135"/>
      <c r="B41" s="135"/>
      <c r="C41" s="135"/>
      <c r="D41" s="135"/>
      <c r="E41" s="189"/>
      <c r="F41" s="135"/>
      <c r="G41" s="256"/>
      <c r="H41" s="256"/>
      <c r="I41" s="135"/>
      <c r="J41" s="135"/>
      <c r="K41" s="135"/>
      <c r="L41" s="135"/>
      <c r="M41" s="135"/>
      <c r="N41" s="135"/>
      <c r="O41" s="135"/>
      <c r="P41" s="135"/>
      <c r="Q41" s="135"/>
      <c r="R41" s="135"/>
      <c r="S41" s="135"/>
      <c r="T41" s="135"/>
      <c r="U41" s="189"/>
      <c r="V41" s="135"/>
      <c r="W41" s="135"/>
      <c r="X41" s="135"/>
      <c r="Y41" s="135"/>
      <c r="Z41" s="135"/>
      <c r="AA41" s="135"/>
    </row>
    <row r="42" customFormat="false" ht="15.75" hidden="false" customHeight="true" outlineLevel="0" collapsed="false">
      <c r="A42" s="135"/>
      <c r="B42" s="135"/>
      <c r="C42" s="135"/>
      <c r="D42" s="135"/>
      <c r="E42" s="189"/>
      <c r="F42" s="135"/>
      <c r="G42" s="256"/>
      <c r="H42" s="256"/>
      <c r="I42" s="135"/>
      <c r="J42" s="135"/>
      <c r="K42" s="135"/>
      <c r="L42" s="135"/>
      <c r="M42" s="135"/>
      <c r="N42" s="135"/>
      <c r="O42" s="135"/>
      <c r="P42" s="135"/>
      <c r="Q42" s="135"/>
      <c r="R42" s="135"/>
      <c r="S42" s="135"/>
      <c r="T42" s="135"/>
      <c r="U42" s="189"/>
      <c r="V42" s="135"/>
      <c r="W42" s="135"/>
      <c r="X42" s="135"/>
      <c r="Y42" s="135"/>
      <c r="Z42" s="135"/>
      <c r="AA42" s="135"/>
    </row>
    <row r="43" customFormat="false" ht="15.75" hidden="false" customHeight="true" outlineLevel="0" collapsed="false">
      <c r="A43" s="135"/>
      <c r="B43" s="135"/>
      <c r="C43" s="135"/>
      <c r="D43" s="135"/>
      <c r="E43" s="189"/>
      <c r="F43" s="135"/>
      <c r="G43" s="256"/>
      <c r="H43" s="256"/>
      <c r="I43" s="135"/>
      <c r="J43" s="135"/>
      <c r="K43" s="135"/>
      <c r="L43" s="135"/>
      <c r="M43" s="135"/>
      <c r="N43" s="135"/>
      <c r="O43" s="135"/>
      <c r="P43" s="135"/>
      <c r="Q43" s="135"/>
      <c r="R43" s="135"/>
      <c r="S43" s="135"/>
      <c r="T43" s="135"/>
      <c r="U43" s="189"/>
      <c r="V43" s="135"/>
      <c r="W43" s="135"/>
      <c r="X43" s="135"/>
      <c r="Y43" s="135"/>
      <c r="Z43" s="135"/>
      <c r="AA43" s="135"/>
    </row>
    <row r="44" customFormat="false" ht="15.75" hidden="false" customHeight="true" outlineLevel="0" collapsed="false">
      <c r="A44" s="135"/>
      <c r="B44" s="135"/>
      <c r="C44" s="135"/>
      <c r="D44" s="135"/>
      <c r="E44" s="189"/>
      <c r="F44" s="135"/>
      <c r="G44" s="256"/>
      <c r="H44" s="256"/>
      <c r="I44" s="135"/>
      <c r="J44" s="135"/>
      <c r="K44" s="135"/>
      <c r="L44" s="135"/>
      <c r="M44" s="135"/>
      <c r="N44" s="135"/>
      <c r="O44" s="135"/>
      <c r="P44" s="135"/>
      <c r="Q44" s="135"/>
      <c r="R44" s="135"/>
      <c r="S44" s="135"/>
      <c r="T44" s="135"/>
      <c r="U44" s="189"/>
      <c r="V44" s="135"/>
      <c r="W44" s="135"/>
      <c r="X44" s="135"/>
      <c r="Y44" s="135"/>
      <c r="Z44" s="135"/>
      <c r="AA44" s="135"/>
    </row>
    <row r="45" customFormat="false" ht="15.75" hidden="false" customHeight="true" outlineLevel="0" collapsed="false">
      <c r="A45" s="135"/>
      <c r="B45" s="135"/>
      <c r="C45" s="135"/>
      <c r="D45" s="135"/>
      <c r="E45" s="189"/>
      <c r="F45" s="135"/>
      <c r="G45" s="256"/>
      <c r="H45" s="256"/>
      <c r="I45" s="135"/>
      <c r="J45" s="135"/>
      <c r="K45" s="135"/>
      <c r="L45" s="135"/>
      <c r="M45" s="135"/>
      <c r="N45" s="135"/>
      <c r="O45" s="135"/>
      <c r="P45" s="135"/>
      <c r="Q45" s="135"/>
      <c r="R45" s="135"/>
      <c r="S45" s="135"/>
      <c r="T45" s="135"/>
      <c r="U45" s="189"/>
      <c r="V45" s="135"/>
      <c r="W45" s="135"/>
      <c r="X45" s="135"/>
      <c r="Y45" s="135"/>
      <c r="Z45" s="135"/>
      <c r="AA45" s="135"/>
    </row>
    <row r="46" customFormat="false" ht="15.75" hidden="false" customHeight="true" outlineLevel="0" collapsed="false">
      <c r="A46" s="135"/>
      <c r="B46" s="135"/>
      <c r="C46" s="135"/>
      <c r="D46" s="135"/>
      <c r="E46" s="189"/>
      <c r="F46" s="135"/>
      <c r="G46" s="256"/>
      <c r="H46" s="256"/>
      <c r="I46" s="135"/>
      <c r="J46" s="135"/>
      <c r="K46" s="135"/>
      <c r="L46" s="135"/>
      <c r="M46" s="135"/>
      <c r="N46" s="135"/>
      <c r="O46" s="135"/>
      <c r="P46" s="135"/>
      <c r="Q46" s="135"/>
      <c r="R46" s="135"/>
      <c r="S46" s="135"/>
      <c r="T46" s="135"/>
      <c r="U46" s="189"/>
      <c r="V46" s="135"/>
      <c r="W46" s="135"/>
      <c r="X46" s="135"/>
      <c r="Y46" s="135"/>
      <c r="Z46" s="135"/>
      <c r="AA46" s="135"/>
    </row>
    <row r="47" customFormat="false" ht="15.75" hidden="false" customHeight="true" outlineLevel="0" collapsed="false">
      <c r="A47" s="135"/>
      <c r="B47" s="135"/>
      <c r="C47" s="135"/>
      <c r="D47" s="135"/>
      <c r="E47" s="189"/>
      <c r="F47" s="135"/>
      <c r="G47" s="256"/>
      <c r="H47" s="256"/>
      <c r="I47" s="135"/>
      <c r="J47" s="135"/>
      <c r="K47" s="135"/>
      <c r="L47" s="135"/>
      <c r="M47" s="135"/>
      <c r="N47" s="135"/>
      <c r="O47" s="135"/>
      <c r="P47" s="135"/>
      <c r="Q47" s="135"/>
      <c r="R47" s="135"/>
      <c r="S47" s="135"/>
      <c r="T47" s="135"/>
      <c r="U47" s="189"/>
      <c r="V47" s="135"/>
      <c r="W47" s="135"/>
      <c r="X47" s="135"/>
      <c r="Y47" s="135"/>
      <c r="Z47" s="135"/>
      <c r="AA47" s="135"/>
    </row>
    <row r="48" customFormat="false" ht="15.75" hidden="false" customHeight="true" outlineLevel="0" collapsed="false">
      <c r="A48" s="135"/>
      <c r="B48" s="135"/>
      <c r="C48" s="135"/>
      <c r="D48" s="135"/>
      <c r="E48" s="189"/>
      <c r="F48" s="135"/>
      <c r="G48" s="256"/>
      <c r="H48" s="256"/>
      <c r="I48" s="135"/>
      <c r="J48" s="135"/>
      <c r="K48" s="135"/>
      <c r="L48" s="135"/>
      <c r="M48" s="135"/>
      <c r="N48" s="135"/>
      <c r="O48" s="135"/>
      <c r="P48" s="135"/>
      <c r="Q48" s="135"/>
      <c r="R48" s="135"/>
      <c r="S48" s="135"/>
      <c r="T48" s="135"/>
      <c r="U48" s="189"/>
      <c r="V48" s="135"/>
      <c r="W48" s="135"/>
      <c r="X48" s="135"/>
      <c r="Y48" s="135"/>
      <c r="Z48" s="135"/>
      <c r="AA48" s="135"/>
    </row>
    <row r="49" customFormat="false" ht="15.75" hidden="false" customHeight="true" outlineLevel="0" collapsed="false">
      <c r="A49" s="135"/>
      <c r="B49" s="135"/>
      <c r="C49" s="135"/>
      <c r="D49" s="135"/>
      <c r="E49" s="189"/>
      <c r="F49" s="135"/>
      <c r="G49" s="256"/>
      <c r="H49" s="256"/>
      <c r="I49" s="135"/>
      <c r="J49" s="135"/>
      <c r="K49" s="135"/>
      <c r="L49" s="135"/>
      <c r="M49" s="135"/>
      <c r="N49" s="135"/>
      <c r="O49" s="135"/>
      <c r="P49" s="135"/>
      <c r="Q49" s="135"/>
      <c r="R49" s="135"/>
      <c r="S49" s="135"/>
      <c r="T49" s="135"/>
      <c r="U49" s="189"/>
      <c r="V49" s="135"/>
      <c r="W49" s="135"/>
      <c r="X49" s="135"/>
      <c r="Y49" s="135"/>
      <c r="Z49" s="135"/>
      <c r="AA49" s="135"/>
    </row>
    <row r="50" customFormat="false" ht="15.75" hidden="false" customHeight="true" outlineLevel="0" collapsed="false">
      <c r="A50" s="135"/>
      <c r="B50" s="135"/>
      <c r="C50" s="135"/>
      <c r="D50" s="135"/>
      <c r="E50" s="189"/>
      <c r="F50" s="135"/>
      <c r="G50" s="256"/>
      <c r="H50" s="256"/>
      <c r="I50" s="135"/>
      <c r="J50" s="135"/>
      <c r="K50" s="135"/>
      <c r="L50" s="135"/>
      <c r="M50" s="135"/>
      <c r="N50" s="135"/>
      <c r="O50" s="135"/>
      <c r="P50" s="135"/>
      <c r="Q50" s="135"/>
      <c r="R50" s="135"/>
      <c r="S50" s="135"/>
      <c r="T50" s="135"/>
      <c r="U50" s="189"/>
      <c r="V50" s="135"/>
      <c r="W50" s="135"/>
      <c r="X50" s="135"/>
      <c r="Y50" s="135"/>
      <c r="Z50" s="135"/>
      <c r="AA50" s="135"/>
    </row>
    <row r="51" customFormat="false" ht="15.75" hidden="false" customHeight="true" outlineLevel="0" collapsed="false">
      <c r="A51" s="135"/>
      <c r="B51" s="135"/>
      <c r="C51" s="135"/>
      <c r="D51" s="135"/>
      <c r="E51" s="189"/>
      <c r="F51" s="135"/>
      <c r="G51" s="256"/>
      <c r="H51" s="256"/>
      <c r="I51" s="135"/>
      <c r="J51" s="135"/>
      <c r="K51" s="135"/>
      <c r="L51" s="135"/>
      <c r="M51" s="135"/>
      <c r="N51" s="135"/>
      <c r="O51" s="135"/>
      <c r="P51" s="135"/>
      <c r="Q51" s="135"/>
      <c r="R51" s="135"/>
      <c r="S51" s="135"/>
      <c r="T51" s="135"/>
      <c r="U51" s="189"/>
      <c r="V51" s="135"/>
      <c r="W51" s="135"/>
      <c r="X51" s="135"/>
      <c r="Y51" s="135"/>
      <c r="Z51" s="135"/>
      <c r="AA51" s="135"/>
    </row>
    <row r="52" customFormat="false" ht="15.75" hidden="false" customHeight="true" outlineLevel="0" collapsed="false">
      <c r="A52" s="135"/>
      <c r="B52" s="135"/>
      <c r="C52" s="135"/>
      <c r="D52" s="135"/>
      <c r="E52" s="189"/>
      <c r="F52" s="135"/>
      <c r="G52" s="256"/>
      <c r="H52" s="256"/>
      <c r="I52" s="135"/>
      <c r="J52" s="135"/>
      <c r="K52" s="135"/>
      <c r="L52" s="135"/>
      <c r="M52" s="135"/>
      <c r="N52" s="135"/>
      <c r="O52" s="135"/>
      <c r="P52" s="135"/>
      <c r="Q52" s="135"/>
      <c r="R52" s="135"/>
      <c r="S52" s="135"/>
      <c r="T52" s="135"/>
      <c r="U52" s="189"/>
      <c r="V52" s="135"/>
      <c r="W52" s="135"/>
      <c r="X52" s="135"/>
      <c r="Y52" s="135"/>
      <c r="Z52" s="135"/>
      <c r="AA52" s="135"/>
    </row>
    <row r="53" customFormat="false" ht="15.75" hidden="false" customHeight="true" outlineLevel="0" collapsed="false">
      <c r="A53" s="135"/>
      <c r="B53" s="135"/>
      <c r="C53" s="135"/>
      <c r="D53" s="135"/>
      <c r="E53" s="189"/>
      <c r="F53" s="135"/>
      <c r="G53" s="256"/>
      <c r="H53" s="256"/>
      <c r="I53" s="135"/>
      <c r="J53" s="135"/>
      <c r="K53" s="135"/>
      <c r="L53" s="135"/>
      <c r="M53" s="135"/>
      <c r="N53" s="135"/>
      <c r="O53" s="135"/>
      <c r="P53" s="135"/>
      <c r="Q53" s="135"/>
      <c r="R53" s="135"/>
      <c r="S53" s="135"/>
      <c r="T53" s="135"/>
      <c r="U53" s="189"/>
      <c r="V53" s="135"/>
      <c r="W53" s="135"/>
      <c r="X53" s="135"/>
      <c r="Y53" s="135"/>
      <c r="Z53" s="135"/>
      <c r="AA53" s="135"/>
    </row>
    <row r="54" customFormat="false" ht="15.75" hidden="false" customHeight="true" outlineLevel="0" collapsed="false">
      <c r="A54" s="135"/>
      <c r="B54" s="135"/>
      <c r="C54" s="135"/>
      <c r="D54" s="135"/>
      <c r="E54" s="189"/>
      <c r="F54" s="135"/>
      <c r="G54" s="256"/>
      <c r="H54" s="256"/>
      <c r="I54" s="135"/>
      <c r="J54" s="135"/>
      <c r="K54" s="135"/>
      <c r="L54" s="135"/>
      <c r="M54" s="135"/>
      <c r="N54" s="135"/>
      <c r="O54" s="135"/>
      <c r="P54" s="135"/>
      <c r="Q54" s="135"/>
      <c r="R54" s="135"/>
      <c r="S54" s="135"/>
      <c r="T54" s="135"/>
      <c r="U54" s="189"/>
      <c r="V54" s="135"/>
      <c r="W54" s="135"/>
      <c r="X54" s="135"/>
      <c r="Y54" s="135"/>
      <c r="Z54" s="135"/>
      <c r="AA54" s="135"/>
    </row>
    <row r="55" customFormat="false" ht="15.75" hidden="false" customHeight="true" outlineLevel="0" collapsed="false">
      <c r="A55" s="135"/>
      <c r="B55" s="135"/>
      <c r="C55" s="135"/>
      <c r="D55" s="135"/>
      <c r="E55" s="189"/>
      <c r="F55" s="135"/>
      <c r="G55" s="256"/>
      <c r="H55" s="256"/>
      <c r="I55" s="135"/>
      <c r="J55" s="135"/>
      <c r="K55" s="135"/>
      <c r="L55" s="135"/>
      <c r="M55" s="135"/>
      <c r="N55" s="135"/>
      <c r="O55" s="135"/>
      <c r="P55" s="135"/>
      <c r="Q55" s="135"/>
      <c r="R55" s="135"/>
      <c r="S55" s="135"/>
      <c r="T55" s="135"/>
      <c r="U55" s="189"/>
      <c r="V55" s="135"/>
      <c r="W55" s="135"/>
      <c r="X55" s="135"/>
      <c r="Y55" s="135"/>
      <c r="Z55" s="135"/>
      <c r="AA55" s="135"/>
    </row>
    <row r="56" customFormat="false" ht="15.75" hidden="false" customHeight="true" outlineLevel="0" collapsed="false">
      <c r="A56" s="135"/>
      <c r="B56" s="135"/>
      <c r="C56" s="135"/>
      <c r="D56" s="135"/>
      <c r="E56" s="189"/>
      <c r="F56" s="135"/>
      <c r="G56" s="256"/>
      <c r="H56" s="256"/>
      <c r="I56" s="135"/>
      <c r="J56" s="135"/>
      <c r="K56" s="135"/>
      <c r="L56" s="135"/>
      <c r="M56" s="135"/>
      <c r="N56" s="135"/>
      <c r="O56" s="135"/>
      <c r="P56" s="135"/>
      <c r="Q56" s="135"/>
      <c r="R56" s="135"/>
      <c r="S56" s="135"/>
      <c r="T56" s="135"/>
      <c r="U56" s="189"/>
      <c r="V56" s="135"/>
      <c r="W56" s="135"/>
      <c r="X56" s="135"/>
      <c r="Y56" s="135"/>
      <c r="Z56" s="135"/>
      <c r="AA56" s="135"/>
    </row>
    <row r="57" customFormat="false" ht="15.75" hidden="false" customHeight="true" outlineLevel="0" collapsed="false">
      <c r="A57" s="135"/>
      <c r="B57" s="135"/>
      <c r="C57" s="135"/>
      <c r="D57" s="135"/>
      <c r="E57" s="189"/>
      <c r="F57" s="135"/>
      <c r="G57" s="256"/>
      <c r="H57" s="256"/>
      <c r="I57" s="135"/>
      <c r="J57" s="135"/>
      <c r="K57" s="135"/>
      <c r="L57" s="135"/>
      <c r="M57" s="135"/>
      <c r="N57" s="135"/>
      <c r="O57" s="135"/>
      <c r="P57" s="135"/>
      <c r="Q57" s="135"/>
      <c r="R57" s="135"/>
      <c r="S57" s="135"/>
      <c r="T57" s="135"/>
      <c r="U57" s="189"/>
      <c r="V57" s="135"/>
      <c r="W57" s="135"/>
      <c r="X57" s="135"/>
      <c r="Y57" s="135"/>
      <c r="Z57" s="135"/>
      <c r="AA57" s="135"/>
    </row>
    <row r="58" customFormat="false" ht="15.75" hidden="false" customHeight="true" outlineLevel="0" collapsed="false">
      <c r="A58" s="135"/>
      <c r="B58" s="135"/>
      <c r="C58" s="135"/>
      <c r="D58" s="135"/>
      <c r="E58" s="189"/>
      <c r="F58" s="135"/>
      <c r="G58" s="256"/>
      <c r="H58" s="256"/>
      <c r="I58" s="135"/>
      <c r="J58" s="135"/>
      <c r="K58" s="135"/>
      <c r="L58" s="135"/>
      <c r="M58" s="135"/>
      <c r="N58" s="135"/>
      <c r="O58" s="135"/>
      <c r="P58" s="135"/>
      <c r="Q58" s="135"/>
      <c r="R58" s="135"/>
      <c r="S58" s="135"/>
      <c r="T58" s="135"/>
      <c r="U58" s="189"/>
      <c r="V58" s="135"/>
      <c r="W58" s="135"/>
      <c r="X58" s="135"/>
      <c r="Y58" s="135"/>
      <c r="Z58" s="135"/>
      <c r="AA58" s="135"/>
    </row>
    <row r="59" customFormat="false" ht="15.75" hidden="false" customHeight="true" outlineLevel="0" collapsed="false">
      <c r="A59" s="135"/>
      <c r="B59" s="135"/>
      <c r="C59" s="135"/>
      <c r="D59" s="135"/>
      <c r="E59" s="189"/>
      <c r="F59" s="135"/>
      <c r="G59" s="256"/>
      <c r="H59" s="256"/>
      <c r="I59" s="135"/>
      <c r="J59" s="135"/>
      <c r="K59" s="135"/>
      <c r="L59" s="135"/>
      <c r="M59" s="135"/>
      <c r="N59" s="135"/>
      <c r="O59" s="135"/>
      <c r="P59" s="135"/>
      <c r="Q59" s="135"/>
      <c r="R59" s="135"/>
      <c r="S59" s="135"/>
      <c r="T59" s="135"/>
      <c r="U59" s="189"/>
      <c r="V59" s="135"/>
      <c r="W59" s="135"/>
      <c r="X59" s="135"/>
      <c r="Y59" s="135"/>
      <c r="Z59" s="135"/>
      <c r="AA59" s="135"/>
    </row>
    <row r="60" customFormat="false" ht="15.75" hidden="false" customHeight="true" outlineLevel="0" collapsed="false">
      <c r="A60" s="135"/>
      <c r="B60" s="135"/>
      <c r="C60" s="135"/>
      <c r="D60" s="135"/>
      <c r="E60" s="189"/>
      <c r="F60" s="135"/>
      <c r="G60" s="256"/>
      <c r="H60" s="256"/>
      <c r="I60" s="135"/>
      <c r="J60" s="135"/>
      <c r="K60" s="135"/>
      <c r="L60" s="135"/>
      <c r="M60" s="135"/>
      <c r="N60" s="135"/>
      <c r="O60" s="135"/>
      <c r="P60" s="135"/>
      <c r="Q60" s="135"/>
      <c r="R60" s="135"/>
      <c r="S60" s="135"/>
      <c r="T60" s="135"/>
      <c r="U60" s="189"/>
      <c r="V60" s="135"/>
      <c r="W60" s="135"/>
      <c r="X60" s="135"/>
      <c r="Y60" s="135"/>
      <c r="Z60" s="135"/>
      <c r="AA60" s="135"/>
    </row>
    <row r="61" customFormat="false" ht="15.75" hidden="false" customHeight="true" outlineLevel="0" collapsed="false">
      <c r="A61" s="135"/>
      <c r="B61" s="135"/>
      <c r="C61" s="135"/>
      <c r="D61" s="135"/>
      <c r="E61" s="189"/>
      <c r="F61" s="135"/>
      <c r="G61" s="256"/>
      <c r="H61" s="256"/>
      <c r="I61" s="135"/>
      <c r="J61" s="135"/>
      <c r="K61" s="135"/>
      <c r="L61" s="135"/>
      <c r="M61" s="135"/>
      <c r="N61" s="135"/>
      <c r="O61" s="135"/>
      <c r="P61" s="135"/>
      <c r="Q61" s="135"/>
      <c r="R61" s="135"/>
      <c r="S61" s="135"/>
      <c r="T61" s="135"/>
      <c r="U61" s="189"/>
      <c r="V61" s="135"/>
      <c r="W61" s="135"/>
      <c r="X61" s="135"/>
      <c r="Y61" s="135"/>
      <c r="Z61" s="135"/>
      <c r="AA61" s="135"/>
    </row>
    <row r="62" customFormat="false" ht="15.75" hidden="false" customHeight="true" outlineLevel="0" collapsed="false">
      <c r="A62" s="135"/>
      <c r="B62" s="135"/>
      <c r="C62" s="135"/>
      <c r="D62" s="135"/>
      <c r="E62" s="189"/>
      <c r="F62" s="135"/>
      <c r="G62" s="256"/>
      <c r="H62" s="256"/>
      <c r="I62" s="135"/>
      <c r="J62" s="135"/>
      <c r="K62" s="135"/>
      <c r="L62" s="135"/>
      <c r="M62" s="135"/>
      <c r="N62" s="135"/>
      <c r="O62" s="135"/>
      <c r="P62" s="135"/>
      <c r="Q62" s="135"/>
      <c r="R62" s="135"/>
      <c r="S62" s="135"/>
      <c r="T62" s="135"/>
      <c r="U62" s="189"/>
      <c r="V62" s="135"/>
      <c r="W62" s="135"/>
      <c r="X62" s="135"/>
      <c r="Y62" s="135"/>
      <c r="Z62" s="135"/>
      <c r="AA62" s="135"/>
    </row>
    <row r="63" customFormat="false" ht="15.75" hidden="false" customHeight="true" outlineLevel="0" collapsed="false">
      <c r="A63" s="135"/>
      <c r="B63" s="135"/>
      <c r="C63" s="135"/>
      <c r="D63" s="135"/>
      <c r="E63" s="189"/>
      <c r="F63" s="135"/>
      <c r="G63" s="256"/>
      <c r="H63" s="256"/>
      <c r="I63" s="135"/>
      <c r="J63" s="135"/>
      <c r="K63" s="135"/>
      <c r="L63" s="135"/>
      <c r="M63" s="135"/>
      <c r="N63" s="135"/>
      <c r="O63" s="135"/>
      <c r="P63" s="135"/>
      <c r="Q63" s="135"/>
      <c r="R63" s="135"/>
      <c r="S63" s="135"/>
      <c r="T63" s="135"/>
      <c r="U63" s="189"/>
      <c r="V63" s="135"/>
      <c r="W63" s="135"/>
      <c r="X63" s="135"/>
      <c r="Y63" s="135"/>
      <c r="Z63" s="135"/>
      <c r="AA63" s="135"/>
    </row>
    <row r="64" customFormat="false" ht="15.75" hidden="false" customHeight="true" outlineLevel="0" collapsed="false">
      <c r="A64" s="135"/>
      <c r="B64" s="135"/>
      <c r="C64" s="135"/>
      <c r="D64" s="135"/>
      <c r="E64" s="189"/>
      <c r="F64" s="135"/>
      <c r="G64" s="256"/>
      <c r="H64" s="256"/>
      <c r="I64" s="135"/>
      <c r="J64" s="135"/>
      <c r="K64" s="135"/>
      <c r="L64" s="135"/>
      <c r="M64" s="135"/>
      <c r="N64" s="135"/>
      <c r="O64" s="135"/>
      <c r="P64" s="135"/>
      <c r="Q64" s="135"/>
      <c r="R64" s="135"/>
      <c r="S64" s="135"/>
      <c r="T64" s="135"/>
      <c r="U64" s="189"/>
      <c r="V64" s="135"/>
      <c r="W64" s="135"/>
      <c r="X64" s="135"/>
      <c r="Y64" s="135"/>
      <c r="Z64" s="135"/>
      <c r="AA64" s="135"/>
    </row>
    <row r="65" customFormat="false" ht="15.75" hidden="false" customHeight="true" outlineLevel="0" collapsed="false">
      <c r="A65" s="135"/>
      <c r="B65" s="135"/>
      <c r="C65" s="135"/>
      <c r="D65" s="135"/>
      <c r="E65" s="189"/>
      <c r="F65" s="135"/>
      <c r="G65" s="256"/>
      <c r="H65" s="256"/>
      <c r="I65" s="135"/>
      <c r="J65" s="135"/>
      <c r="K65" s="135"/>
      <c r="L65" s="135"/>
      <c r="M65" s="135"/>
      <c r="N65" s="135"/>
      <c r="O65" s="135"/>
      <c r="P65" s="135"/>
      <c r="Q65" s="135"/>
      <c r="R65" s="135"/>
      <c r="S65" s="135"/>
      <c r="T65" s="135"/>
      <c r="U65" s="189"/>
      <c r="V65" s="135"/>
      <c r="W65" s="135"/>
      <c r="X65" s="135"/>
      <c r="Y65" s="135"/>
      <c r="Z65" s="135"/>
      <c r="AA65" s="135"/>
    </row>
    <row r="66" customFormat="false" ht="15.75" hidden="false" customHeight="true" outlineLevel="0" collapsed="false">
      <c r="A66" s="135"/>
      <c r="B66" s="135"/>
      <c r="C66" s="135"/>
      <c r="D66" s="135"/>
      <c r="E66" s="189"/>
      <c r="F66" s="135"/>
      <c r="G66" s="256"/>
      <c r="H66" s="256"/>
      <c r="I66" s="135"/>
      <c r="J66" s="135"/>
      <c r="K66" s="135"/>
      <c r="L66" s="135"/>
      <c r="M66" s="135"/>
      <c r="N66" s="135"/>
      <c r="O66" s="135"/>
      <c r="P66" s="135"/>
      <c r="Q66" s="135"/>
      <c r="R66" s="135"/>
      <c r="S66" s="135"/>
      <c r="T66" s="135"/>
      <c r="U66" s="189"/>
      <c r="V66" s="135"/>
      <c r="W66" s="135"/>
      <c r="X66" s="135"/>
      <c r="Y66" s="135"/>
      <c r="Z66" s="135"/>
      <c r="AA66" s="135"/>
    </row>
    <row r="67" customFormat="false" ht="15.75" hidden="false" customHeight="true" outlineLevel="0" collapsed="false">
      <c r="A67" s="135"/>
      <c r="B67" s="135"/>
      <c r="C67" s="135"/>
      <c r="D67" s="135"/>
      <c r="E67" s="189"/>
      <c r="F67" s="135"/>
      <c r="G67" s="256"/>
      <c r="H67" s="256"/>
      <c r="I67" s="135"/>
      <c r="J67" s="135"/>
      <c r="K67" s="135"/>
      <c r="L67" s="135"/>
      <c r="M67" s="135"/>
      <c r="N67" s="135"/>
      <c r="O67" s="135"/>
      <c r="P67" s="135"/>
      <c r="Q67" s="135"/>
      <c r="R67" s="135"/>
      <c r="S67" s="135"/>
      <c r="T67" s="135"/>
      <c r="U67" s="189"/>
      <c r="V67" s="135"/>
      <c r="W67" s="135"/>
      <c r="X67" s="135"/>
      <c r="Y67" s="135"/>
      <c r="Z67" s="135"/>
      <c r="AA67" s="135"/>
    </row>
    <row r="68" customFormat="false" ht="15.75" hidden="false" customHeight="true" outlineLevel="0" collapsed="false">
      <c r="A68" s="135"/>
      <c r="B68" s="135"/>
      <c r="C68" s="135"/>
      <c r="D68" s="135"/>
      <c r="E68" s="189"/>
      <c r="F68" s="135"/>
      <c r="G68" s="256"/>
      <c r="H68" s="256"/>
      <c r="I68" s="135"/>
      <c r="J68" s="135"/>
      <c r="K68" s="135"/>
      <c r="L68" s="135"/>
      <c r="M68" s="135"/>
      <c r="N68" s="135"/>
      <c r="O68" s="135"/>
      <c r="P68" s="135"/>
      <c r="Q68" s="135"/>
      <c r="R68" s="135"/>
      <c r="S68" s="135"/>
      <c r="T68" s="135"/>
      <c r="U68" s="189"/>
      <c r="V68" s="135"/>
      <c r="W68" s="135"/>
      <c r="X68" s="135"/>
      <c r="Y68" s="135"/>
      <c r="Z68" s="135"/>
      <c r="AA68" s="135"/>
    </row>
    <row r="69" customFormat="false" ht="15.75" hidden="false" customHeight="true" outlineLevel="0" collapsed="false">
      <c r="A69" s="135"/>
      <c r="B69" s="135"/>
      <c r="C69" s="135"/>
      <c r="D69" s="135"/>
      <c r="E69" s="189"/>
      <c r="F69" s="135"/>
      <c r="G69" s="256"/>
      <c r="H69" s="256"/>
      <c r="I69" s="135"/>
      <c r="J69" s="135"/>
      <c r="K69" s="135"/>
      <c r="L69" s="135"/>
      <c r="M69" s="135"/>
      <c r="N69" s="135"/>
      <c r="O69" s="135"/>
      <c r="P69" s="135"/>
      <c r="Q69" s="135"/>
      <c r="R69" s="135"/>
      <c r="S69" s="135"/>
      <c r="T69" s="135"/>
      <c r="U69" s="189"/>
      <c r="V69" s="135"/>
      <c r="W69" s="135"/>
      <c r="X69" s="135"/>
      <c r="Y69" s="135"/>
      <c r="Z69" s="135"/>
      <c r="AA69" s="135"/>
    </row>
    <row r="70" customFormat="false" ht="15.75" hidden="false" customHeight="true" outlineLevel="0" collapsed="false">
      <c r="A70" s="135"/>
      <c r="B70" s="135"/>
      <c r="C70" s="135"/>
      <c r="D70" s="135"/>
      <c r="E70" s="189"/>
      <c r="F70" s="135"/>
      <c r="G70" s="256"/>
      <c r="H70" s="256"/>
      <c r="I70" s="135"/>
      <c r="J70" s="135"/>
      <c r="K70" s="135"/>
      <c r="L70" s="135"/>
      <c r="M70" s="135"/>
      <c r="N70" s="135"/>
      <c r="O70" s="135"/>
      <c r="P70" s="135"/>
      <c r="Q70" s="135"/>
      <c r="R70" s="135"/>
      <c r="S70" s="135"/>
      <c r="T70" s="135"/>
      <c r="U70" s="189"/>
      <c r="V70" s="135"/>
      <c r="W70" s="135"/>
      <c r="X70" s="135"/>
      <c r="Y70" s="135"/>
      <c r="Z70" s="135"/>
      <c r="AA70" s="135"/>
    </row>
    <row r="71" customFormat="false" ht="15.75" hidden="false" customHeight="true" outlineLevel="0" collapsed="false">
      <c r="A71" s="135"/>
      <c r="B71" s="135"/>
      <c r="C71" s="135"/>
      <c r="D71" s="135"/>
      <c r="E71" s="189"/>
      <c r="F71" s="135"/>
      <c r="G71" s="256"/>
      <c r="H71" s="256"/>
      <c r="I71" s="135"/>
      <c r="J71" s="135"/>
      <c r="K71" s="135"/>
      <c r="L71" s="135"/>
      <c r="M71" s="135"/>
      <c r="N71" s="135"/>
      <c r="O71" s="135"/>
      <c r="P71" s="135"/>
      <c r="Q71" s="135"/>
      <c r="R71" s="135"/>
      <c r="S71" s="135"/>
      <c r="T71" s="135"/>
      <c r="U71" s="189"/>
      <c r="V71" s="135"/>
      <c r="W71" s="135"/>
      <c r="X71" s="135"/>
      <c r="Y71" s="135"/>
      <c r="Z71" s="135"/>
      <c r="AA71" s="135"/>
    </row>
    <row r="72" customFormat="false" ht="15.75" hidden="false" customHeight="true" outlineLevel="0" collapsed="false">
      <c r="A72" s="135"/>
      <c r="B72" s="135"/>
      <c r="C72" s="135"/>
      <c r="D72" s="135"/>
      <c r="E72" s="189"/>
      <c r="F72" s="135"/>
      <c r="G72" s="256"/>
      <c r="H72" s="256"/>
      <c r="I72" s="135"/>
      <c r="J72" s="135"/>
      <c r="K72" s="135"/>
      <c r="L72" s="135"/>
      <c r="M72" s="135"/>
      <c r="N72" s="135"/>
      <c r="O72" s="135"/>
      <c r="P72" s="135"/>
      <c r="Q72" s="135"/>
      <c r="R72" s="135"/>
      <c r="S72" s="135"/>
      <c r="T72" s="135"/>
      <c r="U72" s="189"/>
      <c r="V72" s="135"/>
      <c r="W72" s="135"/>
      <c r="X72" s="135"/>
      <c r="Y72" s="135"/>
      <c r="Z72" s="135"/>
      <c r="AA72" s="135"/>
    </row>
    <row r="73" customFormat="false" ht="15.75" hidden="false" customHeight="true" outlineLevel="0" collapsed="false">
      <c r="A73" s="135"/>
      <c r="B73" s="135"/>
      <c r="C73" s="135"/>
      <c r="D73" s="135"/>
      <c r="E73" s="189"/>
      <c r="F73" s="135"/>
      <c r="G73" s="256"/>
      <c r="H73" s="256"/>
      <c r="I73" s="135"/>
      <c r="J73" s="135"/>
      <c r="K73" s="135"/>
      <c r="L73" s="135"/>
      <c r="M73" s="135"/>
      <c r="N73" s="135"/>
      <c r="O73" s="135"/>
      <c r="P73" s="135"/>
      <c r="Q73" s="135"/>
      <c r="R73" s="135"/>
      <c r="S73" s="135"/>
      <c r="T73" s="135"/>
      <c r="U73" s="189"/>
      <c r="V73" s="135"/>
      <c r="W73" s="135"/>
      <c r="X73" s="135"/>
      <c r="Y73" s="135"/>
      <c r="Z73" s="135"/>
      <c r="AA73" s="135"/>
    </row>
    <row r="74" customFormat="false" ht="15.75" hidden="false" customHeight="true" outlineLevel="0" collapsed="false">
      <c r="A74" s="135"/>
      <c r="B74" s="135"/>
      <c r="C74" s="135"/>
      <c r="D74" s="135"/>
      <c r="E74" s="189"/>
      <c r="F74" s="135"/>
      <c r="G74" s="256"/>
      <c r="H74" s="256"/>
      <c r="I74" s="135"/>
      <c r="J74" s="135"/>
      <c r="K74" s="135"/>
      <c r="L74" s="135"/>
      <c r="M74" s="135"/>
      <c r="N74" s="135"/>
      <c r="O74" s="135"/>
      <c r="P74" s="135"/>
      <c r="Q74" s="135"/>
      <c r="R74" s="135"/>
      <c r="S74" s="135"/>
      <c r="T74" s="135"/>
      <c r="U74" s="189"/>
      <c r="V74" s="135"/>
      <c r="W74" s="135"/>
      <c r="X74" s="135"/>
      <c r="Y74" s="135"/>
      <c r="Z74" s="135"/>
      <c r="AA74" s="135"/>
    </row>
    <row r="75" customFormat="false" ht="15.75" hidden="false" customHeight="true" outlineLevel="0" collapsed="false">
      <c r="A75" s="135"/>
      <c r="B75" s="135"/>
      <c r="C75" s="135"/>
      <c r="D75" s="135"/>
      <c r="E75" s="189"/>
      <c r="F75" s="135"/>
      <c r="G75" s="256"/>
      <c r="H75" s="256"/>
      <c r="I75" s="135"/>
      <c r="J75" s="135"/>
      <c r="K75" s="135"/>
      <c r="L75" s="135"/>
      <c r="M75" s="135"/>
      <c r="N75" s="135"/>
      <c r="O75" s="135"/>
      <c r="P75" s="135"/>
      <c r="Q75" s="135"/>
      <c r="R75" s="135"/>
      <c r="S75" s="135"/>
      <c r="T75" s="135"/>
      <c r="U75" s="189"/>
      <c r="V75" s="135"/>
      <c r="W75" s="135"/>
      <c r="X75" s="135"/>
      <c r="Y75" s="135"/>
      <c r="Z75" s="135"/>
      <c r="AA75" s="135"/>
    </row>
    <row r="76" customFormat="false" ht="15.75" hidden="false" customHeight="true" outlineLevel="0" collapsed="false">
      <c r="A76" s="135"/>
      <c r="B76" s="135"/>
      <c r="C76" s="135"/>
      <c r="D76" s="135"/>
      <c r="E76" s="189"/>
      <c r="F76" s="135"/>
      <c r="G76" s="256"/>
      <c r="H76" s="256"/>
      <c r="I76" s="135"/>
      <c r="J76" s="135"/>
      <c r="K76" s="135"/>
      <c r="L76" s="135"/>
      <c r="M76" s="135"/>
      <c r="N76" s="135"/>
      <c r="O76" s="135"/>
      <c r="P76" s="135"/>
      <c r="Q76" s="135"/>
      <c r="R76" s="135"/>
      <c r="S76" s="135"/>
      <c r="T76" s="135"/>
      <c r="U76" s="189"/>
      <c r="V76" s="135"/>
      <c r="W76" s="135"/>
      <c r="X76" s="135"/>
      <c r="Y76" s="135"/>
      <c r="Z76" s="135"/>
      <c r="AA76" s="135"/>
    </row>
    <row r="77" customFormat="false" ht="15.75" hidden="false" customHeight="true" outlineLevel="0" collapsed="false">
      <c r="A77" s="135"/>
      <c r="B77" s="135"/>
      <c r="C77" s="135"/>
      <c r="D77" s="135"/>
      <c r="E77" s="189"/>
      <c r="F77" s="135"/>
      <c r="G77" s="256"/>
      <c r="H77" s="256"/>
      <c r="I77" s="135"/>
      <c r="J77" s="135"/>
      <c r="K77" s="135"/>
      <c r="L77" s="135"/>
      <c r="M77" s="135"/>
      <c r="N77" s="135"/>
      <c r="O77" s="135"/>
      <c r="P77" s="135"/>
      <c r="Q77" s="135"/>
      <c r="R77" s="135"/>
      <c r="S77" s="135"/>
      <c r="T77" s="135"/>
      <c r="U77" s="189"/>
      <c r="V77" s="135"/>
      <c r="W77" s="135"/>
      <c r="X77" s="135"/>
      <c r="Y77" s="135"/>
      <c r="Z77" s="135"/>
      <c r="AA77" s="135"/>
    </row>
    <row r="78" customFormat="false" ht="15.75" hidden="false" customHeight="true" outlineLevel="0" collapsed="false">
      <c r="A78" s="135"/>
      <c r="B78" s="135"/>
      <c r="C78" s="135"/>
      <c r="D78" s="135"/>
      <c r="E78" s="189"/>
      <c r="F78" s="135"/>
      <c r="G78" s="256"/>
      <c r="H78" s="256"/>
      <c r="I78" s="135"/>
      <c r="J78" s="135"/>
      <c r="K78" s="135"/>
      <c r="L78" s="135"/>
      <c r="M78" s="135"/>
      <c r="N78" s="135"/>
      <c r="O78" s="135"/>
      <c r="P78" s="135"/>
      <c r="Q78" s="135"/>
      <c r="R78" s="135"/>
      <c r="S78" s="135"/>
      <c r="T78" s="135"/>
      <c r="U78" s="189"/>
      <c r="V78" s="135"/>
      <c r="W78" s="135"/>
      <c r="X78" s="135"/>
      <c r="Y78" s="135"/>
      <c r="Z78" s="135"/>
      <c r="AA78" s="135"/>
    </row>
    <row r="79" customFormat="false" ht="15.75" hidden="false" customHeight="true" outlineLevel="0" collapsed="false">
      <c r="A79" s="135"/>
      <c r="B79" s="135"/>
      <c r="C79" s="135"/>
      <c r="D79" s="135"/>
      <c r="E79" s="189"/>
      <c r="F79" s="135"/>
      <c r="G79" s="256"/>
      <c r="H79" s="256"/>
      <c r="I79" s="135"/>
      <c r="J79" s="135"/>
      <c r="K79" s="135"/>
      <c r="L79" s="135"/>
      <c r="M79" s="135"/>
      <c r="N79" s="135"/>
      <c r="O79" s="135"/>
      <c r="P79" s="135"/>
      <c r="Q79" s="135"/>
      <c r="R79" s="135"/>
      <c r="S79" s="135"/>
      <c r="T79" s="135"/>
      <c r="U79" s="189"/>
      <c r="V79" s="135"/>
      <c r="W79" s="135"/>
      <c r="X79" s="135"/>
      <c r="Y79" s="135"/>
      <c r="Z79" s="135"/>
      <c r="AA79" s="135"/>
    </row>
    <row r="80" customFormat="false" ht="15.75" hidden="false" customHeight="true" outlineLevel="0" collapsed="false">
      <c r="A80" s="135"/>
      <c r="B80" s="135"/>
      <c r="C80" s="135"/>
      <c r="D80" s="135"/>
      <c r="E80" s="189"/>
      <c r="F80" s="135"/>
      <c r="G80" s="256"/>
      <c r="H80" s="256"/>
      <c r="I80" s="135"/>
      <c r="J80" s="135"/>
      <c r="K80" s="135"/>
      <c r="L80" s="135"/>
      <c r="M80" s="135"/>
      <c r="N80" s="135"/>
      <c r="O80" s="135"/>
      <c r="P80" s="135"/>
      <c r="Q80" s="135"/>
      <c r="R80" s="135"/>
      <c r="S80" s="135"/>
      <c r="T80" s="135"/>
      <c r="U80" s="189"/>
      <c r="V80" s="135"/>
      <c r="W80" s="135"/>
      <c r="X80" s="135"/>
      <c r="Y80" s="135"/>
      <c r="Z80" s="135"/>
      <c r="AA80" s="135"/>
    </row>
    <row r="81" customFormat="false" ht="15.75" hidden="false" customHeight="true" outlineLevel="0" collapsed="false">
      <c r="A81" s="135"/>
      <c r="B81" s="135"/>
      <c r="C81" s="135"/>
      <c r="D81" s="135"/>
      <c r="E81" s="189"/>
      <c r="F81" s="135"/>
      <c r="G81" s="256"/>
      <c r="H81" s="256"/>
      <c r="I81" s="135"/>
      <c r="J81" s="135"/>
      <c r="K81" s="135"/>
      <c r="L81" s="135"/>
      <c r="M81" s="135"/>
      <c r="N81" s="135"/>
      <c r="O81" s="135"/>
      <c r="P81" s="135"/>
      <c r="Q81" s="135"/>
      <c r="R81" s="135"/>
      <c r="S81" s="135"/>
      <c r="T81" s="135"/>
      <c r="U81" s="189"/>
      <c r="V81" s="135"/>
      <c r="W81" s="135"/>
      <c r="X81" s="135"/>
      <c r="Y81" s="135"/>
      <c r="Z81" s="135"/>
      <c r="AA81" s="135"/>
    </row>
    <row r="82" customFormat="false" ht="15.75" hidden="false" customHeight="true" outlineLevel="0" collapsed="false">
      <c r="A82" s="135"/>
      <c r="B82" s="135"/>
      <c r="C82" s="135"/>
      <c r="D82" s="135"/>
      <c r="E82" s="189"/>
      <c r="F82" s="135"/>
      <c r="G82" s="256"/>
      <c r="H82" s="256"/>
      <c r="I82" s="135"/>
      <c r="J82" s="135"/>
      <c r="K82" s="135"/>
      <c r="L82" s="135"/>
      <c r="M82" s="135"/>
      <c r="N82" s="135"/>
      <c r="O82" s="135"/>
      <c r="P82" s="135"/>
      <c r="Q82" s="135"/>
      <c r="R82" s="135"/>
      <c r="S82" s="135"/>
      <c r="T82" s="135"/>
      <c r="U82" s="189"/>
      <c r="V82" s="135"/>
      <c r="W82" s="135"/>
      <c r="X82" s="135"/>
      <c r="Y82" s="135"/>
      <c r="Z82" s="135"/>
      <c r="AA82" s="135"/>
    </row>
    <row r="83" customFormat="false" ht="15.75" hidden="false" customHeight="true" outlineLevel="0" collapsed="false">
      <c r="A83" s="135"/>
      <c r="B83" s="135"/>
      <c r="C83" s="135"/>
      <c r="D83" s="135"/>
      <c r="E83" s="189"/>
      <c r="F83" s="135"/>
      <c r="G83" s="256"/>
      <c r="H83" s="256"/>
      <c r="I83" s="135"/>
      <c r="J83" s="135"/>
      <c r="K83" s="135"/>
      <c r="L83" s="135"/>
      <c r="M83" s="135"/>
      <c r="N83" s="135"/>
      <c r="O83" s="135"/>
      <c r="P83" s="135"/>
      <c r="Q83" s="135"/>
      <c r="R83" s="135"/>
      <c r="S83" s="135"/>
      <c r="T83" s="135"/>
      <c r="U83" s="189"/>
      <c r="V83" s="135"/>
      <c r="W83" s="135"/>
      <c r="X83" s="135"/>
      <c r="Y83" s="135"/>
      <c r="Z83" s="135"/>
      <c r="AA83" s="135"/>
    </row>
    <row r="84" customFormat="false" ht="15.75" hidden="false" customHeight="true" outlineLevel="0" collapsed="false">
      <c r="A84" s="135"/>
      <c r="B84" s="135"/>
      <c r="C84" s="135"/>
      <c r="D84" s="135"/>
      <c r="E84" s="189"/>
      <c r="F84" s="135"/>
      <c r="G84" s="256"/>
      <c r="H84" s="256"/>
      <c r="I84" s="135"/>
      <c r="J84" s="135"/>
      <c r="K84" s="135"/>
      <c r="L84" s="135"/>
      <c r="M84" s="135"/>
      <c r="N84" s="135"/>
      <c r="O84" s="135"/>
      <c r="P84" s="135"/>
      <c r="Q84" s="135"/>
      <c r="R84" s="135"/>
      <c r="S84" s="135"/>
      <c r="T84" s="135"/>
      <c r="U84" s="189"/>
      <c r="V84" s="135"/>
      <c r="W84" s="135"/>
      <c r="X84" s="135"/>
      <c r="Y84" s="135"/>
      <c r="Z84" s="135"/>
      <c r="AA84" s="135"/>
    </row>
    <row r="85" customFormat="false" ht="15.75" hidden="false" customHeight="true" outlineLevel="0" collapsed="false">
      <c r="A85" s="135"/>
      <c r="B85" s="135"/>
      <c r="C85" s="135"/>
      <c r="D85" s="135"/>
      <c r="E85" s="189"/>
      <c r="F85" s="135"/>
      <c r="G85" s="256"/>
      <c r="H85" s="256"/>
      <c r="I85" s="135"/>
      <c r="J85" s="135"/>
      <c r="K85" s="135"/>
      <c r="L85" s="135"/>
      <c r="M85" s="135"/>
      <c r="N85" s="135"/>
      <c r="O85" s="135"/>
      <c r="P85" s="135"/>
      <c r="Q85" s="135"/>
      <c r="R85" s="135"/>
      <c r="S85" s="135"/>
      <c r="T85" s="135"/>
      <c r="U85" s="189"/>
      <c r="V85" s="135"/>
      <c r="W85" s="135"/>
      <c r="X85" s="135"/>
      <c r="Y85" s="135"/>
      <c r="Z85" s="135"/>
      <c r="AA85" s="135"/>
    </row>
    <row r="86" customFormat="false" ht="15.75" hidden="false" customHeight="true" outlineLevel="0" collapsed="false">
      <c r="A86" s="135"/>
      <c r="B86" s="135"/>
      <c r="C86" s="135"/>
      <c r="D86" s="135"/>
      <c r="E86" s="189"/>
      <c r="F86" s="135"/>
      <c r="G86" s="256"/>
      <c r="H86" s="256"/>
      <c r="I86" s="135"/>
      <c r="J86" s="135"/>
      <c r="K86" s="135"/>
      <c r="L86" s="135"/>
      <c r="M86" s="135"/>
      <c r="N86" s="135"/>
      <c r="O86" s="135"/>
      <c r="P86" s="135"/>
      <c r="Q86" s="135"/>
      <c r="R86" s="135"/>
      <c r="S86" s="135"/>
      <c r="T86" s="135"/>
      <c r="U86" s="189"/>
      <c r="V86" s="135"/>
      <c r="W86" s="135"/>
      <c r="X86" s="135"/>
      <c r="Y86" s="135"/>
      <c r="Z86" s="135"/>
      <c r="AA86" s="135"/>
    </row>
    <row r="87" customFormat="false" ht="15.75" hidden="false" customHeight="true" outlineLevel="0" collapsed="false">
      <c r="A87" s="135"/>
      <c r="B87" s="135"/>
      <c r="C87" s="135"/>
      <c r="D87" s="135"/>
      <c r="E87" s="189"/>
      <c r="F87" s="135"/>
      <c r="G87" s="256"/>
      <c r="H87" s="256"/>
      <c r="I87" s="135"/>
      <c r="J87" s="135"/>
      <c r="K87" s="135"/>
      <c r="L87" s="135"/>
      <c r="M87" s="135"/>
      <c r="N87" s="135"/>
      <c r="O87" s="135"/>
      <c r="P87" s="135"/>
      <c r="Q87" s="135"/>
      <c r="R87" s="135"/>
      <c r="S87" s="135"/>
      <c r="T87" s="135"/>
      <c r="U87" s="189"/>
      <c r="V87" s="135"/>
      <c r="W87" s="135"/>
      <c r="X87" s="135"/>
      <c r="Y87" s="135"/>
      <c r="Z87" s="135"/>
      <c r="AA87" s="135"/>
    </row>
    <row r="88" customFormat="false" ht="15.75" hidden="false" customHeight="true" outlineLevel="0" collapsed="false">
      <c r="A88" s="135"/>
      <c r="B88" s="135"/>
      <c r="C88" s="135"/>
      <c r="D88" s="135"/>
      <c r="E88" s="189"/>
      <c r="F88" s="135"/>
      <c r="G88" s="256"/>
      <c r="H88" s="256"/>
      <c r="I88" s="135"/>
      <c r="J88" s="135"/>
      <c r="K88" s="135"/>
      <c r="L88" s="135"/>
      <c r="M88" s="135"/>
      <c r="N88" s="135"/>
      <c r="O88" s="135"/>
      <c r="P88" s="135"/>
      <c r="Q88" s="135"/>
      <c r="R88" s="135"/>
      <c r="S88" s="135"/>
      <c r="T88" s="135"/>
      <c r="U88" s="189"/>
      <c r="V88" s="135"/>
      <c r="W88" s="135"/>
      <c r="X88" s="135"/>
      <c r="Y88" s="135"/>
      <c r="Z88" s="135"/>
      <c r="AA88" s="135"/>
    </row>
    <row r="89" customFormat="false" ht="15.75" hidden="false" customHeight="true" outlineLevel="0" collapsed="false">
      <c r="A89" s="135"/>
      <c r="B89" s="135"/>
      <c r="C89" s="135"/>
      <c r="D89" s="135"/>
      <c r="E89" s="189"/>
      <c r="F89" s="135"/>
      <c r="G89" s="256"/>
      <c r="H89" s="256"/>
      <c r="I89" s="135"/>
      <c r="J89" s="135"/>
      <c r="K89" s="135"/>
      <c r="L89" s="135"/>
      <c r="M89" s="135"/>
      <c r="N89" s="135"/>
      <c r="O89" s="135"/>
      <c r="P89" s="135"/>
      <c r="Q89" s="135"/>
      <c r="R89" s="135"/>
      <c r="S89" s="135"/>
      <c r="T89" s="135"/>
      <c r="U89" s="189"/>
      <c r="V89" s="135"/>
      <c r="W89" s="135"/>
      <c r="X89" s="135"/>
      <c r="Y89" s="135"/>
      <c r="Z89" s="135"/>
      <c r="AA89" s="135"/>
    </row>
    <row r="90" customFormat="false" ht="15.75" hidden="false" customHeight="true" outlineLevel="0" collapsed="false">
      <c r="A90" s="135"/>
      <c r="B90" s="135"/>
      <c r="C90" s="135"/>
      <c r="D90" s="135"/>
      <c r="E90" s="189"/>
      <c r="F90" s="135"/>
      <c r="G90" s="256"/>
      <c r="H90" s="256"/>
      <c r="I90" s="135"/>
      <c r="J90" s="135"/>
      <c r="K90" s="135"/>
      <c r="L90" s="135"/>
      <c r="M90" s="135"/>
      <c r="N90" s="135"/>
      <c r="O90" s="135"/>
      <c r="P90" s="135"/>
      <c r="Q90" s="135"/>
      <c r="R90" s="135"/>
      <c r="S90" s="135"/>
      <c r="T90" s="135"/>
      <c r="U90" s="189"/>
      <c r="V90" s="135"/>
      <c r="W90" s="135"/>
      <c r="X90" s="135"/>
      <c r="Y90" s="135"/>
      <c r="Z90" s="135"/>
      <c r="AA90" s="135"/>
    </row>
    <row r="91" customFormat="false" ht="15.75" hidden="false" customHeight="true" outlineLevel="0" collapsed="false">
      <c r="A91" s="135"/>
      <c r="B91" s="135"/>
      <c r="C91" s="135"/>
      <c r="D91" s="135"/>
      <c r="E91" s="189"/>
      <c r="F91" s="135"/>
      <c r="G91" s="256"/>
      <c r="H91" s="256"/>
      <c r="I91" s="135"/>
      <c r="J91" s="135"/>
      <c r="K91" s="135"/>
      <c r="L91" s="135"/>
      <c r="M91" s="135"/>
      <c r="N91" s="135"/>
      <c r="O91" s="135"/>
      <c r="P91" s="135"/>
      <c r="Q91" s="135"/>
      <c r="R91" s="135"/>
      <c r="S91" s="135"/>
      <c r="T91" s="135"/>
      <c r="U91" s="189"/>
      <c r="V91" s="135"/>
      <c r="W91" s="135"/>
      <c r="X91" s="135"/>
      <c r="Y91" s="135"/>
      <c r="Z91" s="135"/>
      <c r="AA91" s="135"/>
    </row>
    <row r="92" customFormat="false" ht="15.75" hidden="false" customHeight="true" outlineLevel="0" collapsed="false">
      <c r="A92" s="135"/>
      <c r="B92" s="135"/>
      <c r="C92" s="135"/>
      <c r="D92" s="135"/>
      <c r="E92" s="189"/>
      <c r="F92" s="135"/>
      <c r="G92" s="256"/>
      <c r="H92" s="256"/>
      <c r="I92" s="135"/>
      <c r="J92" s="135"/>
      <c r="K92" s="135"/>
      <c r="L92" s="135"/>
      <c r="M92" s="135"/>
      <c r="N92" s="135"/>
      <c r="O92" s="135"/>
      <c r="P92" s="135"/>
      <c r="Q92" s="135"/>
      <c r="R92" s="135"/>
      <c r="S92" s="135"/>
      <c r="T92" s="135"/>
      <c r="U92" s="189"/>
      <c r="V92" s="135"/>
      <c r="W92" s="135"/>
      <c r="X92" s="135"/>
      <c r="Y92" s="135"/>
      <c r="Z92" s="135"/>
      <c r="AA92" s="135"/>
    </row>
    <row r="93" customFormat="false" ht="15.75" hidden="false" customHeight="true" outlineLevel="0" collapsed="false">
      <c r="A93" s="135"/>
      <c r="B93" s="135"/>
      <c r="C93" s="135"/>
      <c r="D93" s="135"/>
      <c r="E93" s="189"/>
      <c r="F93" s="135"/>
      <c r="G93" s="256"/>
      <c r="H93" s="256"/>
      <c r="I93" s="135"/>
      <c r="J93" s="135"/>
      <c r="K93" s="135"/>
      <c r="L93" s="135"/>
      <c r="M93" s="135"/>
      <c r="N93" s="135"/>
      <c r="O93" s="135"/>
      <c r="P93" s="135"/>
      <c r="Q93" s="135"/>
      <c r="R93" s="135"/>
      <c r="S93" s="135"/>
      <c r="T93" s="135"/>
      <c r="U93" s="189"/>
      <c r="V93" s="135"/>
      <c r="W93" s="135"/>
      <c r="X93" s="135"/>
      <c r="Y93" s="135"/>
      <c r="Z93" s="135"/>
      <c r="AA93" s="135"/>
    </row>
    <row r="94" customFormat="false" ht="15.75" hidden="false" customHeight="true" outlineLevel="0" collapsed="false">
      <c r="A94" s="135"/>
      <c r="B94" s="135"/>
      <c r="C94" s="135"/>
      <c r="D94" s="135"/>
      <c r="E94" s="189"/>
      <c r="F94" s="135"/>
      <c r="G94" s="256"/>
      <c r="H94" s="256"/>
      <c r="I94" s="135"/>
      <c r="J94" s="135"/>
      <c r="K94" s="135"/>
      <c r="L94" s="135"/>
      <c r="M94" s="135"/>
      <c r="N94" s="135"/>
      <c r="O94" s="135"/>
      <c r="P94" s="135"/>
      <c r="Q94" s="135"/>
      <c r="R94" s="135"/>
      <c r="S94" s="135"/>
      <c r="T94" s="135"/>
      <c r="U94" s="189"/>
      <c r="V94" s="135"/>
      <c r="W94" s="135"/>
      <c r="X94" s="135"/>
      <c r="Y94" s="135"/>
      <c r="Z94" s="135"/>
      <c r="AA94" s="135"/>
    </row>
    <row r="95" customFormat="false" ht="15.75" hidden="false" customHeight="true" outlineLevel="0" collapsed="false">
      <c r="A95" s="135"/>
      <c r="B95" s="135"/>
      <c r="C95" s="135"/>
      <c r="D95" s="135"/>
      <c r="E95" s="189"/>
      <c r="F95" s="135"/>
      <c r="G95" s="256"/>
      <c r="H95" s="256"/>
      <c r="I95" s="135"/>
      <c r="J95" s="135"/>
      <c r="K95" s="135"/>
      <c r="L95" s="135"/>
      <c r="M95" s="135"/>
      <c r="N95" s="135"/>
      <c r="O95" s="135"/>
      <c r="P95" s="135"/>
      <c r="Q95" s="135"/>
      <c r="R95" s="135"/>
      <c r="S95" s="135"/>
      <c r="T95" s="135"/>
      <c r="U95" s="189"/>
      <c r="V95" s="135"/>
      <c r="W95" s="135"/>
      <c r="X95" s="135"/>
      <c r="Y95" s="135"/>
      <c r="Z95" s="135"/>
      <c r="AA95" s="135"/>
    </row>
    <row r="96" customFormat="false" ht="15.75" hidden="false" customHeight="true" outlineLevel="0" collapsed="false">
      <c r="A96" s="135"/>
      <c r="B96" s="135"/>
      <c r="C96" s="135"/>
      <c r="D96" s="135"/>
      <c r="E96" s="189"/>
      <c r="F96" s="135"/>
      <c r="G96" s="256"/>
      <c r="H96" s="256"/>
      <c r="I96" s="135"/>
      <c r="J96" s="135"/>
      <c r="K96" s="135"/>
      <c r="L96" s="135"/>
      <c r="M96" s="135"/>
      <c r="N96" s="135"/>
      <c r="O96" s="135"/>
      <c r="P96" s="135"/>
      <c r="Q96" s="135"/>
      <c r="R96" s="135"/>
      <c r="S96" s="135"/>
      <c r="T96" s="135"/>
      <c r="U96" s="189"/>
      <c r="V96" s="135"/>
      <c r="W96" s="135"/>
      <c r="X96" s="135"/>
      <c r="Y96" s="135"/>
      <c r="Z96" s="135"/>
      <c r="AA96" s="135"/>
    </row>
    <row r="97" customFormat="false" ht="15.75" hidden="false" customHeight="true" outlineLevel="0" collapsed="false">
      <c r="A97" s="135"/>
      <c r="B97" s="135"/>
      <c r="C97" s="135"/>
      <c r="D97" s="135"/>
      <c r="E97" s="189"/>
      <c r="F97" s="135"/>
      <c r="G97" s="256"/>
      <c r="H97" s="256"/>
      <c r="I97" s="135"/>
      <c r="J97" s="135"/>
      <c r="K97" s="135"/>
      <c r="L97" s="135"/>
      <c r="M97" s="135"/>
      <c r="N97" s="135"/>
      <c r="O97" s="135"/>
      <c r="P97" s="135"/>
      <c r="Q97" s="135"/>
      <c r="R97" s="135"/>
      <c r="S97" s="135"/>
      <c r="T97" s="135"/>
      <c r="U97" s="189"/>
      <c r="V97" s="135"/>
      <c r="W97" s="135"/>
      <c r="X97" s="135"/>
      <c r="Y97" s="135"/>
      <c r="Z97" s="135"/>
      <c r="AA97" s="135"/>
    </row>
    <row r="98" customFormat="false" ht="15.75" hidden="false" customHeight="true" outlineLevel="0" collapsed="false">
      <c r="A98" s="135"/>
      <c r="B98" s="135"/>
      <c r="C98" s="135"/>
      <c r="D98" s="135"/>
      <c r="E98" s="189"/>
      <c r="F98" s="135"/>
      <c r="G98" s="256"/>
      <c r="H98" s="256"/>
      <c r="I98" s="135"/>
      <c r="J98" s="135"/>
      <c r="K98" s="135"/>
      <c r="L98" s="135"/>
      <c r="M98" s="135"/>
      <c r="N98" s="135"/>
      <c r="O98" s="135"/>
      <c r="P98" s="135"/>
      <c r="Q98" s="135"/>
      <c r="R98" s="135"/>
      <c r="S98" s="135"/>
      <c r="T98" s="135"/>
      <c r="U98" s="189"/>
      <c r="V98" s="135"/>
      <c r="W98" s="135"/>
      <c r="X98" s="135"/>
      <c r="Y98" s="135"/>
      <c r="Z98" s="135"/>
      <c r="AA98" s="135"/>
    </row>
    <row r="99" customFormat="false" ht="15.75" hidden="false" customHeight="true" outlineLevel="0" collapsed="false">
      <c r="A99" s="135"/>
      <c r="B99" s="135"/>
      <c r="C99" s="135"/>
      <c r="D99" s="135"/>
      <c r="E99" s="189"/>
      <c r="F99" s="135"/>
      <c r="G99" s="256"/>
      <c r="H99" s="256"/>
      <c r="I99" s="135"/>
      <c r="J99" s="135"/>
      <c r="K99" s="135"/>
      <c r="L99" s="135"/>
      <c r="M99" s="135"/>
      <c r="N99" s="135"/>
      <c r="O99" s="135"/>
      <c r="P99" s="135"/>
      <c r="Q99" s="135"/>
      <c r="R99" s="135"/>
      <c r="S99" s="135"/>
      <c r="T99" s="135"/>
      <c r="U99" s="189"/>
      <c r="V99" s="135"/>
      <c r="W99" s="135"/>
      <c r="X99" s="135"/>
      <c r="Y99" s="135"/>
      <c r="Z99" s="135"/>
      <c r="AA99" s="135"/>
    </row>
    <row r="100" customFormat="false" ht="15.75" hidden="false" customHeight="true" outlineLevel="0" collapsed="false">
      <c r="A100" s="135"/>
      <c r="B100" s="135"/>
      <c r="C100" s="135"/>
      <c r="D100" s="135"/>
      <c r="E100" s="189"/>
      <c r="F100" s="135"/>
      <c r="G100" s="256"/>
      <c r="H100" s="256"/>
      <c r="I100" s="135"/>
      <c r="J100" s="135"/>
      <c r="K100" s="135"/>
      <c r="L100" s="135"/>
      <c r="M100" s="135"/>
      <c r="N100" s="135"/>
      <c r="O100" s="135"/>
      <c r="P100" s="135"/>
      <c r="Q100" s="135"/>
      <c r="R100" s="135"/>
      <c r="S100" s="135"/>
      <c r="T100" s="135"/>
      <c r="U100" s="189"/>
      <c r="V100" s="135"/>
      <c r="W100" s="135"/>
      <c r="X100" s="135"/>
      <c r="Y100" s="135"/>
      <c r="Z100" s="135"/>
      <c r="AA100" s="135"/>
    </row>
    <row r="101" customFormat="false" ht="15.75" hidden="false" customHeight="true" outlineLevel="0" collapsed="false">
      <c r="A101" s="135"/>
      <c r="B101" s="135"/>
      <c r="C101" s="135"/>
      <c r="D101" s="135"/>
      <c r="E101" s="189"/>
      <c r="F101" s="135"/>
      <c r="G101" s="256"/>
      <c r="H101" s="256"/>
      <c r="I101" s="135"/>
      <c r="J101" s="135"/>
      <c r="K101" s="135"/>
      <c r="L101" s="135"/>
      <c r="M101" s="135"/>
      <c r="N101" s="135"/>
      <c r="O101" s="135"/>
      <c r="P101" s="135"/>
      <c r="Q101" s="135"/>
      <c r="R101" s="135"/>
      <c r="S101" s="135"/>
      <c r="T101" s="135"/>
      <c r="U101" s="189"/>
      <c r="V101" s="135"/>
      <c r="W101" s="135"/>
      <c r="X101" s="135"/>
      <c r="Y101" s="135"/>
      <c r="Z101" s="135"/>
      <c r="AA101" s="135"/>
    </row>
    <row r="102" customFormat="false" ht="15.75" hidden="false" customHeight="true" outlineLevel="0" collapsed="false">
      <c r="A102" s="135"/>
      <c r="B102" s="135"/>
      <c r="C102" s="135"/>
      <c r="D102" s="135"/>
      <c r="E102" s="189"/>
      <c r="F102" s="135"/>
      <c r="G102" s="256"/>
      <c r="H102" s="256"/>
      <c r="I102" s="135"/>
      <c r="J102" s="135"/>
      <c r="K102" s="135"/>
      <c r="L102" s="135"/>
      <c r="M102" s="135"/>
      <c r="N102" s="135"/>
      <c r="O102" s="135"/>
      <c r="P102" s="135"/>
      <c r="Q102" s="135"/>
      <c r="R102" s="135"/>
      <c r="S102" s="135"/>
      <c r="T102" s="135"/>
      <c r="U102" s="189"/>
      <c r="V102" s="135"/>
      <c r="W102" s="135"/>
      <c r="X102" s="135"/>
      <c r="Y102" s="135"/>
      <c r="Z102" s="135"/>
      <c r="AA102" s="135"/>
    </row>
    <row r="103" customFormat="false" ht="15.75" hidden="false" customHeight="true" outlineLevel="0" collapsed="false">
      <c r="A103" s="135"/>
      <c r="B103" s="135"/>
      <c r="C103" s="135"/>
      <c r="D103" s="135"/>
      <c r="E103" s="189"/>
      <c r="F103" s="135"/>
      <c r="G103" s="256"/>
      <c r="H103" s="256"/>
      <c r="I103" s="135"/>
      <c r="J103" s="135"/>
      <c r="K103" s="135"/>
      <c r="L103" s="135"/>
      <c r="M103" s="135"/>
      <c r="N103" s="135"/>
      <c r="O103" s="135"/>
      <c r="P103" s="135"/>
      <c r="Q103" s="135"/>
      <c r="R103" s="135"/>
      <c r="S103" s="135"/>
      <c r="T103" s="135"/>
      <c r="U103" s="189"/>
      <c r="V103" s="135"/>
      <c r="W103" s="135"/>
      <c r="X103" s="135"/>
      <c r="Y103" s="135"/>
      <c r="Z103" s="135"/>
      <c r="AA103" s="135"/>
    </row>
    <row r="104" customFormat="false" ht="15.75" hidden="false" customHeight="true" outlineLevel="0" collapsed="false">
      <c r="A104" s="135"/>
      <c r="B104" s="135"/>
      <c r="C104" s="135"/>
      <c r="D104" s="135"/>
      <c r="E104" s="189"/>
      <c r="F104" s="135"/>
      <c r="G104" s="256"/>
      <c r="H104" s="256"/>
      <c r="I104" s="135"/>
      <c r="J104" s="135"/>
      <c r="K104" s="135"/>
      <c r="L104" s="135"/>
      <c r="M104" s="135"/>
      <c r="N104" s="135"/>
      <c r="O104" s="135"/>
      <c r="P104" s="135"/>
      <c r="Q104" s="135"/>
      <c r="R104" s="135"/>
      <c r="S104" s="135"/>
      <c r="T104" s="135"/>
      <c r="U104" s="189"/>
      <c r="V104" s="135"/>
      <c r="W104" s="135"/>
      <c r="X104" s="135"/>
      <c r="Y104" s="135"/>
      <c r="Z104" s="135"/>
      <c r="AA104" s="135"/>
    </row>
    <row r="105" customFormat="false" ht="15.75" hidden="false" customHeight="true" outlineLevel="0" collapsed="false">
      <c r="A105" s="135"/>
      <c r="B105" s="135"/>
      <c r="C105" s="135"/>
      <c r="D105" s="135"/>
      <c r="E105" s="189"/>
      <c r="F105" s="135"/>
      <c r="G105" s="256"/>
      <c r="H105" s="256"/>
      <c r="I105" s="135"/>
      <c r="J105" s="135"/>
      <c r="K105" s="135"/>
      <c r="L105" s="135"/>
      <c r="M105" s="135"/>
      <c r="N105" s="135"/>
      <c r="O105" s="135"/>
      <c r="P105" s="135"/>
      <c r="Q105" s="135"/>
      <c r="R105" s="135"/>
      <c r="S105" s="135"/>
      <c r="T105" s="135"/>
      <c r="U105" s="189"/>
      <c r="V105" s="135"/>
      <c r="W105" s="135"/>
      <c r="X105" s="135"/>
      <c r="Y105" s="135"/>
      <c r="Z105" s="135"/>
      <c r="AA105" s="135"/>
    </row>
    <row r="106" customFormat="false" ht="15.75" hidden="false" customHeight="true" outlineLevel="0" collapsed="false">
      <c r="A106" s="135"/>
      <c r="B106" s="135"/>
      <c r="C106" s="135"/>
      <c r="D106" s="135"/>
      <c r="E106" s="189"/>
      <c r="F106" s="135"/>
      <c r="G106" s="256"/>
      <c r="H106" s="256"/>
      <c r="I106" s="135"/>
      <c r="J106" s="135"/>
      <c r="K106" s="135"/>
      <c r="L106" s="135"/>
      <c r="M106" s="135"/>
      <c r="N106" s="135"/>
      <c r="O106" s="135"/>
      <c r="P106" s="135"/>
      <c r="Q106" s="135"/>
      <c r="R106" s="135"/>
      <c r="S106" s="135"/>
      <c r="T106" s="135"/>
      <c r="U106" s="189"/>
      <c r="V106" s="135"/>
      <c r="W106" s="135"/>
      <c r="X106" s="135"/>
      <c r="Y106" s="135"/>
      <c r="Z106" s="135"/>
      <c r="AA106" s="135"/>
    </row>
    <row r="107" customFormat="false" ht="15.75" hidden="false" customHeight="true" outlineLevel="0" collapsed="false">
      <c r="A107" s="135"/>
      <c r="B107" s="135"/>
      <c r="C107" s="135"/>
      <c r="D107" s="135"/>
      <c r="E107" s="189"/>
      <c r="F107" s="135"/>
      <c r="G107" s="256"/>
      <c r="H107" s="256"/>
      <c r="I107" s="135"/>
      <c r="J107" s="135"/>
      <c r="K107" s="135"/>
      <c r="L107" s="135"/>
      <c r="M107" s="135"/>
      <c r="N107" s="135"/>
      <c r="O107" s="135"/>
      <c r="P107" s="135"/>
      <c r="Q107" s="135"/>
      <c r="R107" s="135"/>
      <c r="S107" s="135"/>
      <c r="T107" s="135"/>
      <c r="U107" s="189"/>
      <c r="V107" s="135"/>
      <c r="W107" s="135"/>
      <c r="X107" s="135"/>
      <c r="Y107" s="135"/>
      <c r="Z107" s="135"/>
      <c r="AA107" s="135"/>
    </row>
    <row r="108" customFormat="false" ht="15.75" hidden="false" customHeight="true" outlineLevel="0" collapsed="false">
      <c r="A108" s="135"/>
      <c r="B108" s="135"/>
      <c r="C108" s="135"/>
      <c r="D108" s="135"/>
      <c r="E108" s="189"/>
      <c r="F108" s="135"/>
      <c r="G108" s="256"/>
      <c r="H108" s="256"/>
      <c r="I108" s="135"/>
      <c r="J108" s="135"/>
      <c r="K108" s="135"/>
      <c r="L108" s="135"/>
      <c r="M108" s="135"/>
      <c r="N108" s="135"/>
      <c r="O108" s="135"/>
      <c r="P108" s="135"/>
      <c r="Q108" s="135"/>
      <c r="R108" s="135"/>
      <c r="S108" s="135"/>
      <c r="T108" s="135"/>
      <c r="U108" s="189"/>
      <c r="V108" s="135"/>
      <c r="W108" s="135"/>
      <c r="X108" s="135"/>
      <c r="Y108" s="135"/>
      <c r="Z108" s="135"/>
      <c r="AA108" s="135"/>
    </row>
    <row r="109" customFormat="false" ht="15.75" hidden="false" customHeight="true" outlineLevel="0" collapsed="false">
      <c r="A109" s="135"/>
      <c r="B109" s="135"/>
      <c r="C109" s="135"/>
      <c r="D109" s="135"/>
      <c r="E109" s="189"/>
      <c r="F109" s="135"/>
      <c r="G109" s="256"/>
      <c r="H109" s="256"/>
      <c r="I109" s="135"/>
      <c r="J109" s="135"/>
      <c r="K109" s="135"/>
      <c r="L109" s="135"/>
      <c r="M109" s="135"/>
      <c r="N109" s="135"/>
      <c r="O109" s="135"/>
      <c r="P109" s="135"/>
      <c r="Q109" s="135"/>
      <c r="R109" s="135"/>
      <c r="S109" s="135"/>
      <c r="T109" s="135"/>
      <c r="U109" s="189"/>
      <c r="V109" s="135"/>
      <c r="W109" s="135"/>
      <c r="X109" s="135"/>
      <c r="Y109" s="135"/>
      <c r="Z109" s="135"/>
      <c r="AA109" s="135"/>
    </row>
    <row r="110" customFormat="false" ht="15.75" hidden="false" customHeight="true" outlineLevel="0" collapsed="false">
      <c r="A110" s="135"/>
      <c r="B110" s="135"/>
      <c r="C110" s="135"/>
      <c r="D110" s="135"/>
      <c r="E110" s="189"/>
      <c r="F110" s="135"/>
      <c r="G110" s="256"/>
      <c r="H110" s="256"/>
      <c r="I110" s="135"/>
      <c r="J110" s="135"/>
      <c r="K110" s="135"/>
      <c r="L110" s="135"/>
      <c r="M110" s="135"/>
      <c r="N110" s="135"/>
      <c r="O110" s="135"/>
      <c r="P110" s="135"/>
      <c r="Q110" s="135"/>
      <c r="R110" s="135"/>
      <c r="S110" s="135"/>
      <c r="T110" s="135"/>
      <c r="U110" s="189"/>
      <c r="V110" s="135"/>
      <c r="W110" s="135"/>
      <c r="X110" s="135"/>
      <c r="Y110" s="135"/>
      <c r="Z110" s="135"/>
      <c r="AA110" s="135"/>
    </row>
    <row r="111" customFormat="false" ht="15.75" hidden="false" customHeight="true" outlineLevel="0" collapsed="false">
      <c r="A111" s="135"/>
      <c r="B111" s="135"/>
      <c r="C111" s="135"/>
      <c r="D111" s="135"/>
      <c r="E111" s="189"/>
      <c r="F111" s="135"/>
      <c r="G111" s="256"/>
      <c r="H111" s="256"/>
      <c r="I111" s="135"/>
      <c r="J111" s="135"/>
      <c r="K111" s="135"/>
      <c r="L111" s="135"/>
      <c r="M111" s="135"/>
      <c r="N111" s="135"/>
      <c r="O111" s="135"/>
      <c r="P111" s="135"/>
      <c r="Q111" s="135"/>
      <c r="R111" s="135"/>
      <c r="S111" s="135"/>
      <c r="T111" s="135"/>
      <c r="U111" s="189"/>
      <c r="V111" s="135"/>
      <c r="W111" s="135"/>
      <c r="X111" s="135"/>
      <c r="Y111" s="135"/>
      <c r="Z111" s="135"/>
      <c r="AA111" s="135"/>
    </row>
    <row r="112" customFormat="false" ht="15.75" hidden="false" customHeight="true" outlineLevel="0" collapsed="false">
      <c r="A112" s="135"/>
      <c r="B112" s="135"/>
      <c r="C112" s="135"/>
      <c r="D112" s="135"/>
      <c r="E112" s="189"/>
      <c r="F112" s="135"/>
      <c r="G112" s="256"/>
      <c r="H112" s="256"/>
      <c r="I112" s="135"/>
      <c r="J112" s="135"/>
      <c r="K112" s="135"/>
      <c r="L112" s="135"/>
      <c r="M112" s="135"/>
      <c r="N112" s="135"/>
      <c r="O112" s="135"/>
      <c r="P112" s="135"/>
      <c r="Q112" s="135"/>
      <c r="R112" s="135"/>
      <c r="S112" s="135"/>
      <c r="T112" s="135"/>
      <c r="U112" s="189"/>
      <c r="V112" s="135"/>
      <c r="W112" s="135"/>
      <c r="X112" s="135"/>
      <c r="Y112" s="135"/>
      <c r="Z112" s="135"/>
      <c r="AA112" s="135"/>
    </row>
    <row r="113" customFormat="false" ht="15.75" hidden="false" customHeight="true" outlineLevel="0" collapsed="false">
      <c r="A113" s="135"/>
      <c r="B113" s="135"/>
      <c r="C113" s="135"/>
      <c r="D113" s="135"/>
      <c r="E113" s="189"/>
      <c r="F113" s="135"/>
      <c r="G113" s="256"/>
      <c r="H113" s="256"/>
      <c r="I113" s="135"/>
      <c r="J113" s="135"/>
      <c r="K113" s="135"/>
      <c r="L113" s="135"/>
      <c r="M113" s="135"/>
      <c r="N113" s="135"/>
      <c r="O113" s="135"/>
      <c r="P113" s="135"/>
      <c r="Q113" s="135"/>
      <c r="R113" s="135"/>
      <c r="S113" s="135"/>
      <c r="T113" s="135"/>
      <c r="U113" s="189"/>
      <c r="V113" s="135"/>
      <c r="W113" s="135"/>
      <c r="X113" s="135"/>
      <c r="Y113" s="135"/>
      <c r="Z113" s="135"/>
      <c r="AA113" s="135"/>
    </row>
    <row r="114" customFormat="false" ht="15.75" hidden="false" customHeight="true" outlineLevel="0" collapsed="false">
      <c r="A114" s="135"/>
      <c r="B114" s="135"/>
      <c r="C114" s="135"/>
      <c r="D114" s="135"/>
      <c r="E114" s="189"/>
      <c r="F114" s="135"/>
      <c r="G114" s="256"/>
      <c r="H114" s="256"/>
      <c r="I114" s="135"/>
      <c r="J114" s="135"/>
      <c r="K114" s="135"/>
      <c r="L114" s="135"/>
      <c r="M114" s="135"/>
      <c r="N114" s="135"/>
      <c r="O114" s="135"/>
      <c r="P114" s="135"/>
      <c r="Q114" s="135"/>
      <c r="R114" s="135"/>
      <c r="S114" s="135"/>
      <c r="T114" s="135"/>
      <c r="U114" s="189"/>
      <c r="V114" s="135"/>
      <c r="W114" s="135"/>
      <c r="X114" s="135"/>
      <c r="Y114" s="135"/>
      <c r="Z114" s="135"/>
      <c r="AA114" s="135"/>
    </row>
    <row r="115" customFormat="false" ht="15.75" hidden="false" customHeight="true" outlineLevel="0" collapsed="false">
      <c r="A115" s="135"/>
      <c r="B115" s="135"/>
      <c r="C115" s="135"/>
      <c r="D115" s="135"/>
      <c r="E115" s="189"/>
      <c r="F115" s="135"/>
      <c r="G115" s="256"/>
      <c r="H115" s="256"/>
      <c r="I115" s="135"/>
      <c r="J115" s="135"/>
      <c r="K115" s="135"/>
      <c r="L115" s="135"/>
      <c r="M115" s="135"/>
      <c r="N115" s="135"/>
      <c r="O115" s="135"/>
      <c r="P115" s="135"/>
      <c r="Q115" s="135"/>
      <c r="R115" s="135"/>
      <c r="S115" s="135"/>
      <c r="T115" s="135"/>
      <c r="U115" s="189"/>
      <c r="V115" s="135"/>
      <c r="W115" s="135"/>
      <c r="X115" s="135"/>
      <c r="Y115" s="135"/>
      <c r="Z115" s="135"/>
      <c r="AA115" s="135"/>
    </row>
    <row r="116" customFormat="false" ht="15.75" hidden="false" customHeight="true" outlineLevel="0" collapsed="false">
      <c r="A116" s="135"/>
      <c r="B116" s="135"/>
      <c r="C116" s="135"/>
      <c r="D116" s="135"/>
      <c r="E116" s="189"/>
      <c r="F116" s="135"/>
      <c r="G116" s="256"/>
      <c r="H116" s="256"/>
      <c r="I116" s="135"/>
      <c r="J116" s="135"/>
      <c r="K116" s="135"/>
      <c r="L116" s="135"/>
      <c r="M116" s="135"/>
      <c r="N116" s="135"/>
      <c r="O116" s="135"/>
      <c r="P116" s="135"/>
      <c r="Q116" s="135"/>
      <c r="R116" s="135"/>
      <c r="S116" s="135"/>
      <c r="T116" s="135"/>
      <c r="U116" s="189"/>
      <c r="V116" s="135"/>
      <c r="W116" s="135"/>
      <c r="X116" s="135"/>
      <c r="Y116" s="135"/>
      <c r="Z116" s="135"/>
      <c r="AA116" s="135"/>
    </row>
    <row r="117" customFormat="false" ht="15.75" hidden="false" customHeight="true" outlineLevel="0" collapsed="false">
      <c r="A117" s="135"/>
      <c r="B117" s="135"/>
      <c r="C117" s="135"/>
      <c r="D117" s="135"/>
      <c r="E117" s="189"/>
      <c r="F117" s="135"/>
      <c r="G117" s="256"/>
      <c r="H117" s="256"/>
      <c r="I117" s="135"/>
      <c r="J117" s="135"/>
      <c r="K117" s="135"/>
      <c r="L117" s="135"/>
      <c r="M117" s="135"/>
      <c r="N117" s="135"/>
      <c r="O117" s="135"/>
      <c r="P117" s="135"/>
      <c r="Q117" s="135"/>
      <c r="R117" s="135"/>
      <c r="S117" s="135"/>
      <c r="T117" s="135"/>
      <c r="U117" s="189"/>
      <c r="V117" s="135"/>
      <c r="W117" s="135"/>
      <c r="X117" s="135"/>
      <c r="Y117" s="135"/>
      <c r="Z117" s="135"/>
      <c r="AA117" s="135"/>
    </row>
    <row r="118" customFormat="false" ht="15.75" hidden="false" customHeight="true" outlineLevel="0" collapsed="false">
      <c r="A118" s="135"/>
      <c r="B118" s="135"/>
      <c r="C118" s="135"/>
      <c r="D118" s="135"/>
      <c r="E118" s="189"/>
      <c r="F118" s="135"/>
      <c r="G118" s="256"/>
      <c r="H118" s="256"/>
      <c r="I118" s="135"/>
      <c r="J118" s="135"/>
      <c r="K118" s="135"/>
      <c r="L118" s="135"/>
      <c r="M118" s="135"/>
      <c r="N118" s="135"/>
      <c r="O118" s="135"/>
      <c r="P118" s="135"/>
      <c r="Q118" s="135"/>
      <c r="R118" s="135"/>
      <c r="S118" s="135"/>
      <c r="T118" s="135"/>
      <c r="U118" s="189"/>
      <c r="V118" s="135"/>
      <c r="W118" s="135"/>
      <c r="X118" s="135"/>
      <c r="Y118" s="135"/>
      <c r="Z118" s="135"/>
      <c r="AA118" s="135"/>
    </row>
    <row r="119" customFormat="false" ht="15.75" hidden="false" customHeight="true" outlineLevel="0" collapsed="false">
      <c r="A119" s="135"/>
      <c r="B119" s="135"/>
      <c r="C119" s="135"/>
      <c r="D119" s="135"/>
      <c r="E119" s="189"/>
      <c r="F119" s="135"/>
      <c r="G119" s="256"/>
      <c r="H119" s="256"/>
      <c r="I119" s="135"/>
      <c r="J119" s="135"/>
      <c r="K119" s="135"/>
      <c r="L119" s="135"/>
      <c r="M119" s="135"/>
      <c r="N119" s="135"/>
      <c r="O119" s="135"/>
      <c r="P119" s="135"/>
      <c r="Q119" s="135"/>
      <c r="R119" s="135"/>
      <c r="S119" s="135"/>
      <c r="T119" s="135"/>
      <c r="U119" s="189"/>
      <c r="V119" s="135"/>
      <c r="W119" s="135"/>
      <c r="X119" s="135"/>
      <c r="Y119" s="135"/>
      <c r="Z119" s="135"/>
      <c r="AA119" s="135"/>
    </row>
    <row r="120" customFormat="false" ht="15.75" hidden="false" customHeight="true" outlineLevel="0" collapsed="false">
      <c r="A120" s="135"/>
      <c r="B120" s="135"/>
      <c r="C120" s="135"/>
      <c r="D120" s="135"/>
      <c r="E120" s="189"/>
      <c r="F120" s="135"/>
      <c r="G120" s="256"/>
      <c r="H120" s="256"/>
      <c r="I120" s="135"/>
      <c r="J120" s="135"/>
      <c r="K120" s="135"/>
      <c r="L120" s="135"/>
      <c r="M120" s="135"/>
      <c r="N120" s="135"/>
      <c r="O120" s="135"/>
      <c r="P120" s="135"/>
      <c r="Q120" s="135"/>
      <c r="R120" s="135"/>
      <c r="S120" s="135"/>
      <c r="T120" s="135"/>
      <c r="U120" s="189"/>
      <c r="V120" s="135"/>
      <c r="W120" s="135"/>
      <c r="X120" s="135"/>
      <c r="Y120" s="135"/>
      <c r="Z120" s="135"/>
      <c r="AA120" s="135"/>
    </row>
    <row r="121" customFormat="false" ht="15.75" hidden="false" customHeight="true" outlineLevel="0" collapsed="false">
      <c r="A121" s="135"/>
      <c r="B121" s="135"/>
      <c r="C121" s="135"/>
      <c r="D121" s="135"/>
      <c r="E121" s="189"/>
      <c r="F121" s="135"/>
      <c r="G121" s="256"/>
      <c r="H121" s="256"/>
      <c r="I121" s="135"/>
      <c r="J121" s="135"/>
      <c r="K121" s="135"/>
      <c r="L121" s="135"/>
      <c r="M121" s="135"/>
      <c r="N121" s="135"/>
      <c r="O121" s="135"/>
      <c r="P121" s="135"/>
      <c r="Q121" s="135"/>
      <c r="R121" s="135"/>
      <c r="S121" s="135"/>
      <c r="T121" s="135"/>
      <c r="U121" s="189"/>
      <c r="V121" s="135"/>
      <c r="W121" s="135"/>
      <c r="X121" s="135"/>
      <c r="Y121" s="135"/>
      <c r="Z121" s="135"/>
      <c r="AA121" s="135"/>
    </row>
    <row r="122" customFormat="false" ht="15.75" hidden="false" customHeight="true" outlineLevel="0" collapsed="false">
      <c r="A122" s="135"/>
      <c r="B122" s="135"/>
      <c r="C122" s="135"/>
      <c r="D122" s="135"/>
      <c r="E122" s="189"/>
      <c r="F122" s="135"/>
      <c r="G122" s="256"/>
      <c r="H122" s="256"/>
      <c r="I122" s="135"/>
      <c r="J122" s="135"/>
      <c r="K122" s="135"/>
      <c r="L122" s="135"/>
      <c r="M122" s="135"/>
      <c r="N122" s="135"/>
      <c r="O122" s="135"/>
      <c r="P122" s="135"/>
      <c r="Q122" s="135"/>
      <c r="R122" s="135"/>
      <c r="S122" s="135"/>
      <c r="T122" s="135"/>
      <c r="U122" s="189"/>
      <c r="V122" s="135"/>
      <c r="W122" s="135"/>
      <c r="X122" s="135"/>
      <c r="Y122" s="135"/>
      <c r="Z122" s="135"/>
      <c r="AA122" s="135"/>
    </row>
    <row r="123" customFormat="false" ht="15.75" hidden="false" customHeight="true" outlineLevel="0" collapsed="false">
      <c r="A123" s="135"/>
      <c r="B123" s="135"/>
      <c r="C123" s="135"/>
      <c r="D123" s="135"/>
      <c r="E123" s="189"/>
      <c r="F123" s="135"/>
      <c r="G123" s="256"/>
      <c r="H123" s="256"/>
      <c r="I123" s="135"/>
      <c r="J123" s="135"/>
      <c r="K123" s="135"/>
      <c r="L123" s="135"/>
      <c r="M123" s="135"/>
      <c r="N123" s="135"/>
      <c r="O123" s="135"/>
      <c r="P123" s="135"/>
      <c r="Q123" s="135"/>
      <c r="R123" s="135"/>
      <c r="S123" s="135"/>
      <c r="T123" s="135"/>
      <c r="U123" s="189"/>
      <c r="V123" s="135"/>
      <c r="W123" s="135"/>
      <c r="X123" s="135"/>
      <c r="Y123" s="135"/>
      <c r="Z123" s="135"/>
      <c r="AA123" s="135"/>
    </row>
    <row r="124" customFormat="false" ht="15.75" hidden="false" customHeight="true" outlineLevel="0" collapsed="false">
      <c r="A124" s="135"/>
      <c r="B124" s="135"/>
      <c r="C124" s="135"/>
      <c r="D124" s="135"/>
      <c r="E124" s="189"/>
      <c r="F124" s="135"/>
      <c r="G124" s="256"/>
      <c r="H124" s="256"/>
      <c r="I124" s="135"/>
      <c r="J124" s="135"/>
      <c r="K124" s="135"/>
      <c r="L124" s="135"/>
      <c r="M124" s="135"/>
      <c r="N124" s="135"/>
      <c r="O124" s="135"/>
      <c r="P124" s="135"/>
      <c r="Q124" s="135"/>
      <c r="R124" s="135"/>
      <c r="S124" s="135"/>
      <c r="T124" s="135"/>
      <c r="U124" s="189"/>
      <c r="V124" s="135"/>
      <c r="W124" s="135"/>
      <c r="X124" s="135"/>
      <c r="Y124" s="135"/>
      <c r="Z124" s="135"/>
      <c r="AA124" s="135"/>
    </row>
    <row r="125" customFormat="false" ht="15.75" hidden="false" customHeight="true" outlineLevel="0" collapsed="false">
      <c r="A125" s="135"/>
      <c r="B125" s="135"/>
      <c r="C125" s="135"/>
      <c r="D125" s="135"/>
      <c r="E125" s="189"/>
      <c r="F125" s="135"/>
      <c r="G125" s="256"/>
      <c r="H125" s="256"/>
      <c r="I125" s="135"/>
      <c r="J125" s="135"/>
      <c r="K125" s="135"/>
      <c r="L125" s="135"/>
      <c r="M125" s="135"/>
      <c r="N125" s="135"/>
      <c r="O125" s="135"/>
      <c r="P125" s="135"/>
      <c r="Q125" s="135"/>
      <c r="R125" s="135"/>
      <c r="S125" s="135"/>
      <c r="T125" s="135"/>
      <c r="U125" s="189"/>
      <c r="V125" s="135"/>
      <c r="W125" s="135"/>
      <c r="X125" s="135"/>
      <c r="Y125" s="135"/>
      <c r="Z125" s="135"/>
      <c r="AA125" s="135"/>
    </row>
    <row r="126" customFormat="false" ht="15.75" hidden="false" customHeight="true" outlineLevel="0" collapsed="false">
      <c r="A126" s="135"/>
      <c r="B126" s="135"/>
      <c r="C126" s="135"/>
      <c r="D126" s="135"/>
      <c r="E126" s="189"/>
      <c r="F126" s="135"/>
      <c r="G126" s="256"/>
      <c r="H126" s="256"/>
      <c r="I126" s="135"/>
      <c r="J126" s="135"/>
      <c r="K126" s="135"/>
      <c r="L126" s="135"/>
      <c r="M126" s="135"/>
      <c r="N126" s="135"/>
      <c r="O126" s="135"/>
      <c r="P126" s="135"/>
      <c r="Q126" s="135"/>
      <c r="R126" s="135"/>
      <c r="S126" s="135"/>
      <c r="T126" s="135"/>
      <c r="U126" s="189"/>
      <c r="V126" s="135"/>
      <c r="W126" s="135"/>
      <c r="X126" s="135"/>
      <c r="Y126" s="135"/>
      <c r="Z126" s="135"/>
      <c r="AA126" s="135"/>
    </row>
    <row r="127" customFormat="false" ht="15.75" hidden="false" customHeight="true" outlineLevel="0" collapsed="false">
      <c r="A127" s="135"/>
      <c r="B127" s="135"/>
      <c r="C127" s="135"/>
      <c r="D127" s="135"/>
      <c r="E127" s="189"/>
      <c r="F127" s="135"/>
      <c r="G127" s="256"/>
      <c r="H127" s="256"/>
      <c r="I127" s="135"/>
      <c r="J127" s="135"/>
      <c r="K127" s="135"/>
      <c r="L127" s="135"/>
      <c r="M127" s="135"/>
      <c r="N127" s="135"/>
      <c r="O127" s="135"/>
      <c r="P127" s="135"/>
      <c r="Q127" s="135"/>
      <c r="R127" s="135"/>
      <c r="S127" s="135"/>
      <c r="T127" s="135"/>
      <c r="U127" s="189"/>
      <c r="V127" s="135"/>
      <c r="W127" s="135"/>
      <c r="X127" s="135"/>
      <c r="Y127" s="135"/>
      <c r="Z127" s="135"/>
      <c r="AA127" s="135"/>
    </row>
    <row r="128" customFormat="false" ht="15.75" hidden="false" customHeight="true" outlineLevel="0" collapsed="false">
      <c r="A128" s="135"/>
      <c r="B128" s="135"/>
      <c r="C128" s="135"/>
      <c r="D128" s="135"/>
      <c r="E128" s="189"/>
      <c r="F128" s="135"/>
      <c r="G128" s="256"/>
      <c r="H128" s="256"/>
      <c r="I128" s="135"/>
      <c r="J128" s="135"/>
      <c r="K128" s="135"/>
      <c r="L128" s="135"/>
      <c r="M128" s="135"/>
      <c r="N128" s="135"/>
      <c r="O128" s="135"/>
      <c r="P128" s="135"/>
      <c r="Q128" s="135"/>
      <c r="R128" s="135"/>
      <c r="S128" s="135"/>
      <c r="T128" s="135"/>
      <c r="U128" s="189"/>
      <c r="V128" s="135"/>
      <c r="W128" s="135"/>
      <c r="X128" s="135"/>
      <c r="Y128" s="135"/>
      <c r="Z128" s="135"/>
      <c r="AA128" s="135"/>
    </row>
    <row r="129" customFormat="false" ht="15.75" hidden="false" customHeight="true" outlineLevel="0" collapsed="false">
      <c r="A129" s="135"/>
      <c r="B129" s="135"/>
      <c r="C129" s="135"/>
      <c r="D129" s="135"/>
      <c r="E129" s="189"/>
      <c r="F129" s="135"/>
      <c r="G129" s="256"/>
      <c r="H129" s="256"/>
      <c r="I129" s="135"/>
      <c r="J129" s="135"/>
      <c r="K129" s="135"/>
      <c r="L129" s="135"/>
      <c r="M129" s="135"/>
      <c r="N129" s="135"/>
      <c r="O129" s="135"/>
      <c r="P129" s="135"/>
      <c r="Q129" s="135"/>
      <c r="R129" s="135"/>
      <c r="S129" s="135"/>
      <c r="T129" s="135"/>
      <c r="U129" s="189"/>
      <c r="V129" s="135"/>
      <c r="W129" s="135"/>
      <c r="X129" s="135"/>
      <c r="Y129" s="135"/>
      <c r="Z129" s="135"/>
      <c r="AA129" s="135"/>
    </row>
    <row r="130" customFormat="false" ht="15.75" hidden="false" customHeight="true" outlineLevel="0" collapsed="false">
      <c r="A130" s="135"/>
      <c r="B130" s="135"/>
      <c r="C130" s="135"/>
      <c r="D130" s="135"/>
      <c r="E130" s="189"/>
      <c r="F130" s="135"/>
      <c r="G130" s="256"/>
      <c r="H130" s="256"/>
      <c r="I130" s="135"/>
      <c r="J130" s="135"/>
      <c r="K130" s="135"/>
      <c r="L130" s="135"/>
      <c r="M130" s="135"/>
      <c r="N130" s="135"/>
      <c r="O130" s="135"/>
      <c r="P130" s="135"/>
      <c r="Q130" s="135"/>
      <c r="R130" s="135"/>
      <c r="S130" s="135"/>
      <c r="T130" s="135"/>
      <c r="U130" s="189"/>
      <c r="V130" s="135"/>
      <c r="W130" s="135"/>
      <c r="X130" s="135"/>
      <c r="Y130" s="135"/>
      <c r="Z130" s="135"/>
      <c r="AA130" s="135"/>
    </row>
    <row r="131" customFormat="false" ht="15.75" hidden="false" customHeight="true" outlineLevel="0" collapsed="false">
      <c r="A131" s="135"/>
      <c r="B131" s="135"/>
      <c r="C131" s="135"/>
      <c r="D131" s="135"/>
      <c r="E131" s="189"/>
      <c r="F131" s="135"/>
      <c r="G131" s="256"/>
      <c r="H131" s="256"/>
      <c r="I131" s="135"/>
      <c r="J131" s="135"/>
      <c r="K131" s="135"/>
      <c r="L131" s="135"/>
      <c r="M131" s="135"/>
      <c r="N131" s="135"/>
      <c r="O131" s="135"/>
      <c r="P131" s="135"/>
      <c r="Q131" s="135"/>
      <c r="R131" s="135"/>
      <c r="S131" s="135"/>
      <c r="T131" s="135"/>
      <c r="U131" s="189"/>
      <c r="V131" s="135"/>
      <c r="W131" s="135"/>
      <c r="X131" s="135"/>
      <c r="Y131" s="135"/>
      <c r="Z131" s="135"/>
      <c r="AA131" s="135"/>
    </row>
    <row r="132" customFormat="false" ht="15.75" hidden="false" customHeight="true" outlineLevel="0" collapsed="false">
      <c r="A132" s="135"/>
      <c r="B132" s="135"/>
      <c r="C132" s="135"/>
      <c r="D132" s="135"/>
      <c r="E132" s="189"/>
      <c r="F132" s="135"/>
      <c r="G132" s="256"/>
      <c r="H132" s="256"/>
      <c r="I132" s="135"/>
      <c r="J132" s="135"/>
      <c r="K132" s="135"/>
      <c r="L132" s="135"/>
      <c r="M132" s="135"/>
      <c r="N132" s="135"/>
      <c r="O132" s="135"/>
      <c r="P132" s="135"/>
      <c r="Q132" s="135"/>
      <c r="R132" s="135"/>
      <c r="S132" s="135"/>
      <c r="T132" s="135"/>
      <c r="U132" s="189"/>
      <c r="V132" s="135"/>
      <c r="W132" s="135"/>
      <c r="X132" s="135"/>
      <c r="Y132" s="135"/>
      <c r="Z132" s="135"/>
      <c r="AA132" s="135"/>
    </row>
    <row r="133" customFormat="false" ht="15.75" hidden="false" customHeight="true" outlineLevel="0" collapsed="false">
      <c r="A133" s="135"/>
      <c r="B133" s="135"/>
      <c r="C133" s="135"/>
      <c r="D133" s="135"/>
      <c r="E133" s="189"/>
      <c r="F133" s="135"/>
      <c r="G133" s="256"/>
      <c r="H133" s="256"/>
      <c r="I133" s="135"/>
      <c r="J133" s="135"/>
      <c r="K133" s="135"/>
      <c r="L133" s="135"/>
      <c r="M133" s="135"/>
      <c r="N133" s="135"/>
      <c r="O133" s="135"/>
      <c r="P133" s="135"/>
      <c r="Q133" s="135"/>
      <c r="R133" s="135"/>
      <c r="S133" s="135"/>
      <c r="T133" s="135"/>
      <c r="U133" s="189"/>
      <c r="V133" s="135"/>
      <c r="W133" s="135"/>
      <c r="X133" s="135"/>
      <c r="Y133" s="135"/>
      <c r="Z133" s="135"/>
      <c r="AA133" s="135"/>
    </row>
    <row r="134" customFormat="false" ht="15.75" hidden="false" customHeight="true" outlineLevel="0" collapsed="false">
      <c r="A134" s="135"/>
      <c r="B134" s="135"/>
      <c r="C134" s="135"/>
      <c r="D134" s="135"/>
      <c r="E134" s="189"/>
      <c r="F134" s="135"/>
      <c r="G134" s="256"/>
      <c r="H134" s="256"/>
      <c r="I134" s="135"/>
      <c r="J134" s="135"/>
      <c r="K134" s="135"/>
      <c r="L134" s="135"/>
      <c r="M134" s="135"/>
      <c r="N134" s="135"/>
      <c r="O134" s="135"/>
      <c r="P134" s="135"/>
      <c r="Q134" s="135"/>
      <c r="R134" s="135"/>
      <c r="S134" s="135"/>
      <c r="T134" s="135"/>
      <c r="U134" s="189"/>
      <c r="V134" s="135"/>
      <c r="W134" s="135"/>
      <c r="X134" s="135"/>
      <c r="Y134" s="135"/>
      <c r="Z134" s="135"/>
      <c r="AA134" s="135"/>
    </row>
    <row r="135" customFormat="false" ht="15.75" hidden="false" customHeight="true" outlineLevel="0" collapsed="false">
      <c r="A135" s="135"/>
      <c r="B135" s="135"/>
      <c r="C135" s="135"/>
      <c r="D135" s="135"/>
      <c r="E135" s="189"/>
      <c r="F135" s="135"/>
      <c r="G135" s="256"/>
      <c r="H135" s="256"/>
      <c r="I135" s="135"/>
      <c r="J135" s="135"/>
      <c r="K135" s="135"/>
      <c r="L135" s="135"/>
      <c r="M135" s="135"/>
      <c r="N135" s="135"/>
      <c r="O135" s="135"/>
      <c r="P135" s="135"/>
      <c r="Q135" s="135"/>
      <c r="R135" s="135"/>
      <c r="S135" s="135"/>
      <c r="T135" s="135"/>
      <c r="U135" s="189"/>
      <c r="V135" s="135"/>
      <c r="W135" s="135"/>
      <c r="X135" s="135"/>
      <c r="Y135" s="135"/>
      <c r="Z135" s="135"/>
      <c r="AA135" s="135"/>
    </row>
    <row r="136" customFormat="false" ht="15.75" hidden="false" customHeight="true" outlineLevel="0" collapsed="false">
      <c r="A136" s="135"/>
      <c r="B136" s="135"/>
      <c r="C136" s="135"/>
      <c r="D136" s="135"/>
      <c r="E136" s="189"/>
      <c r="F136" s="135"/>
      <c r="G136" s="256"/>
      <c r="H136" s="256"/>
      <c r="I136" s="135"/>
      <c r="J136" s="135"/>
      <c r="K136" s="135"/>
      <c r="L136" s="135"/>
      <c r="M136" s="135"/>
      <c r="N136" s="135"/>
      <c r="O136" s="135"/>
      <c r="P136" s="135"/>
      <c r="Q136" s="135"/>
      <c r="R136" s="135"/>
      <c r="S136" s="135"/>
      <c r="T136" s="135"/>
      <c r="U136" s="189"/>
      <c r="V136" s="135"/>
      <c r="W136" s="135"/>
      <c r="X136" s="135"/>
      <c r="Y136" s="135"/>
      <c r="Z136" s="135"/>
      <c r="AA136" s="135"/>
    </row>
    <row r="137" customFormat="false" ht="15.75" hidden="false" customHeight="true" outlineLevel="0" collapsed="false">
      <c r="A137" s="135"/>
      <c r="B137" s="135"/>
      <c r="C137" s="135"/>
      <c r="D137" s="135"/>
      <c r="E137" s="189"/>
      <c r="F137" s="135"/>
      <c r="G137" s="256"/>
      <c r="H137" s="256"/>
      <c r="I137" s="135"/>
      <c r="J137" s="135"/>
      <c r="K137" s="135"/>
      <c r="L137" s="135"/>
      <c r="M137" s="135"/>
      <c r="N137" s="135"/>
      <c r="O137" s="135"/>
      <c r="P137" s="135"/>
      <c r="Q137" s="135"/>
      <c r="R137" s="135"/>
      <c r="S137" s="135"/>
      <c r="T137" s="135"/>
      <c r="U137" s="189"/>
      <c r="V137" s="135"/>
      <c r="W137" s="135"/>
      <c r="X137" s="135"/>
      <c r="Y137" s="135"/>
      <c r="Z137" s="135"/>
      <c r="AA137" s="135"/>
    </row>
    <row r="138" customFormat="false" ht="15.75" hidden="false" customHeight="true" outlineLevel="0" collapsed="false">
      <c r="A138" s="135"/>
      <c r="B138" s="135"/>
      <c r="C138" s="135"/>
      <c r="D138" s="135"/>
      <c r="E138" s="189"/>
      <c r="F138" s="135"/>
      <c r="G138" s="256"/>
      <c r="H138" s="256"/>
      <c r="I138" s="135"/>
      <c r="J138" s="135"/>
      <c r="K138" s="135"/>
      <c r="L138" s="135"/>
      <c r="M138" s="135"/>
      <c r="N138" s="135"/>
      <c r="O138" s="135"/>
      <c r="P138" s="135"/>
      <c r="Q138" s="135"/>
      <c r="R138" s="135"/>
      <c r="S138" s="135"/>
      <c r="T138" s="135"/>
      <c r="U138" s="189"/>
      <c r="V138" s="135"/>
      <c r="W138" s="135"/>
      <c r="X138" s="135"/>
      <c r="Y138" s="135"/>
      <c r="Z138" s="135"/>
      <c r="AA138" s="135"/>
    </row>
    <row r="139" customFormat="false" ht="15.75" hidden="false" customHeight="true" outlineLevel="0" collapsed="false">
      <c r="A139" s="135"/>
      <c r="B139" s="135"/>
      <c r="C139" s="135"/>
      <c r="D139" s="135"/>
      <c r="E139" s="189"/>
      <c r="F139" s="135"/>
      <c r="G139" s="256"/>
      <c r="H139" s="256"/>
      <c r="I139" s="135"/>
      <c r="J139" s="135"/>
      <c r="K139" s="135"/>
      <c r="L139" s="135"/>
      <c r="M139" s="135"/>
      <c r="N139" s="135"/>
      <c r="O139" s="135"/>
      <c r="P139" s="135"/>
      <c r="Q139" s="135"/>
      <c r="R139" s="135"/>
      <c r="S139" s="135"/>
      <c r="T139" s="135"/>
      <c r="U139" s="189"/>
      <c r="V139" s="135"/>
      <c r="W139" s="135"/>
      <c r="X139" s="135"/>
      <c r="Y139" s="135"/>
      <c r="Z139" s="135"/>
      <c r="AA139" s="135"/>
    </row>
    <row r="140" customFormat="false" ht="15.75" hidden="false" customHeight="true" outlineLevel="0" collapsed="false">
      <c r="A140" s="135"/>
      <c r="B140" s="135"/>
      <c r="C140" s="135"/>
      <c r="D140" s="135"/>
      <c r="E140" s="189"/>
      <c r="F140" s="135"/>
      <c r="G140" s="256"/>
      <c r="H140" s="256"/>
      <c r="I140" s="135"/>
      <c r="J140" s="135"/>
      <c r="K140" s="135"/>
      <c r="L140" s="135"/>
      <c r="M140" s="135"/>
      <c r="N140" s="135"/>
      <c r="O140" s="135"/>
      <c r="P140" s="135"/>
      <c r="Q140" s="135"/>
      <c r="R140" s="135"/>
      <c r="S140" s="135"/>
      <c r="T140" s="135"/>
      <c r="U140" s="189"/>
      <c r="V140" s="135"/>
      <c r="W140" s="135"/>
      <c r="X140" s="135"/>
      <c r="Y140" s="135"/>
      <c r="Z140" s="135"/>
      <c r="AA140" s="135"/>
    </row>
    <row r="141" customFormat="false" ht="15.75" hidden="false" customHeight="true" outlineLevel="0" collapsed="false">
      <c r="A141" s="135"/>
      <c r="B141" s="135"/>
      <c r="C141" s="135"/>
      <c r="D141" s="135"/>
      <c r="E141" s="189"/>
      <c r="F141" s="135"/>
      <c r="G141" s="256"/>
      <c r="H141" s="256"/>
      <c r="I141" s="135"/>
      <c r="J141" s="135"/>
      <c r="K141" s="135"/>
      <c r="L141" s="135"/>
      <c r="M141" s="135"/>
      <c r="N141" s="135"/>
      <c r="O141" s="135"/>
      <c r="P141" s="135"/>
      <c r="Q141" s="135"/>
      <c r="R141" s="135"/>
      <c r="S141" s="135"/>
      <c r="T141" s="135"/>
      <c r="U141" s="189"/>
      <c r="V141" s="135"/>
      <c r="W141" s="135"/>
      <c r="X141" s="135"/>
      <c r="Y141" s="135"/>
      <c r="Z141" s="135"/>
      <c r="AA141" s="135"/>
    </row>
    <row r="142" customFormat="false" ht="15.75" hidden="false" customHeight="true" outlineLevel="0" collapsed="false">
      <c r="A142" s="135"/>
      <c r="B142" s="135"/>
      <c r="C142" s="135"/>
      <c r="D142" s="135"/>
      <c r="E142" s="189"/>
      <c r="F142" s="135"/>
      <c r="G142" s="256"/>
      <c r="H142" s="256"/>
      <c r="I142" s="135"/>
      <c r="J142" s="135"/>
      <c r="K142" s="135"/>
      <c r="L142" s="135"/>
      <c r="M142" s="135"/>
      <c r="N142" s="135"/>
      <c r="O142" s="135"/>
      <c r="P142" s="135"/>
      <c r="Q142" s="135"/>
      <c r="R142" s="135"/>
      <c r="S142" s="135"/>
      <c r="T142" s="135"/>
      <c r="U142" s="189"/>
      <c r="V142" s="135"/>
      <c r="W142" s="135"/>
      <c r="X142" s="135"/>
      <c r="Y142" s="135"/>
      <c r="Z142" s="135"/>
      <c r="AA142" s="135"/>
    </row>
    <row r="143" customFormat="false" ht="15.75" hidden="false" customHeight="true" outlineLevel="0" collapsed="false">
      <c r="A143" s="135"/>
      <c r="B143" s="135"/>
      <c r="C143" s="135"/>
      <c r="D143" s="135"/>
      <c r="E143" s="189"/>
      <c r="F143" s="135"/>
      <c r="G143" s="256"/>
      <c r="H143" s="256"/>
      <c r="I143" s="135"/>
      <c r="J143" s="135"/>
      <c r="K143" s="135"/>
      <c r="L143" s="135"/>
      <c r="M143" s="135"/>
      <c r="N143" s="135"/>
      <c r="O143" s="135"/>
      <c r="P143" s="135"/>
      <c r="Q143" s="135"/>
      <c r="R143" s="135"/>
      <c r="S143" s="135"/>
      <c r="T143" s="135"/>
      <c r="U143" s="189"/>
      <c r="V143" s="135"/>
      <c r="W143" s="135"/>
      <c r="X143" s="135"/>
      <c r="Y143" s="135"/>
      <c r="Z143" s="135"/>
      <c r="AA143" s="135"/>
    </row>
    <row r="144" customFormat="false" ht="15.75" hidden="false" customHeight="true" outlineLevel="0" collapsed="false">
      <c r="A144" s="135"/>
      <c r="B144" s="135"/>
      <c r="C144" s="135"/>
      <c r="D144" s="135"/>
      <c r="E144" s="189"/>
      <c r="F144" s="135"/>
      <c r="G144" s="256"/>
      <c r="H144" s="256"/>
      <c r="I144" s="135"/>
      <c r="J144" s="135"/>
      <c r="K144" s="135"/>
      <c r="L144" s="135"/>
      <c r="M144" s="135"/>
      <c r="N144" s="135"/>
      <c r="O144" s="135"/>
      <c r="P144" s="135"/>
      <c r="Q144" s="135"/>
      <c r="R144" s="135"/>
      <c r="S144" s="135"/>
      <c r="T144" s="135"/>
      <c r="U144" s="189"/>
      <c r="V144" s="135"/>
      <c r="W144" s="135"/>
      <c r="X144" s="135"/>
      <c r="Y144" s="135"/>
      <c r="Z144" s="135"/>
      <c r="AA144" s="135"/>
    </row>
    <row r="145" customFormat="false" ht="15.75" hidden="false" customHeight="true" outlineLevel="0" collapsed="false">
      <c r="A145" s="135"/>
      <c r="B145" s="135"/>
      <c r="C145" s="135"/>
      <c r="D145" s="135"/>
      <c r="E145" s="189"/>
      <c r="F145" s="135"/>
      <c r="G145" s="256"/>
      <c r="H145" s="256"/>
      <c r="I145" s="135"/>
      <c r="J145" s="135"/>
      <c r="K145" s="135"/>
      <c r="L145" s="135"/>
      <c r="M145" s="135"/>
      <c r="N145" s="135"/>
      <c r="O145" s="135"/>
      <c r="P145" s="135"/>
      <c r="Q145" s="135"/>
      <c r="R145" s="135"/>
      <c r="S145" s="135"/>
      <c r="T145" s="135"/>
      <c r="U145" s="189"/>
      <c r="V145" s="135"/>
      <c r="W145" s="135"/>
      <c r="X145" s="135"/>
      <c r="Y145" s="135"/>
      <c r="Z145" s="135"/>
      <c r="AA145" s="135"/>
    </row>
    <row r="146" customFormat="false" ht="15.75" hidden="false" customHeight="true" outlineLevel="0" collapsed="false">
      <c r="A146" s="135"/>
      <c r="B146" s="135"/>
      <c r="C146" s="135"/>
      <c r="D146" s="135"/>
      <c r="E146" s="189"/>
      <c r="F146" s="135"/>
      <c r="G146" s="256"/>
      <c r="H146" s="256"/>
      <c r="I146" s="135"/>
      <c r="J146" s="135"/>
      <c r="K146" s="135"/>
      <c r="L146" s="135"/>
      <c r="M146" s="135"/>
      <c r="N146" s="135"/>
      <c r="O146" s="135"/>
      <c r="P146" s="135"/>
      <c r="Q146" s="135"/>
      <c r="R146" s="135"/>
      <c r="S146" s="135"/>
      <c r="T146" s="135"/>
      <c r="U146" s="189"/>
      <c r="V146" s="135"/>
      <c r="W146" s="135"/>
      <c r="X146" s="135"/>
      <c r="Y146" s="135"/>
      <c r="Z146" s="135"/>
      <c r="AA146" s="135"/>
    </row>
    <row r="147" customFormat="false" ht="15.75" hidden="false" customHeight="true" outlineLevel="0" collapsed="false">
      <c r="A147" s="135"/>
      <c r="B147" s="135"/>
      <c r="C147" s="135"/>
      <c r="D147" s="135"/>
      <c r="E147" s="189"/>
      <c r="F147" s="135"/>
      <c r="G147" s="256"/>
      <c r="H147" s="256"/>
      <c r="I147" s="135"/>
      <c r="J147" s="135"/>
      <c r="K147" s="135"/>
      <c r="L147" s="135"/>
      <c r="M147" s="135"/>
      <c r="N147" s="135"/>
      <c r="O147" s="135"/>
      <c r="P147" s="135"/>
      <c r="Q147" s="135"/>
      <c r="R147" s="135"/>
      <c r="S147" s="135"/>
      <c r="T147" s="135"/>
      <c r="U147" s="189"/>
      <c r="V147" s="135"/>
      <c r="W147" s="135"/>
      <c r="X147" s="135"/>
      <c r="Y147" s="135"/>
      <c r="Z147" s="135"/>
      <c r="AA147" s="135"/>
    </row>
    <row r="148" customFormat="false" ht="15.75" hidden="false" customHeight="true" outlineLevel="0" collapsed="false">
      <c r="A148" s="135"/>
      <c r="B148" s="135"/>
      <c r="C148" s="135"/>
      <c r="D148" s="135"/>
      <c r="E148" s="189"/>
      <c r="F148" s="135"/>
      <c r="G148" s="256"/>
      <c r="H148" s="256"/>
      <c r="I148" s="135"/>
      <c r="J148" s="135"/>
      <c r="K148" s="135"/>
      <c r="L148" s="135"/>
      <c r="M148" s="135"/>
      <c r="N148" s="135"/>
      <c r="O148" s="135"/>
      <c r="P148" s="135"/>
      <c r="Q148" s="135"/>
      <c r="R148" s="135"/>
      <c r="S148" s="135"/>
      <c r="T148" s="135"/>
      <c r="U148" s="189"/>
      <c r="V148" s="135"/>
      <c r="W148" s="135"/>
      <c r="X148" s="135"/>
      <c r="Y148" s="135"/>
      <c r="Z148" s="135"/>
      <c r="AA148" s="135"/>
    </row>
    <row r="149" customFormat="false" ht="15.75" hidden="false" customHeight="true" outlineLevel="0" collapsed="false">
      <c r="A149" s="135"/>
      <c r="B149" s="135"/>
      <c r="C149" s="135"/>
      <c r="D149" s="135"/>
      <c r="E149" s="189"/>
      <c r="F149" s="135"/>
      <c r="G149" s="256"/>
      <c r="H149" s="256"/>
      <c r="I149" s="135"/>
      <c r="J149" s="135"/>
      <c r="K149" s="135"/>
      <c r="L149" s="135"/>
      <c r="M149" s="135"/>
      <c r="N149" s="135"/>
      <c r="O149" s="135"/>
      <c r="P149" s="135"/>
      <c r="Q149" s="135"/>
      <c r="R149" s="135"/>
      <c r="S149" s="135"/>
      <c r="T149" s="135"/>
      <c r="U149" s="189"/>
      <c r="V149" s="135"/>
      <c r="W149" s="135"/>
      <c r="X149" s="135"/>
      <c r="Y149" s="135"/>
      <c r="Z149" s="135"/>
      <c r="AA149" s="135"/>
    </row>
    <row r="150" customFormat="false" ht="15.75" hidden="false" customHeight="true" outlineLevel="0" collapsed="false">
      <c r="A150" s="135"/>
      <c r="B150" s="135"/>
      <c r="C150" s="135"/>
      <c r="D150" s="135"/>
      <c r="E150" s="189"/>
      <c r="F150" s="135"/>
      <c r="G150" s="256"/>
      <c r="H150" s="256"/>
      <c r="I150" s="135"/>
      <c r="J150" s="135"/>
      <c r="K150" s="135"/>
      <c r="L150" s="135"/>
      <c r="M150" s="135"/>
      <c r="N150" s="135"/>
      <c r="O150" s="135"/>
      <c r="P150" s="135"/>
      <c r="Q150" s="135"/>
      <c r="R150" s="135"/>
      <c r="S150" s="135"/>
      <c r="T150" s="135"/>
      <c r="U150" s="189"/>
      <c r="V150" s="135"/>
      <c r="W150" s="135"/>
      <c r="X150" s="135"/>
      <c r="Y150" s="135"/>
      <c r="Z150" s="135"/>
      <c r="AA150" s="135"/>
    </row>
    <row r="151" customFormat="false" ht="15.75" hidden="false" customHeight="true" outlineLevel="0" collapsed="false">
      <c r="A151" s="135"/>
      <c r="B151" s="135"/>
      <c r="C151" s="135"/>
      <c r="D151" s="135"/>
      <c r="E151" s="189"/>
      <c r="F151" s="135"/>
      <c r="G151" s="256"/>
      <c r="H151" s="256"/>
      <c r="I151" s="135"/>
      <c r="J151" s="135"/>
      <c r="K151" s="135"/>
      <c r="L151" s="135"/>
      <c r="M151" s="135"/>
      <c r="N151" s="135"/>
      <c r="O151" s="135"/>
      <c r="P151" s="135"/>
      <c r="Q151" s="135"/>
      <c r="R151" s="135"/>
      <c r="S151" s="135"/>
      <c r="T151" s="135"/>
      <c r="U151" s="189"/>
      <c r="V151" s="135"/>
      <c r="W151" s="135"/>
      <c r="X151" s="135"/>
      <c r="Y151" s="135"/>
      <c r="Z151" s="135"/>
      <c r="AA151" s="135"/>
    </row>
    <row r="152" customFormat="false" ht="15.75" hidden="false" customHeight="true" outlineLevel="0" collapsed="false">
      <c r="A152" s="135"/>
      <c r="B152" s="135"/>
      <c r="C152" s="135"/>
      <c r="D152" s="135"/>
      <c r="E152" s="189"/>
      <c r="F152" s="135"/>
      <c r="G152" s="256"/>
      <c r="H152" s="256"/>
      <c r="I152" s="135"/>
      <c r="J152" s="135"/>
      <c r="K152" s="135"/>
      <c r="L152" s="135"/>
      <c r="M152" s="135"/>
      <c r="N152" s="135"/>
      <c r="O152" s="135"/>
      <c r="P152" s="135"/>
      <c r="Q152" s="135"/>
      <c r="R152" s="135"/>
      <c r="S152" s="135"/>
      <c r="T152" s="135"/>
      <c r="U152" s="189"/>
      <c r="V152" s="135"/>
      <c r="W152" s="135"/>
      <c r="X152" s="135"/>
      <c r="Y152" s="135"/>
      <c r="Z152" s="135"/>
      <c r="AA152" s="135"/>
    </row>
    <row r="153" customFormat="false" ht="15.75" hidden="false" customHeight="true" outlineLevel="0" collapsed="false">
      <c r="A153" s="135"/>
      <c r="B153" s="135"/>
      <c r="C153" s="135"/>
      <c r="D153" s="135"/>
      <c r="E153" s="189"/>
      <c r="F153" s="135"/>
      <c r="G153" s="256"/>
      <c r="H153" s="256"/>
      <c r="I153" s="135"/>
      <c r="J153" s="135"/>
      <c r="K153" s="135"/>
      <c r="L153" s="135"/>
      <c r="M153" s="135"/>
      <c r="N153" s="135"/>
      <c r="O153" s="135"/>
      <c r="P153" s="135"/>
      <c r="Q153" s="135"/>
      <c r="R153" s="135"/>
      <c r="S153" s="135"/>
      <c r="T153" s="135"/>
      <c r="U153" s="189"/>
      <c r="V153" s="135"/>
      <c r="W153" s="135"/>
      <c r="X153" s="135"/>
      <c r="Y153" s="135"/>
      <c r="Z153" s="135"/>
      <c r="AA153" s="135"/>
    </row>
    <row r="154" customFormat="false" ht="15.75" hidden="false" customHeight="true" outlineLevel="0" collapsed="false">
      <c r="A154" s="135"/>
      <c r="B154" s="135"/>
      <c r="C154" s="135"/>
      <c r="D154" s="135"/>
      <c r="E154" s="189"/>
      <c r="F154" s="135"/>
      <c r="G154" s="256"/>
      <c r="H154" s="256"/>
      <c r="I154" s="135"/>
      <c r="J154" s="135"/>
      <c r="K154" s="135"/>
      <c r="L154" s="135"/>
      <c r="M154" s="135"/>
      <c r="N154" s="135"/>
      <c r="O154" s="135"/>
      <c r="P154" s="135"/>
      <c r="Q154" s="135"/>
      <c r="R154" s="135"/>
      <c r="S154" s="135"/>
      <c r="T154" s="135"/>
      <c r="U154" s="189"/>
      <c r="V154" s="135"/>
      <c r="W154" s="135"/>
      <c r="X154" s="135"/>
      <c r="Y154" s="135"/>
      <c r="Z154" s="135"/>
      <c r="AA154" s="135"/>
    </row>
    <row r="155" customFormat="false" ht="15.75" hidden="false" customHeight="true" outlineLevel="0" collapsed="false">
      <c r="A155" s="135"/>
      <c r="B155" s="135"/>
      <c r="C155" s="135"/>
      <c r="D155" s="135"/>
      <c r="E155" s="189"/>
      <c r="F155" s="135"/>
      <c r="G155" s="256"/>
      <c r="H155" s="256"/>
      <c r="I155" s="135"/>
      <c r="J155" s="135"/>
      <c r="K155" s="135"/>
      <c r="L155" s="135"/>
      <c r="M155" s="135"/>
      <c r="N155" s="135"/>
      <c r="O155" s="135"/>
      <c r="P155" s="135"/>
      <c r="Q155" s="135"/>
      <c r="R155" s="135"/>
      <c r="S155" s="135"/>
      <c r="T155" s="135"/>
      <c r="U155" s="189"/>
      <c r="V155" s="135"/>
      <c r="W155" s="135"/>
      <c r="X155" s="135"/>
      <c r="Y155" s="135"/>
      <c r="Z155" s="135"/>
      <c r="AA155" s="135"/>
    </row>
    <row r="156" customFormat="false" ht="15.75" hidden="false" customHeight="true" outlineLevel="0" collapsed="false">
      <c r="A156" s="135"/>
      <c r="B156" s="135"/>
      <c r="C156" s="135"/>
      <c r="D156" s="135"/>
      <c r="E156" s="189"/>
      <c r="F156" s="135"/>
      <c r="G156" s="256"/>
      <c r="H156" s="256"/>
      <c r="I156" s="135"/>
      <c r="J156" s="135"/>
      <c r="K156" s="135"/>
      <c r="L156" s="135"/>
      <c r="M156" s="135"/>
      <c r="N156" s="135"/>
      <c r="O156" s="135"/>
      <c r="P156" s="135"/>
      <c r="Q156" s="135"/>
      <c r="R156" s="135"/>
      <c r="S156" s="135"/>
      <c r="T156" s="135"/>
      <c r="U156" s="189"/>
      <c r="V156" s="135"/>
      <c r="W156" s="135"/>
      <c r="X156" s="135"/>
      <c r="Y156" s="135"/>
      <c r="Z156" s="135"/>
      <c r="AA156" s="135"/>
    </row>
    <row r="157" customFormat="false" ht="15.75" hidden="false" customHeight="true" outlineLevel="0" collapsed="false">
      <c r="A157" s="135"/>
      <c r="B157" s="135"/>
      <c r="C157" s="135"/>
      <c r="D157" s="135"/>
      <c r="E157" s="189"/>
      <c r="F157" s="135"/>
      <c r="G157" s="256"/>
      <c r="H157" s="256"/>
      <c r="I157" s="135"/>
      <c r="J157" s="135"/>
      <c r="K157" s="135"/>
      <c r="L157" s="135"/>
      <c r="M157" s="135"/>
      <c r="N157" s="135"/>
      <c r="O157" s="135"/>
      <c r="P157" s="135"/>
      <c r="Q157" s="135"/>
      <c r="R157" s="135"/>
      <c r="S157" s="135"/>
      <c r="T157" s="135"/>
      <c r="U157" s="189"/>
      <c r="V157" s="135"/>
      <c r="W157" s="135"/>
      <c r="X157" s="135"/>
      <c r="Y157" s="135"/>
      <c r="Z157" s="135"/>
      <c r="AA157" s="135"/>
    </row>
    <row r="158" customFormat="false" ht="15.75" hidden="false" customHeight="true" outlineLevel="0" collapsed="false">
      <c r="A158" s="135"/>
      <c r="B158" s="135"/>
      <c r="C158" s="135"/>
      <c r="D158" s="135"/>
      <c r="E158" s="189"/>
      <c r="F158" s="135"/>
      <c r="G158" s="256"/>
      <c r="H158" s="256"/>
      <c r="I158" s="135"/>
      <c r="J158" s="135"/>
      <c r="K158" s="135"/>
      <c r="L158" s="135"/>
      <c r="M158" s="135"/>
      <c r="N158" s="135"/>
      <c r="O158" s="135"/>
      <c r="P158" s="135"/>
      <c r="Q158" s="135"/>
      <c r="R158" s="135"/>
      <c r="S158" s="135"/>
      <c r="T158" s="135"/>
      <c r="U158" s="189"/>
      <c r="V158" s="135"/>
      <c r="W158" s="135"/>
      <c r="X158" s="135"/>
      <c r="Y158" s="135"/>
      <c r="Z158" s="135"/>
      <c r="AA158" s="135"/>
    </row>
    <row r="159" customFormat="false" ht="15.75" hidden="false" customHeight="true" outlineLevel="0" collapsed="false">
      <c r="A159" s="135"/>
      <c r="B159" s="135"/>
      <c r="C159" s="135"/>
      <c r="D159" s="135"/>
      <c r="E159" s="189"/>
      <c r="F159" s="135"/>
      <c r="G159" s="256"/>
      <c r="H159" s="256"/>
      <c r="I159" s="135"/>
      <c r="J159" s="135"/>
      <c r="K159" s="135"/>
      <c r="L159" s="135"/>
      <c r="M159" s="135"/>
      <c r="N159" s="135"/>
      <c r="O159" s="135"/>
      <c r="P159" s="135"/>
      <c r="Q159" s="135"/>
      <c r="R159" s="135"/>
      <c r="S159" s="135"/>
      <c r="T159" s="135"/>
      <c r="U159" s="189"/>
      <c r="V159" s="135"/>
      <c r="W159" s="135"/>
      <c r="X159" s="135"/>
      <c r="Y159" s="135"/>
      <c r="Z159" s="135"/>
      <c r="AA159" s="135"/>
    </row>
    <row r="160" customFormat="false" ht="15.75" hidden="false" customHeight="true" outlineLevel="0" collapsed="false">
      <c r="A160" s="135"/>
      <c r="B160" s="135"/>
      <c r="C160" s="135"/>
      <c r="D160" s="135"/>
      <c r="E160" s="189"/>
      <c r="F160" s="135"/>
      <c r="G160" s="256"/>
      <c r="H160" s="256"/>
      <c r="I160" s="135"/>
      <c r="J160" s="135"/>
      <c r="K160" s="135"/>
      <c r="L160" s="135"/>
      <c r="M160" s="135"/>
      <c r="N160" s="135"/>
      <c r="O160" s="135"/>
      <c r="P160" s="135"/>
      <c r="Q160" s="135"/>
      <c r="R160" s="135"/>
      <c r="S160" s="135"/>
      <c r="T160" s="135"/>
      <c r="U160" s="189"/>
      <c r="V160" s="135"/>
      <c r="W160" s="135"/>
      <c r="X160" s="135"/>
      <c r="Y160" s="135"/>
      <c r="Z160" s="135"/>
      <c r="AA160" s="135"/>
    </row>
    <row r="161" customFormat="false" ht="15.75" hidden="false" customHeight="true" outlineLevel="0" collapsed="false">
      <c r="A161" s="135"/>
      <c r="B161" s="135"/>
      <c r="C161" s="135"/>
      <c r="D161" s="135"/>
      <c r="E161" s="189"/>
      <c r="F161" s="135"/>
      <c r="G161" s="256"/>
      <c r="H161" s="256"/>
      <c r="I161" s="135"/>
      <c r="J161" s="135"/>
      <c r="K161" s="135"/>
      <c r="L161" s="135"/>
      <c r="M161" s="135"/>
      <c r="N161" s="135"/>
      <c r="O161" s="135"/>
      <c r="P161" s="135"/>
      <c r="Q161" s="135"/>
      <c r="R161" s="135"/>
      <c r="S161" s="135"/>
      <c r="T161" s="135"/>
      <c r="U161" s="189"/>
      <c r="V161" s="135"/>
      <c r="W161" s="135"/>
      <c r="X161" s="135"/>
      <c r="Y161" s="135"/>
      <c r="Z161" s="135"/>
      <c r="AA161" s="135"/>
    </row>
    <row r="162" customFormat="false" ht="15.75" hidden="false" customHeight="true" outlineLevel="0" collapsed="false">
      <c r="A162" s="135"/>
      <c r="B162" s="135"/>
      <c r="C162" s="135"/>
      <c r="D162" s="135"/>
      <c r="E162" s="189"/>
      <c r="F162" s="135"/>
      <c r="G162" s="256"/>
      <c r="H162" s="256"/>
      <c r="I162" s="135"/>
      <c r="J162" s="135"/>
      <c r="K162" s="135"/>
      <c r="L162" s="135"/>
      <c r="M162" s="135"/>
      <c r="N162" s="135"/>
      <c r="O162" s="135"/>
      <c r="P162" s="135"/>
      <c r="Q162" s="135"/>
      <c r="R162" s="135"/>
      <c r="S162" s="135"/>
      <c r="T162" s="135"/>
      <c r="U162" s="189"/>
      <c r="V162" s="135"/>
      <c r="W162" s="135"/>
      <c r="X162" s="135"/>
      <c r="Y162" s="135"/>
      <c r="Z162" s="135"/>
      <c r="AA162" s="135"/>
    </row>
    <row r="163" customFormat="false" ht="15.75" hidden="false" customHeight="true" outlineLevel="0" collapsed="false">
      <c r="A163" s="135"/>
      <c r="B163" s="135"/>
      <c r="C163" s="135"/>
      <c r="D163" s="135"/>
      <c r="E163" s="189"/>
      <c r="F163" s="135"/>
      <c r="G163" s="256"/>
      <c r="H163" s="256"/>
      <c r="I163" s="135"/>
      <c r="J163" s="135"/>
      <c r="K163" s="135"/>
      <c r="L163" s="135"/>
      <c r="M163" s="135"/>
      <c r="N163" s="135"/>
      <c r="O163" s="135"/>
      <c r="P163" s="135"/>
      <c r="Q163" s="135"/>
      <c r="R163" s="135"/>
      <c r="S163" s="135"/>
      <c r="T163" s="135"/>
      <c r="U163" s="189"/>
      <c r="V163" s="135"/>
      <c r="W163" s="135"/>
      <c r="X163" s="135"/>
      <c r="Y163" s="135"/>
      <c r="Z163" s="135"/>
      <c r="AA163" s="135"/>
    </row>
    <row r="164" customFormat="false" ht="15.75" hidden="false" customHeight="true" outlineLevel="0" collapsed="false">
      <c r="A164" s="135"/>
      <c r="B164" s="135"/>
      <c r="C164" s="135"/>
      <c r="D164" s="135"/>
      <c r="E164" s="189"/>
      <c r="F164" s="135"/>
      <c r="G164" s="256"/>
      <c r="H164" s="256"/>
      <c r="I164" s="135"/>
      <c r="J164" s="135"/>
      <c r="K164" s="135"/>
      <c r="L164" s="135"/>
      <c r="M164" s="135"/>
      <c r="N164" s="135"/>
      <c r="O164" s="135"/>
      <c r="P164" s="135"/>
      <c r="Q164" s="135"/>
      <c r="R164" s="135"/>
      <c r="S164" s="135"/>
      <c r="T164" s="135"/>
      <c r="U164" s="189"/>
      <c r="V164" s="135"/>
      <c r="W164" s="135"/>
      <c r="X164" s="135"/>
      <c r="Y164" s="135"/>
      <c r="Z164" s="135"/>
      <c r="AA164" s="135"/>
    </row>
    <row r="165" customFormat="false" ht="15.75" hidden="false" customHeight="true" outlineLevel="0" collapsed="false">
      <c r="A165" s="135"/>
      <c r="B165" s="135"/>
      <c r="C165" s="135"/>
      <c r="D165" s="135"/>
      <c r="E165" s="189"/>
      <c r="F165" s="135"/>
      <c r="G165" s="256"/>
      <c r="H165" s="256"/>
      <c r="I165" s="135"/>
      <c r="J165" s="135"/>
      <c r="K165" s="135"/>
      <c r="L165" s="135"/>
      <c r="M165" s="135"/>
      <c r="N165" s="135"/>
      <c r="O165" s="135"/>
      <c r="P165" s="135"/>
      <c r="Q165" s="135"/>
      <c r="R165" s="135"/>
      <c r="S165" s="135"/>
      <c r="T165" s="135"/>
      <c r="U165" s="189"/>
      <c r="V165" s="135"/>
      <c r="W165" s="135"/>
      <c r="X165" s="135"/>
      <c r="Y165" s="135"/>
      <c r="Z165" s="135"/>
      <c r="AA165" s="135"/>
    </row>
    <row r="166" customFormat="false" ht="15.75" hidden="false" customHeight="true" outlineLevel="0" collapsed="false">
      <c r="A166" s="135"/>
      <c r="B166" s="135"/>
      <c r="C166" s="135"/>
      <c r="D166" s="135"/>
      <c r="E166" s="189"/>
      <c r="F166" s="135"/>
      <c r="G166" s="256"/>
      <c r="H166" s="256"/>
      <c r="I166" s="135"/>
      <c r="J166" s="135"/>
      <c r="K166" s="135"/>
      <c r="L166" s="135"/>
      <c r="M166" s="135"/>
      <c r="N166" s="135"/>
      <c r="O166" s="135"/>
      <c r="P166" s="135"/>
      <c r="Q166" s="135"/>
      <c r="R166" s="135"/>
      <c r="S166" s="135"/>
      <c r="T166" s="135"/>
      <c r="U166" s="189"/>
      <c r="V166" s="135"/>
      <c r="W166" s="135"/>
      <c r="X166" s="135"/>
      <c r="Y166" s="135"/>
      <c r="Z166" s="135"/>
      <c r="AA166" s="135"/>
    </row>
    <row r="167" customFormat="false" ht="15.75" hidden="false" customHeight="true" outlineLevel="0" collapsed="false">
      <c r="A167" s="135"/>
      <c r="B167" s="135"/>
      <c r="C167" s="135"/>
      <c r="D167" s="135"/>
      <c r="E167" s="189"/>
      <c r="F167" s="135"/>
      <c r="G167" s="256"/>
      <c r="H167" s="256"/>
      <c r="I167" s="135"/>
      <c r="J167" s="135"/>
      <c r="K167" s="135"/>
      <c r="L167" s="135"/>
      <c r="M167" s="135"/>
      <c r="N167" s="135"/>
      <c r="O167" s="135"/>
      <c r="P167" s="135"/>
      <c r="Q167" s="135"/>
      <c r="R167" s="135"/>
      <c r="S167" s="135"/>
      <c r="T167" s="135"/>
      <c r="U167" s="189"/>
      <c r="V167" s="135"/>
      <c r="W167" s="135"/>
      <c r="X167" s="135"/>
      <c r="Y167" s="135"/>
      <c r="Z167" s="135"/>
      <c r="AA167" s="135"/>
    </row>
    <row r="168" customFormat="false" ht="15.75" hidden="false" customHeight="true" outlineLevel="0" collapsed="false">
      <c r="A168" s="135"/>
      <c r="B168" s="135"/>
      <c r="C168" s="135"/>
      <c r="D168" s="135"/>
      <c r="E168" s="189"/>
      <c r="F168" s="135"/>
      <c r="G168" s="256"/>
      <c r="H168" s="256"/>
      <c r="I168" s="135"/>
      <c r="J168" s="135"/>
      <c r="K168" s="135"/>
      <c r="L168" s="135"/>
      <c r="M168" s="135"/>
      <c r="N168" s="135"/>
      <c r="O168" s="135"/>
      <c r="P168" s="135"/>
      <c r="Q168" s="135"/>
      <c r="R168" s="135"/>
      <c r="S168" s="135"/>
      <c r="T168" s="135"/>
      <c r="U168" s="189"/>
      <c r="V168" s="135"/>
      <c r="W168" s="135"/>
      <c r="X168" s="135"/>
      <c r="Y168" s="135"/>
      <c r="Z168" s="135"/>
      <c r="AA168" s="135"/>
    </row>
    <row r="169" customFormat="false" ht="15.75" hidden="false" customHeight="true" outlineLevel="0" collapsed="false">
      <c r="A169" s="135"/>
      <c r="B169" s="135"/>
      <c r="C169" s="135"/>
      <c r="D169" s="135"/>
      <c r="E169" s="189"/>
      <c r="F169" s="135"/>
      <c r="G169" s="256"/>
      <c r="H169" s="256"/>
      <c r="I169" s="135"/>
      <c r="J169" s="135"/>
      <c r="K169" s="135"/>
      <c r="L169" s="135"/>
      <c r="M169" s="135"/>
      <c r="N169" s="135"/>
      <c r="O169" s="135"/>
      <c r="P169" s="135"/>
      <c r="Q169" s="135"/>
      <c r="R169" s="135"/>
      <c r="S169" s="135"/>
      <c r="T169" s="135"/>
      <c r="U169" s="189"/>
      <c r="V169" s="135"/>
      <c r="W169" s="135"/>
      <c r="X169" s="135"/>
      <c r="Y169" s="135"/>
      <c r="Z169" s="135"/>
      <c r="AA169" s="135"/>
    </row>
    <row r="170" customFormat="false" ht="15.75" hidden="false" customHeight="true" outlineLevel="0" collapsed="false">
      <c r="A170" s="135"/>
      <c r="B170" s="135"/>
      <c r="C170" s="135"/>
      <c r="D170" s="135"/>
      <c r="E170" s="189"/>
      <c r="F170" s="135"/>
      <c r="G170" s="256"/>
      <c r="H170" s="256"/>
      <c r="I170" s="135"/>
      <c r="J170" s="135"/>
      <c r="K170" s="135"/>
      <c r="L170" s="135"/>
      <c r="M170" s="135"/>
      <c r="N170" s="135"/>
      <c r="O170" s="135"/>
      <c r="P170" s="135"/>
      <c r="Q170" s="135"/>
      <c r="R170" s="135"/>
      <c r="S170" s="135"/>
      <c r="T170" s="135"/>
      <c r="U170" s="189"/>
      <c r="V170" s="135"/>
      <c r="W170" s="135"/>
      <c r="X170" s="135"/>
      <c r="Y170" s="135"/>
      <c r="Z170" s="135"/>
      <c r="AA170" s="135"/>
    </row>
    <row r="171" customFormat="false" ht="15.75" hidden="false" customHeight="true" outlineLevel="0" collapsed="false">
      <c r="A171" s="135"/>
      <c r="B171" s="135"/>
      <c r="C171" s="135"/>
      <c r="D171" s="135"/>
      <c r="E171" s="189"/>
      <c r="F171" s="135"/>
      <c r="G171" s="256"/>
      <c r="H171" s="256"/>
      <c r="I171" s="135"/>
      <c r="J171" s="135"/>
      <c r="K171" s="135"/>
      <c r="L171" s="135"/>
      <c r="M171" s="135"/>
      <c r="N171" s="135"/>
      <c r="O171" s="135"/>
      <c r="P171" s="135"/>
      <c r="Q171" s="135"/>
      <c r="R171" s="135"/>
      <c r="S171" s="135"/>
      <c r="T171" s="135"/>
      <c r="U171" s="189"/>
      <c r="V171" s="135"/>
      <c r="W171" s="135"/>
      <c r="X171" s="135"/>
      <c r="Y171" s="135"/>
      <c r="Z171" s="135"/>
      <c r="AA171" s="135"/>
    </row>
    <row r="172" customFormat="false" ht="15.75" hidden="false" customHeight="true" outlineLevel="0" collapsed="false">
      <c r="A172" s="135"/>
      <c r="B172" s="135"/>
      <c r="C172" s="135"/>
      <c r="D172" s="135"/>
      <c r="E172" s="189"/>
      <c r="F172" s="135"/>
      <c r="G172" s="256"/>
      <c r="H172" s="256"/>
      <c r="I172" s="135"/>
      <c r="J172" s="135"/>
      <c r="K172" s="135"/>
      <c r="L172" s="135"/>
      <c r="M172" s="135"/>
      <c r="N172" s="135"/>
      <c r="O172" s="135"/>
      <c r="P172" s="135"/>
      <c r="Q172" s="135"/>
      <c r="R172" s="135"/>
      <c r="S172" s="135"/>
      <c r="T172" s="135"/>
      <c r="U172" s="189"/>
      <c r="V172" s="135"/>
      <c r="W172" s="135"/>
      <c r="X172" s="135"/>
      <c r="Y172" s="135"/>
      <c r="Z172" s="135"/>
      <c r="AA172" s="135"/>
    </row>
    <row r="173" customFormat="false" ht="15.75" hidden="false" customHeight="true" outlineLevel="0" collapsed="false">
      <c r="A173" s="135"/>
      <c r="B173" s="135"/>
      <c r="C173" s="135"/>
      <c r="D173" s="135"/>
      <c r="E173" s="189"/>
      <c r="F173" s="135"/>
      <c r="G173" s="256"/>
      <c r="H173" s="256"/>
      <c r="I173" s="135"/>
      <c r="J173" s="135"/>
      <c r="K173" s="135"/>
      <c r="L173" s="135"/>
      <c r="M173" s="135"/>
      <c r="N173" s="135"/>
      <c r="O173" s="135"/>
      <c r="P173" s="135"/>
      <c r="Q173" s="135"/>
      <c r="R173" s="135"/>
      <c r="S173" s="135"/>
      <c r="T173" s="135"/>
      <c r="U173" s="189"/>
      <c r="V173" s="135"/>
      <c r="W173" s="135"/>
      <c r="X173" s="135"/>
      <c r="Y173" s="135"/>
      <c r="Z173" s="135"/>
      <c r="AA173" s="135"/>
    </row>
    <row r="174" customFormat="false" ht="15.75" hidden="false" customHeight="true" outlineLevel="0" collapsed="false">
      <c r="A174" s="135"/>
      <c r="B174" s="135"/>
      <c r="C174" s="135"/>
      <c r="D174" s="135"/>
      <c r="E174" s="189"/>
      <c r="F174" s="135"/>
      <c r="G174" s="256"/>
      <c r="H174" s="256"/>
      <c r="I174" s="135"/>
      <c r="J174" s="135"/>
      <c r="K174" s="135"/>
      <c r="L174" s="135"/>
      <c r="M174" s="135"/>
      <c r="N174" s="135"/>
      <c r="O174" s="135"/>
      <c r="P174" s="135"/>
      <c r="Q174" s="135"/>
      <c r="R174" s="135"/>
      <c r="S174" s="135"/>
      <c r="T174" s="135"/>
      <c r="U174" s="189"/>
      <c r="V174" s="135"/>
      <c r="W174" s="135"/>
      <c r="X174" s="135"/>
      <c r="Y174" s="135"/>
      <c r="Z174" s="135"/>
      <c r="AA174" s="135"/>
    </row>
    <row r="175" customFormat="false" ht="15.75" hidden="false" customHeight="true" outlineLevel="0" collapsed="false">
      <c r="A175" s="135"/>
      <c r="B175" s="135"/>
      <c r="C175" s="135"/>
      <c r="D175" s="135"/>
      <c r="E175" s="189"/>
      <c r="F175" s="135"/>
      <c r="G175" s="256"/>
      <c r="H175" s="256"/>
      <c r="I175" s="135"/>
      <c r="J175" s="135"/>
      <c r="K175" s="135"/>
      <c r="L175" s="135"/>
      <c r="M175" s="135"/>
      <c r="N175" s="135"/>
      <c r="O175" s="135"/>
      <c r="P175" s="135"/>
      <c r="Q175" s="135"/>
      <c r="R175" s="135"/>
      <c r="S175" s="135"/>
      <c r="T175" s="135"/>
      <c r="U175" s="189"/>
      <c r="V175" s="135"/>
      <c r="W175" s="135"/>
      <c r="X175" s="135"/>
      <c r="Y175" s="135"/>
      <c r="Z175" s="135"/>
      <c r="AA175" s="135"/>
    </row>
    <row r="176" customFormat="false" ht="15.75" hidden="false" customHeight="true" outlineLevel="0" collapsed="false">
      <c r="A176" s="135"/>
      <c r="B176" s="135"/>
      <c r="C176" s="135"/>
      <c r="D176" s="135"/>
      <c r="E176" s="189"/>
      <c r="F176" s="135"/>
      <c r="G176" s="256"/>
      <c r="H176" s="256"/>
      <c r="I176" s="135"/>
      <c r="J176" s="135"/>
      <c r="K176" s="135"/>
      <c r="L176" s="135"/>
      <c r="M176" s="135"/>
      <c r="N176" s="135"/>
      <c r="O176" s="135"/>
      <c r="P176" s="135"/>
      <c r="Q176" s="135"/>
      <c r="R176" s="135"/>
      <c r="S176" s="135"/>
      <c r="T176" s="135"/>
      <c r="U176" s="189"/>
      <c r="V176" s="135"/>
      <c r="W176" s="135"/>
      <c r="X176" s="135"/>
      <c r="Y176" s="135"/>
      <c r="Z176" s="135"/>
      <c r="AA176" s="135"/>
    </row>
    <row r="177" customFormat="false" ht="15.75" hidden="false" customHeight="true" outlineLevel="0" collapsed="false">
      <c r="A177" s="135"/>
      <c r="B177" s="135"/>
      <c r="C177" s="135"/>
      <c r="D177" s="135"/>
      <c r="E177" s="189"/>
      <c r="F177" s="135"/>
      <c r="G177" s="256"/>
      <c r="H177" s="256"/>
      <c r="I177" s="135"/>
      <c r="J177" s="135"/>
      <c r="K177" s="135"/>
      <c r="L177" s="135"/>
      <c r="M177" s="135"/>
      <c r="N177" s="135"/>
      <c r="O177" s="135"/>
      <c r="P177" s="135"/>
      <c r="Q177" s="135"/>
      <c r="R177" s="135"/>
      <c r="S177" s="135"/>
      <c r="T177" s="135"/>
      <c r="U177" s="189"/>
      <c r="V177" s="135"/>
      <c r="W177" s="135"/>
      <c r="X177" s="135"/>
      <c r="Y177" s="135"/>
      <c r="Z177" s="135"/>
      <c r="AA177" s="135"/>
    </row>
    <row r="178" customFormat="false" ht="15.75" hidden="false" customHeight="true" outlineLevel="0" collapsed="false">
      <c r="A178" s="135"/>
      <c r="B178" s="135"/>
      <c r="C178" s="135"/>
      <c r="D178" s="135"/>
      <c r="E178" s="189"/>
      <c r="F178" s="135"/>
      <c r="G178" s="256"/>
      <c r="H178" s="256"/>
      <c r="I178" s="135"/>
      <c r="J178" s="135"/>
      <c r="K178" s="135"/>
      <c r="L178" s="135"/>
      <c r="M178" s="135"/>
      <c r="N178" s="135"/>
      <c r="O178" s="135"/>
      <c r="P178" s="135"/>
      <c r="Q178" s="135"/>
      <c r="R178" s="135"/>
      <c r="S178" s="135"/>
      <c r="T178" s="135"/>
      <c r="U178" s="189"/>
      <c r="V178" s="135"/>
      <c r="W178" s="135"/>
      <c r="X178" s="135"/>
      <c r="Y178" s="135"/>
      <c r="Z178" s="135"/>
      <c r="AA178" s="135"/>
    </row>
    <row r="179" customFormat="false" ht="15.75" hidden="false" customHeight="true" outlineLevel="0" collapsed="false">
      <c r="A179" s="135"/>
      <c r="B179" s="135"/>
      <c r="C179" s="135"/>
      <c r="D179" s="135"/>
      <c r="E179" s="189"/>
      <c r="F179" s="135"/>
      <c r="G179" s="256"/>
      <c r="H179" s="256"/>
      <c r="I179" s="135"/>
      <c r="J179" s="135"/>
      <c r="K179" s="135"/>
      <c r="L179" s="135"/>
      <c r="M179" s="135"/>
      <c r="N179" s="135"/>
      <c r="O179" s="135"/>
      <c r="P179" s="135"/>
      <c r="Q179" s="135"/>
      <c r="R179" s="135"/>
      <c r="S179" s="135"/>
      <c r="T179" s="135"/>
      <c r="U179" s="189"/>
      <c r="V179" s="135"/>
      <c r="W179" s="135"/>
      <c r="X179" s="135"/>
      <c r="Y179" s="135"/>
      <c r="Z179" s="135"/>
      <c r="AA179" s="135"/>
    </row>
    <row r="180" customFormat="false" ht="15.75" hidden="false" customHeight="true" outlineLevel="0" collapsed="false">
      <c r="A180" s="135"/>
      <c r="B180" s="135"/>
      <c r="C180" s="135"/>
      <c r="D180" s="135"/>
      <c r="E180" s="189"/>
      <c r="F180" s="135"/>
      <c r="G180" s="256"/>
      <c r="H180" s="256"/>
      <c r="I180" s="135"/>
      <c r="J180" s="135"/>
      <c r="K180" s="135"/>
      <c r="L180" s="135"/>
      <c r="M180" s="135"/>
      <c r="N180" s="135"/>
      <c r="O180" s="135"/>
      <c r="P180" s="135"/>
      <c r="Q180" s="135"/>
      <c r="R180" s="135"/>
      <c r="S180" s="135"/>
      <c r="T180" s="135"/>
      <c r="U180" s="189"/>
      <c r="V180" s="135"/>
      <c r="W180" s="135"/>
      <c r="X180" s="135"/>
      <c r="Y180" s="135"/>
      <c r="Z180" s="135"/>
      <c r="AA180" s="135"/>
    </row>
    <row r="181" customFormat="false" ht="15.75" hidden="false" customHeight="true" outlineLevel="0" collapsed="false">
      <c r="A181" s="135"/>
      <c r="B181" s="135"/>
      <c r="C181" s="135"/>
      <c r="D181" s="135"/>
      <c r="E181" s="189"/>
      <c r="F181" s="135"/>
      <c r="G181" s="256"/>
      <c r="H181" s="256"/>
      <c r="I181" s="135"/>
      <c r="J181" s="135"/>
      <c r="K181" s="135"/>
      <c r="L181" s="135"/>
      <c r="M181" s="135"/>
      <c r="N181" s="135"/>
      <c r="O181" s="135"/>
      <c r="P181" s="135"/>
      <c r="Q181" s="135"/>
      <c r="R181" s="135"/>
      <c r="S181" s="135"/>
      <c r="T181" s="135"/>
      <c r="U181" s="189"/>
      <c r="V181" s="135"/>
      <c r="W181" s="135"/>
      <c r="X181" s="135"/>
      <c r="Y181" s="135"/>
      <c r="Z181" s="135"/>
      <c r="AA181" s="135"/>
    </row>
    <row r="182" customFormat="false" ht="15.75" hidden="false" customHeight="true" outlineLevel="0" collapsed="false">
      <c r="A182" s="135"/>
      <c r="B182" s="135"/>
      <c r="C182" s="135"/>
      <c r="D182" s="135"/>
      <c r="E182" s="189"/>
      <c r="F182" s="135"/>
      <c r="G182" s="256"/>
      <c r="H182" s="256"/>
      <c r="I182" s="135"/>
      <c r="J182" s="135"/>
      <c r="K182" s="135"/>
      <c r="L182" s="135"/>
      <c r="M182" s="135"/>
      <c r="N182" s="135"/>
      <c r="O182" s="135"/>
      <c r="P182" s="135"/>
      <c r="Q182" s="135"/>
      <c r="R182" s="135"/>
      <c r="S182" s="135"/>
      <c r="T182" s="135"/>
      <c r="U182" s="189"/>
      <c r="V182" s="135"/>
      <c r="W182" s="135"/>
      <c r="X182" s="135"/>
      <c r="Y182" s="135"/>
      <c r="Z182" s="135"/>
      <c r="AA182" s="135"/>
    </row>
    <row r="183" customFormat="false" ht="15.75" hidden="false" customHeight="true" outlineLevel="0" collapsed="false">
      <c r="A183" s="135"/>
      <c r="B183" s="135"/>
      <c r="C183" s="135"/>
      <c r="D183" s="135"/>
      <c r="E183" s="189"/>
      <c r="F183" s="135"/>
      <c r="G183" s="256"/>
      <c r="H183" s="256"/>
      <c r="I183" s="135"/>
      <c r="J183" s="135"/>
      <c r="K183" s="135"/>
      <c r="L183" s="135"/>
      <c r="M183" s="135"/>
      <c r="N183" s="135"/>
      <c r="O183" s="135"/>
      <c r="P183" s="135"/>
      <c r="Q183" s="135"/>
      <c r="R183" s="135"/>
      <c r="S183" s="135"/>
      <c r="T183" s="135"/>
      <c r="U183" s="189"/>
      <c r="V183" s="135"/>
      <c r="W183" s="135"/>
      <c r="X183" s="135"/>
      <c r="Y183" s="135"/>
      <c r="Z183" s="135"/>
      <c r="AA183" s="135"/>
    </row>
    <row r="184" customFormat="false" ht="15.75" hidden="false" customHeight="true" outlineLevel="0" collapsed="false">
      <c r="A184" s="135"/>
      <c r="B184" s="135"/>
      <c r="C184" s="135"/>
      <c r="D184" s="135"/>
      <c r="E184" s="189"/>
      <c r="F184" s="135"/>
      <c r="G184" s="256"/>
      <c r="H184" s="256"/>
      <c r="I184" s="135"/>
      <c r="J184" s="135"/>
      <c r="K184" s="135"/>
      <c r="L184" s="135"/>
      <c r="M184" s="135"/>
      <c r="N184" s="135"/>
      <c r="O184" s="135"/>
      <c r="P184" s="135"/>
      <c r="Q184" s="135"/>
      <c r="R184" s="135"/>
      <c r="S184" s="135"/>
      <c r="T184" s="135"/>
      <c r="U184" s="189"/>
      <c r="V184" s="135"/>
      <c r="W184" s="135"/>
      <c r="X184" s="135"/>
      <c r="Y184" s="135"/>
      <c r="Z184" s="135"/>
      <c r="AA184" s="135"/>
    </row>
    <row r="185" customFormat="false" ht="15.75" hidden="false" customHeight="true" outlineLevel="0" collapsed="false">
      <c r="A185" s="135"/>
      <c r="B185" s="135"/>
      <c r="C185" s="135"/>
      <c r="D185" s="135"/>
      <c r="E185" s="189"/>
      <c r="F185" s="135"/>
      <c r="G185" s="256"/>
      <c r="H185" s="256"/>
      <c r="I185" s="135"/>
      <c r="J185" s="135"/>
      <c r="K185" s="135"/>
      <c r="L185" s="135"/>
      <c r="M185" s="135"/>
      <c r="N185" s="135"/>
      <c r="O185" s="135"/>
      <c r="P185" s="135"/>
      <c r="Q185" s="135"/>
      <c r="R185" s="135"/>
      <c r="S185" s="135"/>
      <c r="T185" s="135"/>
      <c r="U185" s="189"/>
      <c r="V185" s="135"/>
      <c r="W185" s="135"/>
      <c r="X185" s="135"/>
      <c r="Y185" s="135"/>
      <c r="Z185" s="135"/>
      <c r="AA185" s="135"/>
    </row>
    <row r="186" customFormat="false" ht="15.75" hidden="false" customHeight="true" outlineLevel="0" collapsed="false">
      <c r="A186" s="135"/>
      <c r="B186" s="135"/>
      <c r="C186" s="135"/>
      <c r="D186" s="135"/>
      <c r="E186" s="189"/>
      <c r="F186" s="135"/>
      <c r="G186" s="256"/>
      <c r="H186" s="256"/>
      <c r="I186" s="135"/>
      <c r="J186" s="135"/>
      <c r="K186" s="135"/>
      <c r="L186" s="135"/>
      <c r="M186" s="135"/>
      <c r="N186" s="135"/>
      <c r="O186" s="135"/>
      <c r="P186" s="135"/>
      <c r="Q186" s="135"/>
      <c r="R186" s="135"/>
      <c r="S186" s="135"/>
      <c r="T186" s="135"/>
      <c r="U186" s="189"/>
      <c r="V186" s="135"/>
      <c r="W186" s="135"/>
      <c r="X186" s="135"/>
      <c r="Y186" s="135"/>
      <c r="Z186" s="135"/>
      <c r="AA186" s="135"/>
    </row>
    <row r="187" customFormat="false" ht="15.75" hidden="false" customHeight="true" outlineLevel="0" collapsed="false">
      <c r="A187" s="135"/>
      <c r="B187" s="135"/>
      <c r="C187" s="135"/>
      <c r="D187" s="135"/>
      <c r="E187" s="189"/>
      <c r="F187" s="135"/>
      <c r="G187" s="256"/>
      <c r="H187" s="256"/>
      <c r="I187" s="135"/>
      <c r="J187" s="135"/>
      <c r="K187" s="135"/>
      <c r="L187" s="135"/>
      <c r="M187" s="135"/>
      <c r="N187" s="135"/>
      <c r="O187" s="135"/>
      <c r="P187" s="135"/>
      <c r="Q187" s="135"/>
      <c r="R187" s="135"/>
      <c r="S187" s="135"/>
      <c r="T187" s="135"/>
      <c r="U187" s="189"/>
      <c r="V187" s="135"/>
      <c r="W187" s="135"/>
      <c r="X187" s="135"/>
      <c r="Y187" s="135"/>
      <c r="Z187" s="135"/>
      <c r="AA187" s="135"/>
    </row>
    <row r="188" customFormat="false" ht="15.75" hidden="false" customHeight="true" outlineLevel="0" collapsed="false">
      <c r="A188" s="135"/>
      <c r="B188" s="135"/>
      <c r="C188" s="135"/>
      <c r="D188" s="135"/>
      <c r="E188" s="189"/>
      <c r="F188" s="135"/>
      <c r="G188" s="256"/>
      <c r="H188" s="256"/>
      <c r="I188" s="135"/>
      <c r="J188" s="135"/>
      <c r="K188" s="135"/>
      <c r="L188" s="135"/>
      <c r="M188" s="135"/>
      <c r="N188" s="135"/>
      <c r="O188" s="135"/>
      <c r="P188" s="135"/>
      <c r="Q188" s="135"/>
      <c r="R188" s="135"/>
      <c r="S188" s="135"/>
      <c r="T188" s="135"/>
      <c r="U188" s="189"/>
      <c r="V188" s="135"/>
      <c r="W188" s="135"/>
      <c r="X188" s="135"/>
      <c r="Y188" s="135"/>
      <c r="Z188" s="135"/>
      <c r="AA188" s="135"/>
    </row>
    <row r="189" customFormat="false" ht="15.75" hidden="false" customHeight="true" outlineLevel="0" collapsed="false">
      <c r="A189" s="135"/>
      <c r="B189" s="135"/>
      <c r="C189" s="135"/>
      <c r="D189" s="135"/>
      <c r="E189" s="189"/>
      <c r="F189" s="135"/>
      <c r="G189" s="256"/>
      <c r="H189" s="256"/>
      <c r="I189" s="135"/>
      <c r="J189" s="135"/>
      <c r="K189" s="135"/>
      <c r="L189" s="135"/>
      <c r="M189" s="135"/>
      <c r="N189" s="135"/>
      <c r="O189" s="135"/>
      <c r="P189" s="135"/>
      <c r="Q189" s="135"/>
      <c r="R189" s="135"/>
      <c r="S189" s="135"/>
      <c r="T189" s="135"/>
      <c r="U189" s="189"/>
      <c r="V189" s="135"/>
      <c r="W189" s="135"/>
      <c r="X189" s="135"/>
      <c r="Y189" s="135"/>
      <c r="Z189" s="135"/>
      <c r="AA189" s="135"/>
    </row>
    <row r="190" customFormat="false" ht="15.75" hidden="false" customHeight="true" outlineLevel="0" collapsed="false">
      <c r="A190" s="135"/>
      <c r="B190" s="135"/>
      <c r="C190" s="135"/>
      <c r="D190" s="135"/>
      <c r="E190" s="189"/>
      <c r="F190" s="135"/>
      <c r="G190" s="256"/>
      <c r="H190" s="256"/>
      <c r="I190" s="135"/>
      <c r="J190" s="135"/>
      <c r="K190" s="135"/>
      <c r="L190" s="135"/>
      <c r="M190" s="135"/>
      <c r="N190" s="135"/>
      <c r="O190" s="135"/>
      <c r="P190" s="135"/>
      <c r="Q190" s="135"/>
      <c r="R190" s="135"/>
      <c r="S190" s="135"/>
      <c r="T190" s="135"/>
      <c r="U190" s="189"/>
      <c r="V190" s="135"/>
      <c r="W190" s="135"/>
      <c r="X190" s="135"/>
      <c r="Y190" s="135"/>
      <c r="Z190" s="135"/>
      <c r="AA190" s="135"/>
    </row>
    <row r="191" customFormat="false" ht="15.75" hidden="false" customHeight="true" outlineLevel="0" collapsed="false">
      <c r="A191" s="135"/>
      <c r="B191" s="135"/>
      <c r="C191" s="135"/>
      <c r="D191" s="135"/>
      <c r="E191" s="189"/>
      <c r="F191" s="135"/>
      <c r="G191" s="256"/>
      <c r="H191" s="256"/>
      <c r="I191" s="135"/>
      <c r="J191" s="135"/>
      <c r="K191" s="135"/>
      <c r="L191" s="135"/>
      <c r="M191" s="135"/>
      <c r="N191" s="135"/>
      <c r="O191" s="135"/>
      <c r="P191" s="135"/>
      <c r="Q191" s="135"/>
      <c r="R191" s="135"/>
      <c r="S191" s="135"/>
      <c r="T191" s="135"/>
      <c r="U191" s="189"/>
      <c r="V191" s="135"/>
      <c r="W191" s="135"/>
      <c r="X191" s="135"/>
      <c r="Y191" s="135"/>
      <c r="Z191" s="135"/>
      <c r="AA191" s="135"/>
    </row>
    <row r="192" customFormat="false" ht="15.75" hidden="false" customHeight="true" outlineLevel="0" collapsed="false">
      <c r="A192" s="135"/>
      <c r="B192" s="135"/>
      <c r="C192" s="135"/>
      <c r="D192" s="135"/>
      <c r="E192" s="189"/>
      <c r="F192" s="135"/>
      <c r="G192" s="256"/>
      <c r="H192" s="256"/>
      <c r="I192" s="135"/>
      <c r="J192" s="135"/>
      <c r="K192" s="135"/>
      <c r="L192" s="135"/>
      <c r="M192" s="135"/>
      <c r="N192" s="135"/>
      <c r="O192" s="135"/>
      <c r="P192" s="135"/>
      <c r="Q192" s="135"/>
      <c r="R192" s="135"/>
      <c r="S192" s="135"/>
      <c r="T192" s="135"/>
      <c r="U192" s="189"/>
      <c r="V192" s="135"/>
      <c r="W192" s="135"/>
      <c r="X192" s="135"/>
      <c r="Y192" s="135"/>
      <c r="Z192" s="135"/>
      <c r="AA192" s="135"/>
    </row>
    <row r="193" customFormat="false" ht="15.75" hidden="false" customHeight="true" outlineLevel="0" collapsed="false">
      <c r="A193" s="135"/>
      <c r="B193" s="135"/>
      <c r="C193" s="135"/>
      <c r="D193" s="135"/>
      <c r="E193" s="189"/>
      <c r="F193" s="135"/>
      <c r="G193" s="256"/>
      <c r="H193" s="256"/>
      <c r="I193" s="135"/>
      <c r="J193" s="135"/>
      <c r="K193" s="135"/>
      <c r="L193" s="135"/>
      <c r="M193" s="135"/>
      <c r="N193" s="135"/>
      <c r="O193" s="135"/>
      <c r="P193" s="135"/>
      <c r="Q193" s="135"/>
      <c r="R193" s="135"/>
      <c r="S193" s="135"/>
      <c r="T193" s="135"/>
      <c r="U193" s="189"/>
      <c r="V193" s="135"/>
      <c r="W193" s="135"/>
      <c r="X193" s="135"/>
      <c r="Y193" s="135"/>
      <c r="Z193" s="135"/>
      <c r="AA193" s="135"/>
    </row>
    <row r="194" customFormat="false" ht="15.75" hidden="false" customHeight="true" outlineLevel="0" collapsed="false">
      <c r="A194" s="135"/>
      <c r="B194" s="135"/>
      <c r="C194" s="135"/>
      <c r="D194" s="135"/>
      <c r="E194" s="189"/>
      <c r="F194" s="135"/>
      <c r="G194" s="256"/>
      <c r="H194" s="256"/>
      <c r="I194" s="135"/>
      <c r="J194" s="135"/>
      <c r="K194" s="135"/>
      <c r="L194" s="135"/>
      <c r="M194" s="135"/>
      <c r="N194" s="135"/>
      <c r="O194" s="135"/>
      <c r="P194" s="135"/>
      <c r="Q194" s="135"/>
      <c r="R194" s="135"/>
      <c r="S194" s="135"/>
      <c r="T194" s="135"/>
      <c r="U194" s="189"/>
      <c r="V194" s="135"/>
      <c r="W194" s="135"/>
      <c r="X194" s="135"/>
      <c r="Y194" s="135"/>
      <c r="Z194" s="135"/>
      <c r="AA194" s="135"/>
    </row>
    <row r="195" customFormat="false" ht="15.75" hidden="false" customHeight="true" outlineLevel="0" collapsed="false">
      <c r="A195" s="135"/>
      <c r="B195" s="135"/>
      <c r="C195" s="135"/>
      <c r="D195" s="135"/>
      <c r="E195" s="189"/>
      <c r="F195" s="135"/>
      <c r="G195" s="256"/>
      <c r="H195" s="256"/>
      <c r="I195" s="135"/>
      <c r="J195" s="135"/>
      <c r="K195" s="135"/>
      <c r="L195" s="135"/>
      <c r="M195" s="135"/>
      <c r="N195" s="135"/>
      <c r="O195" s="135"/>
      <c r="P195" s="135"/>
      <c r="Q195" s="135"/>
      <c r="R195" s="135"/>
      <c r="S195" s="135"/>
      <c r="T195" s="135"/>
      <c r="U195" s="189"/>
      <c r="V195" s="135"/>
      <c r="W195" s="135"/>
      <c r="X195" s="135"/>
      <c r="Y195" s="135"/>
      <c r="Z195" s="135"/>
      <c r="AA195" s="135"/>
    </row>
    <row r="196" customFormat="false" ht="15.75" hidden="false" customHeight="true" outlineLevel="0" collapsed="false">
      <c r="A196" s="135"/>
      <c r="B196" s="135"/>
      <c r="C196" s="135"/>
      <c r="D196" s="135"/>
      <c r="E196" s="189"/>
      <c r="F196" s="135"/>
      <c r="G196" s="256"/>
      <c r="H196" s="256"/>
      <c r="I196" s="135"/>
      <c r="J196" s="135"/>
      <c r="K196" s="135"/>
      <c r="L196" s="135"/>
      <c r="M196" s="135"/>
      <c r="N196" s="135"/>
      <c r="O196" s="135"/>
      <c r="P196" s="135"/>
      <c r="Q196" s="135"/>
      <c r="R196" s="135"/>
      <c r="S196" s="135"/>
      <c r="T196" s="135"/>
      <c r="U196" s="189"/>
      <c r="V196" s="135"/>
      <c r="W196" s="135"/>
      <c r="X196" s="135"/>
      <c r="Y196" s="135"/>
      <c r="Z196" s="135"/>
      <c r="AA196" s="135"/>
    </row>
    <row r="197" customFormat="false" ht="15.75" hidden="false" customHeight="true" outlineLevel="0" collapsed="false">
      <c r="A197" s="135"/>
      <c r="B197" s="135"/>
      <c r="C197" s="135"/>
      <c r="D197" s="135"/>
      <c r="E197" s="189"/>
      <c r="F197" s="135"/>
      <c r="G197" s="256"/>
      <c r="H197" s="256"/>
      <c r="I197" s="135"/>
      <c r="J197" s="135"/>
      <c r="K197" s="135"/>
      <c r="L197" s="135"/>
      <c r="M197" s="135"/>
      <c r="N197" s="135"/>
      <c r="O197" s="135"/>
      <c r="P197" s="135"/>
      <c r="Q197" s="135"/>
      <c r="R197" s="135"/>
      <c r="S197" s="135"/>
      <c r="T197" s="135"/>
      <c r="U197" s="189"/>
      <c r="V197" s="135"/>
      <c r="W197" s="135"/>
      <c r="X197" s="135"/>
      <c r="Y197" s="135"/>
      <c r="Z197" s="135"/>
      <c r="AA197" s="135"/>
    </row>
    <row r="198" customFormat="false" ht="15.75" hidden="false" customHeight="true" outlineLevel="0" collapsed="false">
      <c r="A198" s="135"/>
      <c r="B198" s="135"/>
      <c r="C198" s="135"/>
      <c r="D198" s="135"/>
      <c r="E198" s="189"/>
      <c r="F198" s="135"/>
      <c r="G198" s="256"/>
      <c r="H198" s="256"/>
      <c r="I198" s="135"/>
      <c r="J198" s="135"/>
      <c r="K198" s="135"/>
      <c r="L198" s="135"/>
      <c r="M198" s="135"/>
      <c r="N198" s="135"/>
      <c r="O198" s="135"/>
      <c r="P198" s="135"/>
      <c r="Q198" s="135"/>
      <c r="R198" s="135"/>
      <c r="S198" s="135"/>
      <c r="T198" s="135"/>
      <c r="U198" s="189"/>
      <c r="V198" s="135"/>
      <c r="W198" s="135"/>
      <c r="X198" s="135"/>
      <c r="Y198" s="135"/>
      <c r="Z198" s="135"/>
      <c r="AA198" s="135"/>
    </row>
    <row r="199" customFormat="false" ht="15.75" hidden="false" customHeight="true" outlineLevel="0" collapsed="false">
      <c r="A199" s="135"/>
      <c r="B199" s="135"/>
      <c r="C199" s="135"/>
      <c r="D199" s="135"/>
      <c r="E199" s="189"/>
      <c r="F199" s="135"/>
      <c r="G199" s="256"/>
      <c r="H199" s="256"/>
      <c r="I199" s="135"/>
      <c r="J199" s="135"/>
      <c r="K199" s="135"/>
      <c r="L199" s="135"/>
      <c r="M199" s="135"/>
      <c r="N199" s="135"/>
      <c r="O199" s="135"/>
      <c r="P199" s="135"/>
      <c r="Q199" s="135"/>
      <c r="R199" s="135"/>
      <c r="S199" s="135"/>
      <c r="T199" s="135"/>
      <c r="U199" s="189"/>
      <c r="V199" s="135"/>
      <c r="W199" s="135"/>
      <c r="X199" s="135"/>
      <c r="Y199" s="135"/>
      <c r="Z199" s="135"/>
      <c r="AA199" s="135"/>
    </row>
    <row r="200" customFormat="false" ht="15.75" hidden="false" customHeight="true" outlineLevel="0" collapsed="false">
      <c r="A200" s="135"/>
      <c r="B200" s="135"/>
      <c r="C200" s="135"/>
      <c r="D200" s="135"/>
      <c r="E200" s="189"/>
      <c r="F200" s="135"/>
      <c r="G200" s="256"/>
      <c r="H200" s="256"/>
      <c r="I200" s="135"/>
      <c r="J200" s="135"/>
      <c r="K200" s="135"/>
      <c r="L200" s="135"/>
      <c r="M200" s="135"/>
      <c r="N200" s="135"/>
      <c r="O200" s="135"/>
      <c r="P200" s="135"/>
      <c r="Q200" s="135"/>
      <c r="R200" s="135"/>
      <c r="S200" s="135"/>
      <c r="T200" s="135"/>
      <c r="U200" s="189"/>
      <c r="V200" s="135"/>
      <c r="W200" s="135"/>
      <c r="X200" s="135"/>
      <c r="Y200" s="135"/>
      <c r="Z200" s="135"/>
      <c r="AA200" s="135"/>
    </row>
    <row r="201" customFormat="false" ht="15.75" hidden="false" customHeight="true" outlineLevel="0" collapsed="false">
      <c r="A201" s="135"/>
      <c r="B201" s="135"/>
      <c r="C201" s="135"/>
      <c r="D201" s="135"/>
      <c r="E201" s="189"/>
      <c r="F201" s="135"/>
      <c r="G201" s="256"/>
      <c r="H201" s="256"/>
      <c r="I201" s="135"/>
      <c r="J201" s="135"/>
      <c r="K201" s="135"/>
      <c r="L201" s="135"/>
      <c r="M201" s="135"/>
      <c r="N201" s="135"/>
      <c r="O201" s="135"/>
      <c r="P201" s="135"/>
      <c r="Q201" s="135"/>
      <c r="R201" s="135"/>
      <c r="S201" s="135"/>
      <c r="T201" s="135"/>
      <c r="U201" s="189"/>
      <c r="V201" s="135"/>
      <c r="W201" s="135"/>
      <c r="X201" s="135"/>
      <c r="Y201" s="135"/>
      <c r="Z201" s="135"/>
      <c r="AA201" s="135"/>
    </row>
    <row r="202" customFormat="false" ht="15.75" hidden="false" customHeight="true" outlineLevel="0" collapsed="false">
      <c r="A202" s="135"/>
      <c r="B202" s="135"/>
      <c r="C202" s="135"/>
      <c r="D202" s="135"/>
      <c r="E202" s="189"/>
      <c r="F202" s="135"/>
      <c r="G202" s="256"/>
      <c r="H202" s="256"/>
      <c r="I202" s="135"/>
      <c r="J202" s="135"/>
      <c r="K202" s="135"/>
      <c r="L202" s="135"/>
      <c r="M202" s="135"/>
      <c r="N202" s="135"/>
      <c r="O202" s="135"/>
      <c r="P202" s="135"/>
      <c r="Q202" s="135"/>
      <c r="R202" s="135"/>
      <c r="S202" s="135"/>
      <c r="T202" s="135"/>
      <c r="U202" s="189"/>
      <c r="V202" s="135"/>
      <c r="W202" s="135"/>
      <c r="X202" s="135"/>
      <c r="Y202" s="135"/>
      <c r="Z202" s="135"/>
      <c r="AA202" s="135"/>
    </row>
    <row r="203" customFormat="false" ht="15.75" hidden="false" customHeight="true" outlineLevel="0" collapsed="false">
      <c r="A203" s="135"/>
      <c r="B203" s="135"/>
      <c r="C203" s="135"/>
      <c r="D203" s="135"/>
      <c r="E203" s="189"/>
      <c r="F203" s="135"/>
      <c r="G203" s="256"/>
      <c r="H203" s="256"/>
      <c r="I203" s="135"/>
      <c r="J203" s="135"/>
      <c r="K203" s="135"/>
      <c r="L203" s="135"/>
      <c r="M203" s="135"/>
      <c r="N203" s="135"/>
      <c r="O203" s="135"/>
      <c r="P203" s="135"/>
      <c r="Q203" s="135"/>
      <c r="R203" s="135"/>
      <c r="S203" s="135"/>
      <c r="T203" s="135"/>
      <c r="U203" s="189"/>
      <c r="V203" s="135"/>
      <c r="W203" s="135"/>
      <c r="X203" s="135"/>
      <c r="Y203" s="135"/>
      <c r="Z203" s="135"/>
      <c r="AA203" s="135"/>
    </row>
    <row r="204" customFormat="false" ht="15.75" hidden="false" customHeight="true" outlineLevel="0" collapsed="false">
      <c r="A204" s="135"/>
      <c r="B204" s="135"/>
      <c r="C204" s="135"/>
      <c r="D204" s="135"/>
      <c r="E204" s="189"/>
      <c r="F204" s="135"/>
      <c r="G204" s="256"/>
      <c r="H204" s="256"/>
      <c r="I204" s="135"/>
      <c r="J204" s="135"/>
      <c r="K204" s="135"/>
      <c r="L204" s="135"/>
      <c r="M204" s="135"/>
      <c r="N204" s="135"/>
      <c r="O204" s="135"/>
      <c r="P204" s="135"/>
      <c r="Q204" s="135"/>
      <c r="R204" s="135"/>
      <c r="S204" s="135"/>
      <c r="T204" s="135"/>
      <c r="U204" s="189"/>
      <c r="V204" s="135"/>
      <c r="W204" s="135"/>
      <c r="X204" s="135"/>
      <c r="Y204" s="135"/>
      <c r="Z204" s="135"/>
      <c r="AA204" s="135"/>
    </row>
    <row r="205" customFormat="false" ht="15.75" hidden="false" customHeight="true" outlineLevel="0" collapsed="false">
      <c r="A205" s="135"/>
      <c r="B205" s="135"/>
      <c r="C205" s="135"/>
      <c r="D205" s="135"/>
      <c r="E205" s="189"/>
      <c r="F205" s="135"/>
      <c r="G205" s="256"/>
      <c r="H205" s="256"/>
      <c r="I205" s="135"/>
      <c r="J205" s="135"/>
      <c r="K205" s="135"/>
      <c r="L205" s="135"/>
      <c r="M205" s="135"/>
      <c r="N205" s="135"/>
      <c r="O205" s="135"/>
      <c r="P205" s="135"/>
      <c r="Q205" s="135"/>
      <c r="R205" s="135"/>
      <c r="S205" s="135"/>
      <c r="T205" s="135"/>
      <c r="U205" s="189"/>
      <c r="V205" s="135"/>
      <c r="W205" s="135"/>
      <c r="X205" s="135"/>
      <c r="Y205" s="135"/>
      <c r="Z205" s="135"/>
      <c r="AA205" s="135"/>
    </row>
    <row r="206" customFormat="false" ht="15.75" hidden="false" customHeight="true" outlineLevel="0" collapsed="false">
      <c r="A206" s="135"/>
      <c r="B206" s="135"/>
      <c r="C206" s="135"/>
      <c r="D206" s="135"/>
      <c r="E206" s="189"/>
      <c r="F206" s="135"/>
      <c r="G206" s="256"/>
      <c r="H206" s="256"/>
      <c r="I206" s="135"/>
      <c r="J206" s="135"/>
      <c r="K206" s="135"/>
      <c r="L206" s="135"/>
      <c r="M206" s="135"/>
      <c r="N206" s="135"/>
      <c r="O206" s="135"/>
      <c r="P206" s="135"/>
      <c r="Q206" s="135"/>
      <c r="R206" s="135"/>
      <c r="S206" s="135"/>
      <c r="T206" s="135"/>
      <c r="U206" s="189"/>
      <c r="V206" s="135"/>
      <c r="W206" s="135"/>
      <c r="X206" s="135"/>
      <c r="Y206" s="135"/>
      <c r="Z206" s="135"/>
      <c r="AA206" s="135"/>
    </row>
    <row r="207" customFormat="false" ht="15.75" hidden="false" customHeight="true" outlineLevel="0" collapsed="false">
      <c r="A207" s="135"/>
      <c r="B207" s="135"/>
      <c r="C207" s="135"/>
      <c r="D207" s="135"/>
      <c r="E207" s="189"/>
      <c r="F207" s="135"/>
      <c r="G207" s="256"/>
      <c r="H207" s="256"/>
      <c r="I207" s="135"/>
      <c r="J207" s="135"/>
      <c r="K207" s="135"/>
      <c r="L207" s="135"/>
      <c r="M207" s="135"/>
      <c r="N207" s="135"/>
      <c r="O207" s="135"/>
      <c r="P207" s="135"/>
      <c r="Q207" s="135"/>
      <c r="R207" s="135"/>
      <c r="S207" s="135"/>
      <c r="T207" s="135"/>
      <c r="U207" s="189"/>
      <c r="V207" s="135"/>
      <c r="W207" s="135"/>
      <c r="X207" s="135"/>
      <c r="Y207" s="135"/>
      <c r="Z207" s="135"/>
      <c r="AA207" s="135"/>
    </row>
    <row r="208" customFormat="false" ht="15.75" hidden="false" customHeight="true" outlineLevel="0" collapsed="false">
      <c r="A208" s="135"/>
      <c r="B208" s="135"/>
      <c r="C208" s="135"/>
      <c r="D208" s="135"/>
      <c r="E208" s="189"/>
      <c r="F208" s="135"/>
      <c r="G208" s="256"/>
      <c r="H208" s="256"/>
      <c r="I208" s="135"/>
      <c r="J208" s="135"/>
      <c r="K208" s="135"/>
      <c r="L208" s="135"/>
      <c r="M208" s="135"/>
      <c r="N208" s="135"/>
      <c r="O208" s="135"/>
      <c r="P208" s="135"/>
      <c r="Q208" s="135"/>
      <c r="R208" s="135"/>
      <c r="S208" s="135"/>
      <c r="T208" s="135"/>
      <c r="U208" s="189"/>
      <c r="V208" s="135"/>
      <c r="W208" s="135"/>
      <c r="X208" s="135"/>
      <c r="Y208" s="135"/>
      <c r="Z208" s="135"/>
      <c r="AA208" s="135"/>
    </row>
    <row r="209" customFormat="false" ht="15.75" hidden="false" customHeight="true" outlineLevel="0" collapsed="false">
      <c r="A209" s="135"/>
      <c r="B209" s="135"/>
      <c r="C209" s="135"/>
      <c r="D209" s="135"/>
      <c r="E209" s="189"/>
      <c r="F209" s="135"/>
      <c r="G209" s="256"/>
      <c r="H209" s="256"/>
      <c r="I209" s="135"/>
      <c r="J209" s="135"/>
      <c r="K209" s="135"/>
      <c r="L209" s="135"/>
      <c r="M209" s="135"/>
      <c r="N209" s="135"/>
      <c r="O209" s="135"/>
      <c r="P209" s="135"/>
      <c r="Q209" s="135"/>
      <c r="R209" s="135"/>
      <c r="S209" s="135"/>
      <c r="T209" s="135"/>
      <c r="U209" s="189"/>
      <c r="V209" s="135"/>
      <c r="W209" s="135"/>
      <c r="X209" s="135"/>
      <c r="Y209" s="135"/>
      <c r="Z209" s="135"/>
      <c r="AA209" s="135"/>
    </row>
    <row r="210" customFormat="false" ht="15.75" hidden="false" customHeight="true" outlineLevel="0" collapsed="false">
      <c r="A210" s="135"/>
      <c r="B210" s="135"/>
      <c r="C210" s="135"/>
      <c r="D210" s="135"/>
      <c r="E210" s="189"/>
      <c r="F210" s="135"/>
      <c r="G210" s="256"/>
      <c r="H210" s="256"/>
      <c r="I210" s="135"/>
      <c r="J210" s="135"/>
      <c r="K210" s="135"/>
      <c r="L210" s="135"/>
      <c r="M210" s="135"/>
      <c r="N210" s="135"/>
      <c r="O210" s="135"/>
      <c r="P210" s="135"/>
      <c r="Q210" s="135"/>
      <c r="R210" s="135"/>
      <c r="S210" s="135"/>
      <c r="T210" s="135"/>
      <c r="U210" s="189"/>
      <c r="V210" s="135"/>
      <c r="W210" s="135"/>
      <c r="X210" s="135"/>
      <c r="Y210" s="135"/>
      <c r="Z210" s="135"/>
      <c r="AA210" s="135"/>
    </row>
    <row r="211" customFormat="false" ht="15.75" hidden="false" customHeight="true" outlineLevel="0" collapsed="false">
      <c r="A211" s="135"/>
      <c r="B211" s="135"/>
      <c r="C211" s="135"/>
      <c r="D211" s="135"/>
      <c r="E211" s="189"/>
      <c r="F211" s="135"/>
      <c r="G211" s="256"/>
      <c r="H211" s="256"/>
      <c r="I211" s="135"/>
      <c r="J211" s="135"/>
      <c r="K211" s="135"/>
      <c r="L211" s="135"/>
      <c r="M211" s="135"/>
      <c r="N211" s="135"/>
      <c r="O211" s="135"/>
      <c r="P211" s="135"/>
      <c r="Q211" s="135"/>
      <c r="R211" s="135"/>
      <c r="S211" s="135"/>
      <c r="T211" s="135"/>
      <c r="U211" s="189"/>
      <c r="V211" s="135"/>
      <c r="W211" s="135"/>
      <c r="X211" s="135"/>
      <c r="Y211" s="135"/>
      <c r="Z211" s="135"/>
      <c r="AA211" s="135"/>
    </row>
    <row r="212" customFormat="false" ht="15.75" hidden="false" customHeight="true" outlineLevel="0" collapsed="false">
      <c r="A212" s="135"/>
      <c r="B212" s="135"/>
      <c r="C212" s="135"/>
      <c r="D212" s="135"/>
      <c r="E212" s="189"/>
      <c r="F212" s="135"/>
      <c r="G212" s="256"/>
      <c r="H212" s="256"/>
      <c r="I212" s="135"/>
      <c r="J212" s="135"/>
      <c r="K212" s="135"/>
      <c r="L212" s="135"/>
      <c r="M212" s="135"/>
      <c r="N212" s="135"/>
      <c r="O212" s="135"/>
      <c r="P212" s="135"/>
      <c r="Q212" s="135"/>
      <c r="R212" s="135"/>
      <c r="S212" s="135"/>
      <c r="T212" s="135"/>
      <c r="U212" s="189"/>
      <c r="V212" s="135"/>
      <c r="W212" s="135"/>
      <c r="X212" s="135"/>
      <c r="Y212" s="135"/>
      <c r="Z212" s="135"/>
      <c r="AA212" s="135"/>
    </row>
    <row r="213" customFormat="false" ht="15.75" hidden="false" customHeight="true" outlineLevel="0" collapsed="false">
      <c r="A213" s="135"/>
      <c r="B213" s="135"/>
      <c r="C213" s="135"/>
      <c r="D213" s="135"/>
      <c r="E213" s="189"/>
      <c r="F213" s="135"/>
      <c r="G213" s="256"/>
      <c r="H213" s="256"/>
      <c r="I213" s="135"/>
      <c r="J213" s="135"/>
      <c r="K213" s="135"/>
      <c r="L213" s="135"/>
      <c r="M213" s="135"/>
      <c r="N213" s="135"/>
      <c r="O213" s="135"/>
      <c r="P213" s="135"/>
      <c r="Q213" s="135"/>
      <c r="R213" s="135"/>
      <c r="S213" s="135"/>
      <c r="T213" s="135"/>
      <c r="U213" s="189"/>
      <c r="V213" s="135"/>
      <c r="W213" s="135"/>
      <c r="X213" s="135"/>
      <c r="Y213" s="135"/>
      <c r="Z213" s="135"/>
      <c r="AA213" s="135"/>
    </row>
    <row r="214" customFormat="false" ht="15.75" hidden="false" customHeight="true" outlineLevel="0" collapsed="false">
      <c r="A214" s="135"/>
      <c r="B214" s="135"/>
      <c r="C214" s="135"/>
      <c r="D214" s="135"/>
      <c r="E214" s="189"/>
      <c r="F214" s="135"/>
      <c r="G214" s="256"/>
      <c r="H214" s="256"/>
      <c r="I214" s="135"/>
      <c r="J214" s="135"/>
      <c r="K214" s="135"/>
      <c r="L214" s="135"/>
      <c r="M214" s="135"/>
      <c r="N214" s="135"/>
      <c r="O214" s="135"/>
      <c r="P214" s="135"/>
      <c r="Q214" s="135"/>
      <c r="R214" s="135"/>
      <c r="S214" s="135"/>
      <c r="T214" s="135"/>
      <c r="U214" s="189"/>
      <c r="V214" s="135"/>
      <c r="W214" s="135"/>
      <c r="X214" s="135"/>
      <c r="Y214" s="135"/>
      <c r="Z214" s="135"/>
      <c r="AA214" s="135"/>
    </row>
    <row r="215" customFormat="false" ht="15.75" hidden="false" customHeight="true" outlineLevel="0" collapsed="false">
      <c r="A215" s="135"/>
      <c r="B215" s="135"/>
      <c r="C215" s="135"/>
      <c r="D215" s="135"/>
      <c r="E215" s="189"/>
      <c r="F215" s="135"/>
      <c r="G215" s="256"/>
      <c r="H215" s="256"/>
      <c r="I215" s="135"/>
      <c r="J215" s="135"/>
      <c r="K215" s="135"/>
      <c r="L215" s="135"/>
      <c r="M215" s="135"/>
      <c r="N215" s="135"/>
      <c r="O215" s="135"/>
      <c r="P215" s="135"/>
      <c r="Q215" s="135"/>
      <c r="R215" s="135"/>
      <c r="S215" s="135"/>
      <c r="T215" s="135"/>
      <c r="U215" s="189"/>
      <c r="V215" s="135"/>
      <c r="W215" s="135"/>
      <c r="X215" s="135"/>
      <c r="Y215" s="135"/>
      <c r="Z215" s="135"/>
      <c r="AA215" s="135"/>
    </row>
    <row r="216" customFormat="false" ht="15.75" hidden="false" customHeight="true" outlineLevel="0" collapsed="false">
      <c r="A216" s="135"/>
      <c r="B216" s="135"/>
      <c r="C216" s="135"/>
      <c r="D216" s="135"/>
      <c r="E216" s="189"/>
      <c r="F216" s="135"/>
      <c r="G216" s="256"/>
      <c r="H216" s="256"/>
      <c r="I216" s="135"/>
      <c r="J216" s="135"/>
      <c r="K216" s="135"/>
      <c r="L216" s="135"/>
      <c r="M216" s="135"/>
      <c r="N216" s="135"/>
      <c r="O216" s="135"/>
      <c r="P216" s="135"/>
      <c r="Q216" s="135"/>
      <c r="R216" s="135"/>
      <c r="S216" s="135"/>
      <c r="T216" s="135"/>
      <c r="U216" s="189"/>
      <c r="V216" s="135"/>
      <c r="W216" s="135"/>
      <c r="X216" s="135"/>
      <c r="Y216" s="135"/>
      <c r="Z216" s="135"/>
      <c r="AA216" s="135"/>
    </row>
    <row r="217" customFormat="false" ht="15.75" hidden="false" customHeight="true" outlineLevel="0" collapsed="false">
      <c r="A217" s="135"/>
      <c r="B217" s="135"/>
      <c r="C217" s="135"/>
      <c r="D217" s="135"/>
      <c r="E217" s="189"/>
      <c r="F217" s="135"/>
      <c r="G217" s="256"/>
      <c r="H217" s="256"/>
      <c r="I217" s="135"/>
      <c r="J217" s="135"/>
      <c r="K217" s="135"/>
      <c r="L217" s="135"/>
      <c r="M217" s="135"/>
      <c r="N217" s="135"/>
      <c r="O217" s="135"/>
      <c r="P217" s="135"/>
      <c r="Q217" s="135"/>
      <c r="R217" s="135"/>
      <c r="S217" s="135"/>
      <c r="T217" s="135"/>
      <c r="U217" s="189"/>
      <c r="V217" s="135"/>
      <c r="W217" s="135"/>
      <c r="X217" s="135"/>
      <c r="Y217" s="135"/>
      <c r="Z217" s="135"/>
      <c r="AA217" s="135"/>
    </row>
    <row r="218" customFormat="false" ht="15.75" hidden="false" customHeight="true" outlineLevel="0" collapsed="false">
      <c r="A218" s="135"/>
      <c r="B218" s="135"/>
      <c r="C218" s="135"/>
      <c r="D218" s="135"/>
      <c r="E218" s="189"/>
      <c r="F218" s="135"/>
      <c r="G218" s="256"/>
      <c r="H218" s="256"/>
      <c r="I218" s="135"/>
      <c r="J218" s="135"/>
      <c r="K218" s="135"/>
      <c r="L218" s="135"/>
      <c r="M218" s="135"/>
      <c r="N218" s="135"/>
      <c r="O218" s="135"/>
      <c r="P218" s="135"/>
      <c r="Q218" s="135"/>
      <c r="R218" s="135"/>
      <c r="S218" s="135"/>
      <c r="T218" s="135"/>
      <c r="U218" s="189"/>
      <c r="V218" s="135"/>
      <c r="W218" s="135"/>
      <c r="X218" s="135"/>
      <c r="Y218" s="135"/>
      <c r="Z218" s="135"/>
      <c r="AA218" s="135"/>
    </row>
    <row r="219" customFormat="false" ht="15.75" hidden="false" customHeight="true" outlineLevel="0" collapsed="false">
      <c r="A219" s="135"/>
      <c r="B219" s="135"/>
      <c r="C219" s="135"/>
      <c r="D219" s="135"/>
      <c r="E219" s="189"/>
      <c r="F219" s="135"/>
      <c r="G219" s="256"/>
      <c r="H219" s="256"/>
      <c r="I219" s="135"/>
      <c r="J219" s="135"/>
      <c r="K219" s="135"/>
      <c r="L219" s="135"/>
      <c r="M219" s="135"/>
      <c r="N219" s="135"/>
      <c r="O219" s="135"/>
      <c r="P219" s="135"/>
      <c r="Q219" s="135"/>
      <c r="R219" s="135"/>
      <c r="S219" s="135"/>
      <c r="T219" s="135"/>
      <c r="U219" s="189"/>
      <c r="V219" s="135"/>
      <c r="W219" s="135"/>
      <c r="X219" s="135"/>
      <c r="Y219" s="135"/>
      <c r="Z219" s="135"/>
      <c r="AA219" s="135"/>
    </row>
    <row r="220" customFormat="false" ht="15.75" hidden="false" customHeight="true" outlineLevel="0" collapsed="false">
      <c r="A220" s="135"/>
      <c r="B220" s="135"/>
      <c r="C220" s="135"/>
      <c r="D220" s="135"/>
      <c r="E220" s="189"/>
      <c r="F220" s="135"/>
      <c r="G220" s="256"/>
      <c r="H220" s="256"/>
      <c r="I220" s="135"/>
      <c r="J220" s="135"/>
      <c r="K220" s="135"/>
      <c r="L220" s="135"/>
      <c r="M220" s="135"/>
      <c r="N220" s="135"/>
      <c r="O220" s="135"/>
      <c r="P220" s="135"/>
      <c r="Q220" s="135"/>
      <c r="R220" s="135"/>
      <c r="S220" s="135"/>
      <c r="T220" s="135"/>
      <c r="U220" s="189"/>
      <c r="V220" s="135"/>
      <c r="W220" s="135"/>
      <c r="X220" s="135"/>
      <c r="Y220" s="135"/>
      <c r="Z220" s="135"/>
      <c r="AA220" s="135"/>
    </row>
    <row r="221" customFormat="false" ht="15.75" hidden="false" customHeight="true" outlineLevel="0" collapsed="false">
      <c r="A221" s="135"/>
      <c r="B221" s="135"/>
      <c r="C221" s="135"/>
      <c r="D221" s="135"/>
      <c r="E221" s="189"/>
      <c r="F221" s="135"/>
      <c r="G221" s="256"/>
      <c r="H221" s="256"/>
      <c r="I221" s="135"/>
      <c r="J221" s="135"/>
      <c r="K221" s="135"/>
      <c r="L221" s="135"/>
      <c r="M221" s="135"/>
      <c r="N221" s="135"/>
      <c r="O221" s="135"/>
      <c r="P221" s="135"/>
      <c r="Q221" s="135"/>
      <c r="R221" s="135"/>
      <c r="S221" s="135"/>
      <c r="T221" s="135"/>
      <c r="U221" s="189"/>
      <c r="V221" s="135"/>
      <c r="W221" s="135"/>
      <c r="X221" s="135"/>
      <c r="Y221" s="135"/>
      <c r="Z221" s="135"/>
      <c r="AA221" s="135"/>
    </row>
    <row r="222" customFormat="false" ht="15.75" hidden="false" customHeight="true" outlineLevel="0" collapsed="false">
      <c r="A222" s="135"/>
      <c r="B222" s="135"/>
      <c r="C222" s="135"/>
      <c r="D222" s="135"/>
      <c r="E222" s="189"/>
      <c r="F222" s="135"/>
      <c r="G222" s="256"/>
      <c r="H222" s="256"/>
      <c r="I222" s="135"/>
      <c r="J222" s="135"/>
      <c r="K222" s="135"/>
      <c r="L222" s="135"/>
      <c r="M222" s="135"/>
      <c r="N222" s="135"/>
      <c r="O222" s="135"/>
      <c r="P222" s="135"/>
      <c r="Q222" s="135"/>
      <c r="R222" s="135"/>
      <c r="S222" s="135"/>
      <c r="T222" s="135"/>
      <c r="U222" s="189"/>
      <c r="V222" s="135"/>
      <c r="W222" s="135"/>
      <c r="X222" s="135"/>
      <c r="Y222" s="135"/>
      <c r="Z222" s="135"/>
      <c r="AA222" s="135"/>
    </row>
    <row r="223" customFormat="false" ht="15.75" hidden="false" customHeight="true" outlineLevel="0" collapsed="false">
      <c r="A223" s="135"/>
      <c r="B223" s="135"/>
      <c r="C223" s="135"/>
      <c r="D223" s="135"/>
      <c r="E223" s="189"/>
      <c r="F223" s="135"/>
      <c r="G223" s="256"/>
      <c r="H223" s="256"/>
      <c r="I223" s="135"/>
      <c r="J223" s="135"/>
      <c r="K223" s="135"/>
      <c r="L223" s="135"/>
      <c r="M223" s="135"/>
      <c r="N223" s="135"/>
      <c r="O223" s="135"/>
      <c r="P223" s="135"/>
      <c r="Q223" s="135"/>
      <c r="R223" s="135"/>
      <c r="S223" s="135"/>
      <c r="T223" s="135"/>
      <c r="U223" s="189"/>
      <c r="V223" s="135"/>
      <c r="W223" s="135"/>
      <c r="X223" s="135"/>
      <c r="Y223" s="135"/>
      <c r="Z223" s="135"/>
      <c r="AA223" s="135"/>
    </row>
    <row r="224" customFormat="false" ht="15.75" hidden="false" customHeight="true" outlineLevel="0" collapsed="false">
      <c r="A224" s="135"/>
      <c r="B224" s="135"/>
      <c r="C224" s="135"/>
      <c r="D224" s="135"/>
      <c r="E224" s="189"/>
      <c r="F224" s="135"/>
      <c r="G224" s="256"/>
      <c r="H224" s="256"/>
      <c r="I224" s="135"/>
      <c r="J224" s="135"/>
      <c r="K224" s="135"/>
      <c r="L224" s="135"/>
      <c r="M224" s="135"/>
      <c r="N224" s="135"/>
      <c r="O224" s="135"/>
      <c r="P224" s="135"/>
      <c r="Q224" s="135"/>
      <c r="R224" s="135"/>
      <c r="S224" s="135"/>
      <c r="T224" s="135"/>
      <c r="U224" s="189"/>
      <c r="V224" s="135"/>
      <c r="W224" s="135"/>
      <c r="X224" s="135"/>
      <c r="Y224" s="135"/>
      <c r="Z224" s="135"/>
      <c r="AA224" s="135"/>
    </row>
    <row r="225" customFormat="false" ht="15.75" hidden="false" customHeight="true" outlineLevel="0" collapsed="false">
      <c r="A225" s="135"/>
      <c r="B225" s="135"/>
      <c r="C225" s="135"/>
      <c r="D225" s="135"/>
      <c r="E225" s="189"/>
      <c r="F225" s="135"/>
      <c r="G225" s="256"/>
      <c r="H225" s="256"/>
      <c r="I225" s="135"/>
      <c r="J225" s="135"/>
      <c r="K225" s="135"/>
      <c r="L225" s="135"/>
      <c r="M225" s="135"/>
      <c r="N225" s="135"/>
      <c r="O225" s="135"/>
      <c r="P225" s="135"/>
      <c r="Q225" s="135"/>
      <c r="R225" s="135"/>
      <c r="S225" s="135"/>
      <c r="T225" s="135"/>
      <c r="U225" s="189"/>
      <c r="V225" s="135"/>
      <c r="W225" s="135"/>
      <c r="X225" s="135"/>
      <c r="Y225" s="135"/>
      <c r="Z225" s="135"/>
      <c r="AA225" s="135"/>
    </row>
    <row r="226" customFormat="false" ht="15.75" hidden="false" customHeight="true" outlineLevel="0" collapsed="false">
      <c r="A226" s="135"/>
      <c r="B226" s="135"/>
      <c r="C226" s="135"/>
      <c r="D226" s="135"/>
      <c r="E226" s="189"/>
      <c r="F226" s="135"/>
      <c r="G226" s="256"/>
      <c r="H226" s="256"/>
      <c r="I226" s="135"/>
      <c r="J226" s="135"/>
      <c r="K226" s="135"/>
      <c r="L226" s="135"/>
      <c r="M226" s="135"/>
      <c r="N226" s="135"/>
      <c r="O226" s="135"/>
      <c r="P226" s="135"/>
      <c r="Q226" s="135"/>
      <c r="R226" s="135"/>
      <c r="S226" s="135"/>
      <c r="T226" s="135"/>
      <c r="U226" s="189"/>
      <c r="V226" s="135"/>
      <c r="W226" s="135"/>
      <c r="X226" s="135"/>
      <c r="Y226" s="135"/>
      <c r="Z226" s="135"/>
      <c r="AA226" s="135"/>
    </row>
    <row r="227" customFormat="false" ht="15.75" hidden="false" customHeight="true" outlineLevel="0" collapsed="false">
      <c r="A227" s="135"/>
      <c r="B227" s="135"/>
      <c r="C227" s="135"/>
      <c r="D227" s="135"/>
      <c r="E227" s="189"/>
      <c r="F227" s="135"/>
      <c r="G227" s="256"/>
      <c r="H227" s="256"/>
      <c r="I227" s="135"/>
      <c r="J227" s="135"/>
      <c r="K227" s="135"/>
      <c r="L227" s="135"/>
      <c r="M227" s="135"/>
      <c r="N227" s="135"/>
      <c r="O227" s="135"/>
      <c r="P227" s="135"/>
      <c r="Q227" s="135"/>
      <c r="R227" s="135"/>
      <c r="S227" s="135"/>
      <c r="T227" s="135"/>
      <c r="U227" s="189"/>
      <c r="V227" s="135"/>
      <c r="W227" s="135"/>
      <c r="X227" s="135"/>
      <c r="Y227" s="135"/>
      <c r="Z227" s="135"/>
      <c r="AA227" s="135"/>
    </row>
    <row r="228" customFormat="false" ht="15.75" hidden="false" customHeight="true" outlineLevel="0" collapsed="false">
      <c r="A228" s="135"/>
      <c r="B228" s="135"/>
      <c r="C228" s="135"/>
      <c r="D228" s="135"/>
      <c r="E228" s="189"/>
      <c r="F228" s="135"/>
      <c r="G228" s="256"/>
      <c r="H228" s="256"/>
      <c r="I228" s="135"/>
      <c r="J228" s="135"/>
      <c r="K228" s="135"/>
      <c r="L228" s="135"/>
      <c r="M228" s="135"/>
      <c r="N228" s="135"/>
      <c r="O228" s="135"/>
      <c r="P228" s="135"/>
      <c r="Q228" s="135"/>
      <c r="R228" s="135"/>
      <c r="S228" s="135"/>
      <c r="T228" s="135"/>
      <c r="U228" s="189"/>
      <c r="V228" s="135"/>
      <c r="W228" s="135"/>
      <c r="X228" s="135"/>
      <c r="Y228" s="135"/>
      <c r="Z228" s="135"/>
      <c r="AA228" s="135"/>
    </row>
    <row r="229" customFormat="false" ht="15.75" hidden="false" customHeight="true" outlineLevel="0" collapsed="false">
      <c r="A229" s="135"/>
      <c r="B229" s="135"/>
      <c r="C229" s="135"/>
      <c r="D229" s="135"/>
      <c r="E229" s="189"/>
      <c r="F229" s="135"/>
      <c r="G229" s="256"/>
      <c r="H229" s="256"/>
      <c r="I229" s="135"/>
      <c r="J229" s="135"/>
      <c r="K229" s="135"/>
      <c r="L229" s="135"/>
      <c r="M229" s="135"/>
      <c r="N229" s="135"/>
      <c r="O229" s="135"/>
      <c r="P229" s="135"/>
      <c r="Q229" s="135"/>
      <c r="R229" s="135"/>
      <c r="S229" s="135"/>
      <c r="T229" s="135"/>
      <c r="U229" s="189"/>
      <c r="V229" s="135"/>
      <c r="W229" s="135"/>
      <c r="X229" s="135"/>
      <c r="Y229" s="135"/>
      <c r="Z229" s="135"/>
      <c r="AA229" s="135"/>
    </row>
    <row r="230" customFormat="false" ht="15.75" hidden="false" customHeight="true" outlineLevel="0" collapsed="false">
      <c r="A230" s="135"/>
      <c r="B230" s="135"/>
      <c r="C230" s="135"/>
      <c r="D230" s="135"/>
      <c r="E230" s="189"/>
      <c r="F230" s="135"/>
      <c r="G230" s="256"/>
      <c r="H230" s="256"/>
      <c r="I230" s="135"/>
      <c r="J230" s="135"/>
      <c r="K230" s="135"/>
      <c r="L230" s="135"/>
      <c r="M230" s="135"/>
      <c r="N230" s="135"/>
      <c r="O230" s="135"/>
      <c r="P230" s="135"/>
      <c r="Q230" s="135"/>
      <c r="R230" s="135"/>
      <c r="S230" s="135"/>
      <c r="T230" s="135"/>
      <c r="U230" s="189"/>
      <c r="V230" s="135"/>
      <c r="W230" s="135"/>
      <c r="X230" s="135"/>
      <c r="Y230" s="135"/>
      <c r="Z230" s="135"/>
      <c r="AA230" s="135"/>
    </row>
    <row r="231" customFormat="false" ht="15.75" hidden="false" customHeight="true" outlineLevel="0" collapsed="false">
      <c r="A231" s="135"/>
      <c r="B231" s="135"/>
      <c r="C231" s="135"/>
      <c r="D231" s="135"/>
      <c r="E231" s="189"/>
      <c r="F231" s="135"/>
      <c r="G231" s="256"/>
      <c r="H231" s="256"/>
      <c r="I231" s="135"/>
      <c r="J231" s="135"/>
      <c r="K231" s="135"/>
      <c r="L231" s="135"/>
      <c r="M231" s="135"/>
      <c r="N231" s="135"/>
      <c r="O231" s="135"/>
      <c r="P231" s="135"/>
      <c r="Q231" s="135"/>
      <c r="R231" s="135"/>
      <c r="S231" s="135"/>
      <c r="T231" s="135"/>
      <c r="U231" s="189"/>
      <c r="V231" s="135"/>
      <c r="W231" s="135"/>
      <c r="X231" s="135"/>
      <c r="Y231" s="135"/>
      <c r="Z231" s="135"/>
      <c r="AA231" s="135"/>
    </row>
    <row r="232" customFormat="false" ht="15.75" hidden="false" customHeight="true" outlineLevel="0" collapsed="false">
      <c r="A232" s="135"/>
      <c r="B232" s="135"/>
      <c r="C232" s="135"/>
      <c r="D232" s="135"/>
      <c r="E232" s="189"/>
      <c r="F232" s="135"/>
      <c r="G232" s="256"/>
      <c r="H232" s="256"/>
      <c r="I232" s="135"/>
      <c r="J232" s="135"/>
      <c r="K232" s="135"/>
      <c r="L232" s="135"/>
      <c r="M232" s="135"/>
      <c r="N232" s="135"/>
      <c r="O232" s="135"/>
      <c r="P232" s="135"/>
      <c r="Q232" s="135"/>
      <c r="R232" s="135"/>
      <c r="S232" s="135"/>
      <c r="T232" s="135"/>
      <c r="U232" s="189"/>
      <c r="V232" s="135"/>
      <c r="W232" s="135"/>
      <c r="X232" s="135"/>
      <c r="Y232" s="135"/>
      <c r="Z232" s="135"/>
      <c r="AA232" s="135"/>
    </row>
    <row r="233" customFormat="false" ht="15.75" hidden="false" customHeight="true" outlineLevel="0" collapsed="false">
      <c r="A233" s="135"/>
      <c r="B233" s="135"/>
      <c r="C233" s="135"/>
      <c r="D233" s="135"/>
      <c r="E233" s="189"/>
      <c r="F233" s="135"/>
      <c r="G233" s="256"/>
      <c r="H233" s="256"/>
      <c r="I233" s="135"/>
      <c r="J233" s="135"/>
      <c r="K233" s="135"/>
      <c r="L233" s="135"/>
      <c r="M233" s="135"/>
      <c r="N233" s="135"/>
      <c r="O233" s="135"/>
      <c r="P233" s="135"/>
      <c r="Q233" s="135"/>
      <c r="R233" s="135"/>
      <c r="S233" s="135"/>
      <c r="T233" s="135"/>
      <c r="U233" s="189"/>
      <c r="V233" s="135"/>
      <c r="W233" s="135"/>
      <c r="X233" s="135"/>
      <c r="Y233" s="135"/>
      <c r="Z233" s="135"/>
      <c r="AA233" s="135"/>
    </row>
    <row r="234" customFormat="false" ht="15.75" hidden="false" customHeight="true" outlineLevel="0" collapsed="false">
      <c r="A234" s="135"/>
      <c r="B234" s="135"/>
      <c r="C234" s="135"/>
      <c r="D234" s="135"/>
      <c r="E234" s="189"/>
      <c r="F234" s="135"/>
      <c r="G234" s="256"/>
      <c r="H234" s="256"/>
      <c r="I234" s="135"/>
      <c r="J234" s="135"/>
      <c r="K234" s="135"/>
      <c r="L234" s="135"/>
      <c r="M234" s="135"/>
      <c r="N234" s="135"/>
      <c r="O234" s="135"/>
      <c r="P234" s="135"/>
      <c r="Q234" s="135"/>
      <c r="R234" s="135"/>
      <c r="S234" s="135"/>
      <c r="T234" s="135"/>
      <c r="U234" s="189"/>
      <c r="V234" s="135"/>
      <c r="W234" s="135"/>
      <c r="X234" s="135"/>
      <c r="Y234" s="135"/>
      <c r="Z234" s="135"/>
      <c r="AA234" s="135"/>
    </row>
    <row r="235" customFormat="false" ht="15.75" hidden="false" customHeight="true" outlineLevel="0" collapsed="false">
      <c r="A235" s="135"/>
      <c r="B235" s="135"/>
      <c r="C235" s="135"/>
      <c r="D235" s="135"/>
      <c r="E235" s="189"/>
      <c r="F235" s="135"/>
      <c r="G235" s="256"/>
      <c r="H235" s="256"/>
      <c r="I235" s="135"/>
      <c r="J235" s="135"/>
      <c r="K235" s="135"/>
      <c r="L235" s="135"/>
      <c r="M235" s="135"/>
      <c r="N235" s="135"/>
      <c r="O235" s="135"/>
      <c r="P235" s="135"/>
      <c r="Q235" s="135"/>
      <c r="R235" s="135"/>
      <c r="S235" s="135"/>
      <c r="T235" s="135"/>
      <c r="U235" s="189"/>
      <c r="V235" s="135"/>
      <c r="W235" s="135"/>
      <c r="X235" s="135"/>
      <c r="Y235" s="135"/>
      <c r="Z235" s="135"/>
      <c r="AA235" s="135"/>
    </row>
    <row r="236" customFormat="false" ht="15.75" hidden="false" customHeight="true" outlineLevel="0" collapsed="false">
      <c r="A236" s="135"/>
      <c r="B236" s="135"/>
      <c r="C236" s="135"/>
      <c r="D236" s="135"/>
      <c r="E236" s="189"/>
      <c r="F236" s="135"/>
      <c r="G236" s="256"/>
      <c r="H236" s="256"/>
      <c r="I236" s="135"/>
      <c r="J236" s="135"/>
      <c r="K236" s="135"/>
      <c r="L236" s="135"/>
      <c r="M236" s="135"/>
      <c r="N236" s="135"/>
      <c r="O236" s="135"/>
      <c r="P236" s="135"/>
      <c r="Q236" s="135"/>
      <c r="R236" s="135"/>
      <c r="S236" s="135"/>
      <c r="T236" s="135"/>
      <c r="U236" s="189"/>
      <c r="V236" s="135"/>
      <c r="W236" s="135"/>
      <c r="X236" s="135"/>
      <c r="Y236" s="135"/>
      <c r="Z236" s="135"/>
      <c r="AA236" s="135"/>
    </row>
    <row r="237" customFormat="false" ht="15.75" hidden="false" customHeight="true" outlineLevel="0" collapsed="false">
      <c r="A237" s="135"/>
      <c r="B237" s="135"/>
      <c r="C237" s="135"/>
      <c r="D237" s="135"/>
      <c r="E237" s="189"/>
      <c r="F237" s="135"/>
      <c r="G237" s="256"/>
      <c r="H237" s="256"/>
      <c r="I237" s="135"/>
      <c r="J237" s="135"/>
      <c r="K237" s="135"/>
      <c r="L237" s="135"/>
      <c r="M237" s="135"/>
      <c r="N237" s="135"/>
      <c r="O237" s="135"/>
      <c r="P237" s="135"/>
      <c r="Q237" s="135"/>
      <c r="R237" s="135"/>
      <c r="S237" s="135"/>
      <c r="T237" s="135"/>
      <c r="U237" s="189"/>
      <c r="V237" s="135"/>
      <c r="W237" s="135"/>
      <c r="X237" s="135"/>
      <c r="Y237" s="135"/>
      <c r="Z237" s="135"/>
      <c r="AA237" s="135"/>
    </row>
    <row r="238" customFormat="false" ht="15.75" hidden="false" customHeight="true" outlineLevel="0" collapsed="false">
      <c r="A238" s="135"/>
      <c r="B238" s="135"/>
      <c r="C238" s="135"/>
      <c r="D238" s="135"/>
      <c r="E238" s="189"/>
      <c r="F238" s="135"/>
      <c r="G238" s="256"/>
      <c r="H238" s="256"/>
      <c r="I238" s="135"/>
      <c r="J238" s="135"/>
      <c r="K238" s="135"/>
      <c r="L238" s="135"/>
      <c r="M238" s="135"/>
      <c r="N238" s="135"/>
      <c r="O238" s="135"/>
      <c r="P238" s="135"/>
      <c r="Q238" s="135"/>
      <c r="R238" s="135"/>
      <c r="S238" s="135"/>
      <c r="T238" s="135"/>
      <c r="U238" s="189"/>
      <c r="V238" s="135"/>
      <c r="W238" s="135"/>
      <c r="X238" s="135"/>
      <c r="Y238" s="135"/>
      <c r="Z238" s="135"/>
      <c r="AA238" s="135"/>
    </row>
    <row r="239" customFormat="false" ht="15.75" hidden="false" customHeight="true" outlineLevel="0" collapsed="false">
      <c r="A239" s="135"/>
      <c r="B239" s="135"/>
      <c r="C239" s="135"/>
      <c r="D239" s="135"/>
      <c r="E239" s="189"/>
      <c r="F239" s="135"/>
      <c r="G239" s="256"/>
      <c r="H239" s="256"/>
      <c r="I239" s="135"/>
      <c r="J239" s="135"/>
      <c r="K239" s="135"/>
      <c r="L239" s="135"/>
      <c r="M239" s="135"/>
      <c r="N239" s="135"/>
      <c r="O239" s="135"/>
      <c r="P239" s="135"/>
      <c r="Q239" s="135"/>
      <c r="R239" s="135"/>
      <c r="S239" s="135"/>
      <c r="T239" s="135"/>
      <c r="U239" s="189"/>
      <c r="V239" s="135"/>
      <c r="W239" s="135"/>
      <c r="X239" s="135"/>
      <c r="Y239" s="135"/>
      <c r="Z239" s="135"/>
      <c r="AA239" s="135"/>
    </row>
    <row r="240" customFormat="false" ht="15.75" hidden="false" customHeight="true" outlineLevel="0" collapsed="false">
      <c r="A240" s="135"/>
      <c r="B240" s="135"/>
      <c r="C240" s="135"/>
      <c r="D240" s="135"/>
      <c r="E240" s="189"/>
      <c r="F240" s="135"/>
      <c r="G240" s="256"/>
      <c r="H240" s="256"/>
      <c r="I240" s="135"/>
      <c r="J240" s="135"/>
      <c r="K240" s="135"/>
      <c r="L240" s="135"/>
      <c r="M240" s="135"/>
      <c r="N240" s="135"/>
      <c r="O240" s="135"/>
      <c r="P240" s="135"/>
      <c r="Q240" s="135"/>
      <c r="R240" s="135"/>
      <c r="S240" s="135"/>
      <c r="T240" s="135"/>
      <c r="U240" s="189"/>
      <c r="V240" s="135"/>
      <c r="W240" s="135"/>
      <c r="X240" s="135"/>
      <c r="Y240" s="135"/>
      <c r="Z240" s="135"/>
      <c r="AA240" s="135"/>
    </row>
    <row r="241" customFormat="false" ht="15.75" hidden="false" customHeight="true" outlineLevel="0" collapsed="false">
      <c r="A241" s="135"/>
      <c r="B241" s="135"/>
      <c r="C241" s="135"/>
      <c r="D241" s="135"/>
      <c r="E241" s="189"/>
      <c r="F241" s="135"/>
      <c r="G241" s="256"/>
      <c r="H241" s="256"/>
      <c r="I241" s="135"/>
      <c r="J241" s="135"/>
      <c r="K241" s="135"/>
      <c r="L241" s="135"/>
      <c r="M241" s="135"/>
      <c r="N241" s="135"/>
      <c r="O241" s="135"/>
      <c r="P241" s="135"/>
      <c r="Q241" s="135"/>
      <c r="R241" s="135"/>
      <c r="S241" s="135"/>
      <c r="T241" s="135"/>
      <c r="U241" s="189"/>
      <c r="V241" s="135"/>
      <c r="W241" s="135"/>
      <c r="X241" s="135"/>
      <c r="Y241" s="135"/>
      <c r="Z241" s="135"/>
      <c r="AA241" s="135"/>
    </row>
    <row r="242" customFormat="false" ht="15.75" hidden="false" customHeight="true" outlineLevel="0" collapsed="false">
      <c r="A242" s="135"/>
      <c r="B242" s="135"/>
      <c r="C242" s="135"/>
      <c r="D242" s="135"/>
      <c r="E242" s="189"/>
      <c r="F242" s="135"/>
      <c r="G242" s="256"/>
      <c r="H242" s="256"/>
      <c r="I242" s="135"/>
      <c r="J242" s="135"/>
      <c r="K242" s="135"/>
      <c r="L242" s="135"/>
      <c r="M242" s="135"/>
      <c r="N242" s="135"/>
      <c r="O242" s="135"/>
      <c r="P242" s="135"/>
      <c r="Q242" s="135"/>
      <c r="R242" s="135"/>
      <c r="S242" s="135"/>
      <c r="T242" s="135"/>
      <c r="U242" s="189"/>
      <c r="V242" s="135"/>
      <c r="W242" s="135"/>
      <c r="X242" s="135"/>
      <c r="Y242" s="135"/>
      <c r="Z242" s="135"/>
      <c r="AA242" s="135"/>
    </row>
    <row r="243" customFormat="false" ht="15.75" hidden="false" customHeight="true" outlineLevel="0" collapsed="false">
      <c r="A243" s="135"/>
      <c r="B243" s="135"/>
      <c r="C243" s="135"/>
      <c r="D243" s="135"/>
      <c r="E243" s="189"/>
      <c r="F243" s="135"/>
      <c r="G243" s="256"/>
      <c r="H243" s="256"/>
      <c r="I243" s="135"/>
      <c r="J243" s="135"/>
      <c r="K243" s="135"/>
      <c r="L243" s="135"/>
      <c r="M243" s="135"/>
      <c r="N243" s="135"/>
      <c r="O243" s="135"/>
      <c r="P243" s="135"/>
      <c r="Q243" s="135"/>
      <c r="R243" s="135"/>
      <c r="S243" s="135"/>
      <c r="T243" s="135"/>
      <c r="U243" s="189"/>
      <c r="V243" s="135"/>
      <c r="W243" s="135"/>
      <c r="X243" s="135"/>
      <c r="Y243" s="135"/>
      <c r="Z243" s="135"/>
      <c r="AA243" s="135"/>
    </row>
    <row r="244" customFormat="false" ht="15.75" hidden="false" customHeight="true" outlineLevel="0" collapsed="false">
      <c r="A244" s="135"/>
      <c r="B244" s="135"/>
      <c r="C244" s="135"/>
      <c r="D244" s="135"/>
      <c r="E244" s="189"/>
      <c r="F244" s="135"/>
      <c r="G244" s="256"/>
      <c r="H244" s="256"/>
      <c r="I244" s="135"/>
      <c r="J244" s="135"/>
      <c r="K244" s="135"/>
      <c r="L244" s="135"/>
      <c r="M244" s="135"/>
      <c r="N244" s="135"/>
      <c r="O244" s="135"/>
      <c r="P244" s="135"/>
      <c r="Q244" s="135"/>
      <c r="R244" s="135"/>
      <c r="S244" s="135"/>
      <c r="T244" s="135"/>
      <c r="U244" s="189"/>
      <c r="V244" s="135"/>
      <c r="W244" s="135"/>
      <c r="X244" s="135"/>
      <c r="Y244" s="135"/>
      <c r="Z244" s="135"/>
      <c r="AA244" s="135"/>
    </row>
    <row r="245" customFormat="false" ht="15.75" hidden="false" customHeight="true" outlineLevel="0" collapsed="false">
      <c r="A245" s="135"/>
      <c r="B245" s="135"/>
      <c r="C245" s="135"/>
      <c r="D245" s="135"/>
      <c r="E245" s="189"/>
      <c r="F245" s="135"/>
      <c r="G245" s="256"/>
      <c r="H245" s="256"/>
      <c r="I245" s="135"/>
      <c r="J245" s="135"/>
      <c r="K245" s="135"/>
      <c r="L245" s="135"/>
      <c r="M245" s="135"/>
      <c r="N245" s="135"/>
      <c r="O245" s="135"/>
      <c r="P245" s="135"/>
      <c r="Q245" s="135"/>
      <c r="R245" s="135"/>
      <c r="S245" s="135"/>
      <c r="T245" s="135"/>
      <c r="U245" s="189"/>
      <c r="V245" s="135"/>
      <c r="W245" s="135"/>
      <c r="X245" s="135"/>
      <c r="Y245" s="135"/>
      <c r="Z245" s="135"/>
      <c r="AA245" s="135"/>
    </row>
    <row r="246" customFormat="false" ht="15.75" hidden="false" customHeight="true" outlineLevel="0" collapsed="false">
      <c r="A246" s="135"/>
      <c r="B246" s="135"/>
      <c r="C246" s="135"/>
      <c r="D246" s="135"/>
      <c r="E246" s="189"/>
      <c r="F246" s="135"/>
      <c r="G246" s="256"/>
      <c r="H246" s="256"/>
      <c r="I246" s="135"/>
      <c r="J246" s="135"/>
      <c r="K246" s="135"/>
      <c r="L246" s="135"/>
      <c r="M246" s="135"/>
      <c r="N246" s="135"/>
      <c r="O246" s="135"/>
      <c r="P246" s="135"/>
      <c r="Q246" s="135"/>
      <c r="R246" s="135"/>
      <c r="S246" s="135"/>
      <c r="T246" s="135"/>
      <c r="U246" s="189"/>
      <c r="V246" s="135"/>
      <c r="W246" s="135"/>
      <c r="X246" s="135"/>
      <c r="Y246" s="135"/>
      <c r="Z246" s="135"/>
      <c r="AA246" s="135"/>
    </row>
    <row r="247" customFormat="false" ht="15.75" hidden="false" customHeight="true" outlineLevel="0" collapsed="false">
      <c r="A247" s="135"/>
      <c r="B247" s="135"/>
      <c r="C247" s="135"/>
      <c r="D247" s="135"/>
      <c r="E247" s="189"/>
      <c r="F247" s="135"/>
      <c r="G247" s="256"/>
      <c r="H247" s="256"/>
      <c r="I247" s="135"/>
      <c r="J247" s="135"/>
      <c r="K247" s="135"/>
      <c r="L247" s="135"/>
      <c r="M247" s="135"/>
      <c r="N247" s="135"/>
      <c r="O247" s="135"/>
      <c r="P247" s="135"/>
      <c r="Q247" s="135"/>
      <c r="R247" s="135"/>
      <c r="S247" s="135"/>
      <c r="T247" s="135"/>
      <c r="U247" s="189"/>
      <c r="V247" s="135"/>
      <c r="W247" s="135"/>
      <c r="X247" s="135"/>
      <c r="Y247" s="135"/>
      <c r="Z247" s="135"/>
      <c r="AA247" s="135"/>
    </row>
    <row r="248" customFormat="false" ht="15.75" hidden="false" customHeight="true" outlineLevel="0" collapsed="false">
      <c r="A248" s="135"/>
      <c r="B248" s="135"/>
      <c r="C248" s="135"/>
      <c r="D248" s="135"/>
      <c r="E248" s="189"/>
      <c r="F248" s="135"/>
      <c r="G248" s="256"/>
      <c r="H248" s="256"/>
      <c r="I248" s="135"/>
      <c r="J248" s="135"/>
      <c r="K248" s="135"/>
      <c r="L248" s="135"/>
      <c r="M248" s="135"/>
      <c r="N248" s="135"/>
      <c r="O248" s="135"/>
      <c r="P248" s="135"/>
      <c r="Q248" s="135"/>
      <c r="R248" s="135"/>
      <c r="S248" s="135"/>
      <c r="T248" s="135"/>
      <c r="U248" s="189"/>
      <c r="V248" s="135"/>
      <c r="W248" s="135"/>
      <c r="X248" s="135"/>
      <c r="Y248" s="135"/>
      <c r="Z248" s="135"/>
      <c r="AA248" s="135"/>
    </row>
    <row r="249" customFormat="false" ht="15.75" hidden="false" customHeight="true" outlineLevel="0" collapsed="false">
      <c r="A249" s="135"/>
      <c r="B249" s="135"/>
      <c r="C249" s="135"/>
      <c r="D249" s="135"/>
      <c r="E249" s="189"/>
      <c r="F249" s="135"/>
      <c r="G249" s="256"/>
      <c r="H249" s="256"/>
      <c r="I249" s="135"/>
      <c r="J249" s="135"/>
      <c r="K249" s="135"/>
      <c r="L249" s="135"/>
      <c r="M249" s="135"/>
      <c r="N249" s="135"/>
      <c r="O249" s="135"/>
      <c r="P249" s="135"/>
      <c r="Q249" s="135"/>
      <c r="R249" s="135"/>
      <c r="S249" s="135"/>
      <c r="T249" s="135"/>
      <c r="U249" s="189"/>
      <c r="V249" s="135"/>
      <c r="W249" s="135"/>
      <c r="X249" s="135"/>
      <c r="Y249" s="135"/>
      <c r="Z249" s="135"/>
      <c r="AA249" s="135"/>
    </row>
    <row r="250" customFormat="false" ht="15.75" hidden="false" customHeight="true" outlineLevel="0" collapsed="false">
      <c r="A250" s="135"/>
      <c r="B250" s="135"/>
      <c r="C250" s="135"/>
      <c r="D250" s="135"/>
      <c r="E250" s="189"/>
      <c r="F250" s="135"/>
      <c r="G250" s="256"/>
      <c r="H250" s="256"/>
      <c r="I250" s="135"/>
      <c r="J250" s="135"/>
      <c r="K250" s="135"/>
      <c r="L250" s="135"/>
      <c r="M250" s="135"/>
      <c r="N250" s="135"/>
      <c r="O250" s="135"/>
      <c r="P250" s="135"/>
      <c r="Q250" s="135"/>
      <c r="R250" s="135"/>
      <c r="S250" s="135"/>
      <c r="T250" s="135"/>
      <c r="U250" s="189"/>
      <c r="V250" s="135"/>
      <c r="W250" s="135"/>
      <c r="X250" s="135"/>
      <c r="Y250" s="135"/>
      <c r="Z250" s="135"/>
      <c r="AA250" s="135"/>
    </row>
    <row r="251" customFormat="false" ht="15.75" hidden="false" customHeight="true" outlineLevel="0" collapsed="false">
      <c r="A251" s="135"/>
      <c r="B251" s="135"/>
      <c r="C251" s="135"/>
      <c r="D251" s="135"/>
      <c r="E251" s="189"/>
      <c r="F251" s="135"/>
      <c r="G251" s="256"/>
      <c r="H251" s="256"/>
      <c r="I251" s="135"/>
      <c r="J251" s="135"/>
      <c r="K251" s="135"/>
      <c r="L251" s="135"/>
      <c r="M251" s="135"/>
      <c r="N251" s="135"/>
      <c r="O251" s="135"/>
      <c r="P251" s="135"/>
      <c r="Q251" s="135"/>
      <c r="R251" s="135"/>
      <c r="S251" s="135"/>
      <c r="T251" s="135"/>
      <c r="U251" s="189"/>
      <c r="V251" s="135"/>
      <c r="W251" s="135"/>
      <c r="X251" s="135"/>
      <c r="Y251" s="135"/>
      <c r="Z251" s="135"/>
      <c r="AA251" s="135"/>
    </row>
    <row r="252" customFormat="false" ht="15.75" hidden="false" customHeight="true" outlineLevel="0" collapsed="false">
      <c r="A252" s="135"/>
      <c r="B252" s="135"/>
      <c r="C252" s="135"/>
      <c r="D252" s="135"/>
      <c r="E252" s="189"/>
      <c r="F252" s="135"/>
      <c r="G252" s="256"/>
      <c r="H252" s="256"/>
      <c r="I252" s="135"/>
      <c r="J252" s="135"/>
      <c r="K252" s="135"/>
      <c r="L252" s="135"/>
      <c r="M252" s="135"/>
      <c r="N252" s="135"/>
      <c r="O252" s="135"/>
      <c r="P252" s="135"/>
      <c r="Q252" s="135"/>
      <c r="R252" s="135"/>
      <c r="S252" s="135"/>
      <c r="T252" s="135"/>
      <c r="U252" s="189"/>
      <c r="V252" s="135"/>
      <c r="W252" s="135"/>
      <c r="X252" s="135"/>
      <c r="Y252" s="135"/>
      <c r="Z252" s="135"/>
      <c r="AA252" s="135"/>
    </row>
    <row r="253" customFormat="false" ht="15.75" hidden="false" customHeight="true" outlineLevel="0" collapsed="false">
      <c r="A253" s="135"/>
      <c r="B253" s="135"/>
      <c r="C253" s="135"/>
      <c r="D253" s="135"/>
      <c r="E253" s="189"/>
      <c r="F253" s="135"/>
      <c r="G253" s="256"/>
      <c r="H253" s="256"/>
      <c r="I253" s="135"/>
      <c r="J253" s="135"/>
      <c r="K253" s="135"/>
      <c r="L253" s="135"/>
      <c r="M253" s="135"/>
      <c r="N253" s="135"/>
      <c r="O253" s="135"/>
      <c r="P253" s="135"/>
      <c r="Q253" s="135"/>
      <c r="R253" s="135"/>
      <c r="S253" s="135"/>
      <c r="T253" s="135"/>
      <c r="U253" s="189"/>
      <c r="V253" s="135"/>
      <c r="W253" s="135"/>
      <c r="X253" s="135"/>
      <c r="Y253" s="135"/>
      <c r="Z253" s="135"/>
      <c r="AA253" s="135"/>
    </row>
    <row r="254" customFormat="false" ht="15.75" hidden="false" customHeight="true" outlineLevel="0" collapsed="false">
      <c r="A254" s="135"/>
      <c r="B254" s="135"/>
      <c r="C254" s="135"/>
      <c r="D254" s="135"/>
      <c r="E254" s="189"/>
      <c r="F254" s="135"/>
      <c r="G254" s="256"/>
      <c r="H254" s="256"/>
      <c r="I254" s="135"/>
      <c r="J254" s="135"/>
      <c r="K254" s="135"/>
      <c r="L254" s="135"/>
      <c r="M254" s="135"/>
      <c r="N254" s="135"/>
      <c r="O254" s="135"/>
      <c r="P254" s="135"/>
      <c r="Q254" s="135"/>
      <c r="R254" s="135"/>
      <c r="S254" s="135"/>
      <c r="T254" s="135"/>
      <c r="U254" s="189"/>
      <c r="V254" s="135"/>
      <c r="W254" s="135"/>
      <c r="X254" s="135"/>
      <c r="Y254" s="135"/>
      <c r="Z254" s="135"/>
      <c r="AA254" s="135"/>
    </row>
    <row r="255" customFormat="false" ht="15.75" hidden="false" customHeight="true" outlineLevel="0" collapsed="false">
      <c r="A255" s="135"/>
      <c r="B255" s="135"/>
      <c r="C255" s="135"/>
      <c r="D255" s="135"/>
      <c r="E255" s="189"/>
      <c r="F255" s="135"/>
      <c r="G255" s="256"/>
      <c r="H255" s="256"/>
      <c r="I255" s="135"/>
      <c r="J255" s="135"/>
      <c r="K255" s="135"/>
      <c r="L255" s="135"/>
      <c r="M255" s="135"/>
      <c r="N255" s="135"/>
      <c r="O255" s="135"/>
      <c r="P255" s="135"/>
      <c r="Q255" s="135"/>
      <c r="R255" s="135"/>
      <c r="S255" s="135"/>
      <c r="T255" s="135"/>
      <c r="U255" s="189"/>
      <c r="V255" s="135"/>
      <c r="W255" s="135"/>
      <c r="X255" s="135"/>
      <c r="Y255" s="135"/>
      <c r="Z255" s="135"/>
      <c r="AA255" s="135"/>
    </row>
    <row r="256" customFormat="false" ht="15.75" hidden="false" customHeight="true" outlineLevel="0" collapsed="false">
      <c r="A256" s="135"/>
      <c r="B256" s="135"/>
      <c r="C256" s="135"/>
      <c r="D256" s="135"/>
      <c r="E256" s="189"/>
      <c r="F256" s="135"/>
      <c r="G256" s="256"/>
      <c r="H256" s="256"/>
      <c r="I256" s="135"/>
      <c r="J256" s="135"/>
      <c r="K256" s="135"/>
      <c r="L256" s="135"/>
      <c r="M256" s="135"/>
      <c r="N256" s="135"/>
      <c r="O256" s="135"/>
      <c r="P256" s="135"/>
      <c r="Q256" s="135"/>
      <c r="R256" s="135"/>
      <c r="S256" s="135"/>
      <c r="T256" s="135"/>
      <c r="U256" s="189"/>
      <c r="V256" s="135"/>
      <c r="W256" s="135"/>
      <c r="X256" s="135"/>
      <c r="Y256" s="135"/>
      <c r="Z256" s="135"/>
      <c r="AA256" s="135"/>
    </row>
    <row r="257" customFormat="false" ht="15.75" hidden="false" customHeight="true" outlineLevel="0" collapsed="false">
      <c r="A257" s="135"/>
      <c r="B257" s="135"/>
      <c r="C257" s="135"/>
      <c r="D257" s="135"/>
      <c r="E257" s="189"/>
      <c r="F257" s="135"/>
      <c r="G257" s="256"/>
      <c r="H257" s="256"/>
      <c r="I257" s="135"/>
      <c r="J257" s="135"/>
      <c r="K257" s="135"/>
      <c r="L257" s="135"/>
      <c r="M257" s="135"/>
      <c r="N257" s="135"/>
      <c r="O257" s="135"/>
      <c r="P257" s="135"/>
      <c r="Q257" s="135"/>
      <c r="R257" s="135"/>
      <c r="S257" s="135"/>
      <c r="T257" s="135"/>
      <c r="U257" s="189"/>
      <c r="V257" s="135"/>
      <c r="W257" s="135"/>
      <c r="X257" s="135"/>
      <c r="Y257" s="135"/>
      <c r="Z257" s="135"/>
      <c r="AA257" s="135"/>
    </row>
    <row r="258" customFormat="false" ht="15.75" hidden="false" customHeight="true" outlineLevel="0" collapsed="false">
      <c r="A258" s="135"/>
      <c r="B258" s="135"/>
      <c r="C258" s="135"/>
      <c r="D258" s="135"/>
      <c r="E258" s="189"/>
      <c r="F258" s="135"/>
      <c r="G258" s="256"/>
      <c r="H258" s="256"/>
      <c r="I258" s="135"/>
      <c r="J258" s="135"/>
      <c r="K258" s="135"/>
      <c r="L258" s="135"/>
      <c r="M258" s="135"/>
      <c r="N258" s="135"/>
      <c r="O258" s="135"/>
      <c r="P258" s="135"/>
      <c r="Q258" s="135"/>
      <c r="R258" s="135"/>
      <c r="S258" s="135"/>
      <c r="T258" s="135"/>
      <c r="U258" s="189"/>
      <c r="V258" s="135"/>
      <c r="W258" s="135"/>
      <c r="X258" s="135"/>
      <c r="Y258" s="135"/>
      <c r="Z258" s="135"/>
      <c r="AA258" s="135"/>
    </row>
    <row r="259" customFormat="false" ht="15.75" hidden="false" customHeight="true" outlineLevel="0" collapsed="false">
      <c r="A259" s="135"/>
      <c r="B259" s="135"/>
      <c r="C259" s="135"/>
      <c r="D259" s="135"/>
      <c r="E259" s="189"/>
      <c r="F259" s="135"/>
      <c r="G259" s="256"/>
      <c r="H259" s="256"/>
      <c r="I259" s="135"/>
      <c r="J259" s="135"/>
      <c r="K259" s="135"/>
      <c r="L259" s="135"/>
      <c r="M259" s="135"/>
      <c r="N259" s="135"/>
      <c r="O259" s="135"/>
      <c r="P259" s="135"/>
      <c r="Q259" s="135"/>
      <c r="R259" s="135"/>
      <c r="S259" s="135"/>
      <c r="T259" s="135"/>
      <c r="U259" s="189"/>
      <c r="V259" s="135"/>
      <c r="W259" s="135"/>
      <c r="X259" s="135"/>
      <c r="Y259" s="135"/>
      <c r="Z259" s="135"/>
      <c r="AA259" s="135"/>
    </row>
    <row r="260" customFormat="false" ht="15.75" hidden="false" customHeight="true" outlineLevel="0" collapsed="false">
      <c r="A260" s="135"/>
      <c r="B260" s="135"/>
      <c r="C260" s="135"/>
      <c r="D260" s="135"/>
      <c r="E260" s="189"/>
      <c r="F260" s="135"/>
      <c r="G260" s="256"/>
      <c r="H260" s="256"/>
      <c r="I260" s="135"/>
      <c r="J260" s="135"/>
      <c r="K260" s="135"/>
      <c r="L260" s="135"/>
      <c r="M260" s="135"/>
      <c r="N260" s="135"/>
      <c r="O260" s="135"/>
      <c r="P260" s="135"/>
      <c r="Q260" s="135"/>
      <c r="R260" s="135"/>
      <c r="S260" s="135"/>
      <c r="T260" s="135"/>
      <c r="U260" s="189"/>
      <c r="V260" s="135"/>
      <c r="W260" s="135"/>
      <c r="X260" s="135"/>
      <c r="Y260" s="135"/>
      <c r="Z260" s="135"/>
      <c r="AA260" s="135"/>
    </row>
    <row r="261" customFormat="false" ht="15.75" hidden="false" customHeight="true" outlineLevel="0" collapsed="false">
      <c r="A261" s="135"/>
      <c r="B261" s="135"/>
      <c r="C261" s="135"/>
      <c r="D261" s="135"/>
      <c r="E261" s="189"/>
      <c r="F261" s="135"/>
      <c r="G261" s="256"/>
      <c r="H261" s="256"/>
      <c r="I261" s="135"/>
      <c r="J261" s="135"/>
      <c r="K261" s="135"/>
      <c r="L261" s="135"/>
      <c r="M261" s="135"/>
      <c r="N261" s="135"/>
      <c r="O261" s="135"/>
      <c r="P261" s="135"/>
      <c r="Q261" s="135"/>
      <c r="R261" s="135"/>
      <c r="S261" s="135"/>
      <c r="T261" s="135"/>
      <c r="U261" s="189"/>
      <c r="V261" s="135"/>
      <c r="W261" s="135"/>
      <c r="X261" s="135"/>
      <c r="Y261" s="135"/>
      <c r="Z261" s="135"/>
      <c r="AA261" s="135"/>
    </row>
    <row r="262" customFormat="false" ht="15.75" hidden="false" customHeight="true" outlineLevel="0" collapsed="false">
      <c r="A262" s="135"/>
      <c r="B262" s="135"/>
      <c r="C262" s="135"/>
      <c r="D262" s="135"/>
      <c r="E262" s="189"/>
      <c r="F262" s="135"/>
      <c r="G262" s="256"/>
      <c r="H262" s="256"/>
      <c r="I262" s="135"/>
      <c r="J262" s="135"/>
      <c r="K262" s="135"/>
      <c r="L262" s="135"/>
      <c r="M262" s="135"/>
      <c r="N262" s="135"/>
      <c r="O262" s="135"/>
      <c r="P262" s="135"/>
      <c r="Q262" s="135"/>
      <c r="R262" s="135"/>
      <c r="S262" s="135"/>
      <c r="T262" s="135"/>
      <c r="U262" s="189"/>
      <c r="V262" s="135"/>
      <c r="W262" s="135"/>
      <c r="X262" s="135"/>
      <c r="Y262" s="135"/>
      <c r="Z262" s="135"/>
      <c r="AA262" s="135"/>
    </row>
    <row r="263" customFormat="false" ht="15.75" hidden="false" customHeight="true" outlineLevel="0" collapsed="false">
      <c r="A263" s="135"/>
      <c r="B263" s="135"/>
      <c r="C263" s="135"/>
      <c r="D263" s="135"/>
      <c r="E263" s="189"/>
      <c r="F263" s="135"/>
      <c r="G263" s="256"/>
      <c r="H263" s="256"/>
      <c r="I263" s="135"/>
      <c r="J263" s="135"/>
      <c r="K263" s="135"/>
      <c r="L263" s="135"/>
      <c r="M263" s="135"/>
      <c r="N263" s="135"/>
      <c r="O263" s="135"/>
      <c r="P263" s="135"/>
      <c r="Q263" s="135"/>
      <c r="R263" s="135"/>
      <c r="S263" s="135"/>
      <c r="T263" s="135"/>
      <c r="U263" s="189"/>
      <c r="V263" s="135"/>
      <c r="W263" s="135"/>
      <c r="X263" s="135"/>
      <c r="Y263" s="135"/>
      <c r="Z263" s="135"/>
      <c r="AA263" s="135"/>
    </row>
    <row r="264" customFormat="false" ht="15.75" hidden="false" customHeight="true" outlineLevel="0" collapsed="false">
      <c r="A264" s="135"/>
      <c r="B264" s="135"/>
      <c r="C264" s="135"/>
      <c r="D264" s="135"/>
      <c r="E264" s="189"/>
      <c r="F264" s="135"/>
      <c r="G264" s="256"/>
      <c r="H264" s="256"/>
      <c r="I264" s="135"/>
      <c r="J264" s="135"/>
      <c r="K264" s="135"/>
      <c r="L264" s="135"/>
      <c r="M264" s="135"/>
      <c r="N264" s="135"/>
      <c r="O264" s="135"/>
      <c r="P264" s="135"/>
      <c r="Q264" s="135"/>
      <c r="R264" s="135"/>
      <c r="S264" s="135"/>
      <c r="T264" s="135"/>
      <c r="U264" s="189"/>
      <c r="V264" s="135"/>
      <c r="W264" s="135"/>
      <c r="X264" s="135"/>
      <c r="Y264" s="135"/>
      <c r="Z264" s="135"/>
      <c r="AA264" s="135"/>
    </row>
    <row r="265" customFormat="false" ht="15.75" hidden="false" customHeight="true" outlineLevel="0" collapsed="false">
      <c r="A265" s="135"/>
      <c r="B265" s="135"/>
      <c r="C265" s="135"/>
      <c r="D265" s="135"/>
      <c r="E265" s="189"/>
      <c r="F265" s="135"/>
      <c r="G265" s="256"/>
      <c r="H265" s="256"/>
      <c r="I265" s="135"/>
      <c r="J265" s="135"/>
      <c r="K265" s="135"/>
      <c r="L265" s="135"/>
      <c r="M265" s="135"/>
      <c r="N265" s="135"/>
      <c r="O265" s="135"/>
      <c r="P265" s="135"/>
      <c r="Q265" s="135"/>
      <c r="R265" s="135"/>
      <c r="S265" s="135"/>
      <c r="T265" s="135"/>
      <c r="U265" s="189"/>
      <c r="V265" s="135"/>
      <c r="W265" s="135"/>
      <c r="X265" s="135"/>
      <c r="Y265" s="135"/>
      <c r="Z265" s="135"/>
      <c r="AA265" s="135"/>
    </row>
    <row r="266" customFormat="false" ht="15.75" hidden="false" customHeight="true" outlineLevel="0" collapsed="false">
      <c r="A266" s="135"/>
      <c r="B266" s="135"/>
      <c r="C266" s="135"/>
      <c r="D266" s="135"/>
      <c r="E266" s="189"/>
      <c r="F266" s="135"/>
      <c r="G266" s="256"/>
      <c r="H266" s="256"/>
      <c r="I266" s="135"/>
      <c r="J266" s="135"/>
      <c r="K266" s="135"/>
      <c r="L266" s="135"/>
      <c r="M266" s="135"/>
      <c r="N266" s="135"/>
      <c r="O266" s="135"/>
      <c r="P266" s="135"/>
      <c r="Q266" s="135"/>
      <c r="R266" s="135"/>
      <c r="S266" s="135"/>
      <c r="T266" s="135"/>
      <c r="U266" s="189"/>
      <c r="V266" s="135"/>
      <c r="W266" s="135"/>
      <c r="X266" s="135"/>
      <c r="Y266" s="135"/>
      <c r="Z266" s="135"/>
      <c r="AA266" s="135"/>
    </row>
    <row r="267" customFormat="false" ht="15.75" hidden="false" customHeight="true" outlineLevel="0" collapsed="false">
      <c r="A267" s="135"/>
      <c r="B267" s="135"/>
      <c r="C267" s="135"/>
      <c r="D267" s="135"/>
      <c r="E267" s="189"/>
      <c r="F267" s="135"/>
      <c r="G267" s="256"/>
      <c r="H267" s="256"/>
      <c r="I267" s="135"/>
      <c r="J267" s="135"/>
      <c r="K267" s="135"/>
      <c r="L267" s="135"/>
      <c r="M267" s="135"/>
      <c r="N267" s="135"/>
      <c r="O267" s="135"/>
      <c r="P267" s="135"/>
      <c r="Q267" s="135"/>
      <c r="R267" s="135"/>
      <c r="S267" s="135"/>
      <c r="T267" s="135"/>
      <c r="U267" s="189"/>
      <c r="V267" s="135"/>
      <c r="W267" s="135"/>
      <c r="X267" s="135"/>
      <c r="Y267" s="135"/>
      <c r="Z267" s="135"/>
      <c r="AA267" s="135"/>
    </row>
    <row r="268" customFormat="false" ht="15.75" hidden="false" customHeight="true" outlineLevel="0" collapsed="false">
      <c r="A268" s="135"/>
      <c r="B268" s="135"/>
      <c r="C268" s="135"/>
      <c r="D268" s="135"/>
      <c r="E268" s="189"/>
      <c r="F268" s="135"/>
      <c r="G268" s="256"/>
      <c r="H268" s="256"/>
      <c r="I268" s="135"/>
      <c r="J268" s="135"/>
      <c r="K268" s="135"/>
      <c r="L268" s="135"/>
      <c r="M268" s="135"/>
      <c r="N268" s="135"/>
      <c r="O268" s="135"/>
      <c r="P268" s="135"/>
      <c r="Q268" s="135"/>
      <c r="R268" s="135"/>
      <c r="S268" s="135"/>
      <c r="T268" s="135"/>
      <c r="U268" s="189"/>
      <c r="V268" s="135"/>
      <c r="W268" s="135"/>
      <c r="X268" s="135"/>
      <c r="Y268" s="135"/>
      <c r="Z268" s="135"/>
      <c r="AA268" s="135"/>
    </row>
    <row r="269" customFormat="false" ht="15.75" hidden="false" customHeight="true" outlineLevel="0" collapsed="false">
      <c r="A269" s="135"/>
      <c r="B269" s="135"/>
      <c r="C269" s="135"/>
      <c r="D269" s="135"/>
      <c r="E269" s="189"/>
      <c r="F269" s="135"/>
      <c r="G269" s="256"/>
      <c r="H269" s="256"/>
      <c r="I269" s="135"/>
      <c r="J269" s="135"/>
      <c r="K269" s="135"/>
      <c r="L269" s="135"/>
      <c r="M269" s="135"/>
      <c r="N269" s="135"/>
      <c r="O269" s="135"/>
      <c r="P269" s="135"/>
      <c r="Q269" s="135"/>
      <c r="R269" s="135"/>
      <c r="S269" s="135"/>
      <c r="T269" s="135"/>
      <c r="U269" s="189"/>
      <c r="V269" s="135"/>
      <c r="W269" s="135"/>
      <c r="X269" s="135"/>
      <c r="Y269" s="135"/>
      <c r="Z269" s="135"/>
      <c r="AA269" s="135"/>
    </row>
    <row r="270" customFormat="false" ht="15.75" hidden="false" customHeight="true" outlineLevel="0" collapsed="false">
      <c r="A270" s="135"/>
      <c r="B270" s="135"/>
      <c r="C270" s="135"/>
      <c r="D270" s="135"/>
      <c r="E270" s="189"/>
      <c r="F270" s="135"/>
      <c r="G270" s="256"/>
      <c r="H270" s="256"/>
      <c r="I270" s="135"/>
      <c r="J270" s="135"/>
      <c r="K270" s="135"/>
      <c r="L270" s="135"/>
      <c r="M270" s="135"/>
      <c r="N270" s="135"/>
      <c r="O270" s="135"/>
      <c r="P270" s="135"/>
      <c r="Q270" s="135"/>
      <c r="R270" s="135"/>
      <c r="S270" s="135"/>
      <c r="T270" s="135"/>
      <c r="U270" s="189"/>
      <c r="V270" s="135"/>
      <c r="W270" s="135"/>
      <c r="X270" s="135"/>
      <c r="Y270" s="135"/>
      <c r="Z270" s="135"/>
      <c r="AA270" s="135"/>
    </row>
    <row r="271" customFormat="false" ht="15.75" hidden="false" customHeight="true" outlineLevel="0" collapsed="false">
      <c r="A271" s="135"/>
      <c r="B271" s="135"/>
      <c r="C271" s="135"/>
      <c r="D271" s="135"/>
      <c r="E271" s="189"/>
      <c r="F271" s="135"/>
      <c r="G271" s="256"/>
      <c r="H271" s="256"/>
      <c r="I271" s="135"/>
      <c r="J271" s="135"/>
      <c r="K271" s="135"/>
      <c r="L271" s="135"/>
      <c r="M271" s="135"/>
      <c r="N271" s="135"/>
      <c r="O271" s="135"/>
      <c r="P271" s="135"/>
      <c r="Q271" s="135"/>
      <c r="R271" s="135"/>
      <c r="S271" s="135"/>
      <c r="T271" s="135"/>
      <c r="U271" s="189"/>
      <c r="V271" s="135"/>
      <c r="W271" s="135"/>
      <c r="X271" s="135"/>
      <c r="Y271" s="135"/>
      <c r="Z271" s="135"/>
      <c r="AA271" s="135"/>
    </row>
    <row r="272" customFormat="false" ht="15.75" hidden="false" customHeight="true" outlineLevel="0" collapsed="false">
      <c r="A272" s="135"/>
      <c r="B272" s="135"/>
      <c r="C272" s="135"/>
      <c r="D272" s="135"/>
      <c r="E272" s="189"/>
      <c r="F272" s="135"/>
      <c r="G272" s="256"/>
      <c r="H272" s="256"/>
      <c r="I272" s="135"/>
      <c r="J272" s="135"/>
      <c r="K272" s="135"/>
      <c r="L272" s="135"/>
      <c r="M272" s="135"/>
      <c r="N272" s="135"/>
      <c r="O272" s="135"/>
      <c r="P272" s="135"/>
      <c r="Q272" s="135"/>
      <c r="R272" s="135"/>
      <c r="S272" s="135"/>
      <c r="T272" s="135"/>
      <c r="U272" s="189"/>
      <c r="V272" s="135"/>
      <c r="W272" s="135"/>
      <c r="X272" s="135"/>
      <c r="Y272" s="135"/>
      <c r="Z272" s="135"/>
      <c r="AA272" s="135"/>
    </row>
    <row r="273" customFormat="false" ht="15.75" hidden="false" customHeight="true" outlineLevel="0" collapsed="false">
      <c r="A273" s="135"/>
      <c r="B273" s="135"/>
      <c r="C273" s="135"/>
      <c r="D273" s="135"/>
      <c r="E273" s="189"/>
      <c r="F273" s="135"/>
      <c r="G273" s="256"/>
      <c r="H273" s="256"/>
      <c r="I273" s="135"/>
      <c r="J273" s="135"/>
      <c r="K273" s="135"/>
      <c r="L273" s="135"/>
      <c r="M273" s="135"/>
      <c r="N273" s="135"/>
      <c r="O273" s="135"/>
      <c r="P273" s="135"/>
      <c r="Q273" s="135"/>
      <c r="R273" s="135"/>
      <c r="S273" s="135"/>
      <c r="T273" s="135"/>
      <c r="U273" s="189"/>
      <c r="V273" s="135"/>
      <c r="W273" s="135"/>
      <c r="X273" s="135"/>
      <c r="Y273" s="135"/>
      <c r="Z273" s="135"/>
      <c r="AA273" s="135"/>
    </row>
    <row r="274" customFormat="false" ht="15.75" hidden="false" customHeight="true" outlineLevel="0" collapsed="false">
      <c r="A274" s="135"/>
      <c r="B274" s="135"/>
      <c r="C274" s="135"/>
      <c r="D274" s="135"/>
      <c r="E274" s="189"/>
      <c r="F274" s="135"/>
      <c r="G274" s="256"/>
      <c r="H274" s="256"/>
      <c r="I274" s="135"/>
      <c r="J274" s="135"/>
      <c r="K274" s="135"/>
      <c r="L274" s="135"/>
      <c r="M274" s="135"/>
      <c r="N274" s="135"/>
      <c r="O274" s="135"/>
      <c r="P274" s="135"/>
      <c r="Q274" s="135"/>
      <c r="R274" s="135"/>
      <c r="S274" s="135"/>
      <c r="T274" s="135"/>
      <c r="U274" s="189"/>
      <c r="V274" s="135"/>
      <c r="W274" s="135"/>
      <c r="X274" s="135"/>
      <c r="Y274" s="135"/>
      <c r="Z274" s="135"/>
      <c r="AA274" s="135"/>
    </row>
    <row r="275" customFormat="false" ht="15.75" hidden="false" customHeight="true" outlineLevel="0" collapsed="false">
      <c r="A275" s="135"/>
      <c r="B275" s="135"/>
      <c r="C275" s="135"/>
      <c r="D275" s="135"/>
      <c r="E275" s="189"/>
      <c r="F275" s="135"/>
      <c r="G275" s="256"/>
      <c r="H275" s="256"/>
      <c r="I275" s="135"/>
      <c r="J275" s="135"/>
      <c r="K275" s="135"/>
      <c r="L275" s="135"/>
      <c r="M275" s="135"/>
      <c r="N275" s="135"/>
      <c r="O275" s="135"/>
      <c r="P275" s="135"/>
      <c r="Q275" s="135"/>
      <c r="R275" s="135"/>
      <c r="S275" s="135"/>
      <c r="T275" s="135"/>
      <c r="U275" s="189"/>
      <c r="V275" s="135"/>
      <c r="W275" s="135"/>
      <c r="X275" s="135"/>
      <c r="Y275" s="135"/>
      <c r="Z275" s="135"/>
      <c r="AA275" s="135"/>
    </row>
    <row r="276" customFormat="false" ht="15.75" hidden="false" customHeight="true" outlineLevel="0" collapsed="false">
      <c r="A276" s="135"/>
      <c r="B276" s="135"/>
      <c r="C276" s="135"/>
      <c r="D276" s="135"/>
      <c r="E276" s="189"/>
      <c r="F276" s="135"/>
      <c r="G276" s="256"/>
      <c r="H276" s="256"/>
      <c r="I276" s="135"/>
      <c r="J276" s="135"/>
      <c r="K276" s="135"/>
      <c r="L276" s="135"/>
      <c r="M276" s="135"/>
      <c r="N276" s="135"/>
      <c r="O276" s="135"/>
      <c r="P276" s="135"/>
      <c r="Q276" s="135"/>
      <c r="R276" s="135"/>
      <c r="S276" s="135"/>
      <c r="T276" s="135"/>
      <c r="U276" s="189"/>
      <c r="V276" s="135"/>
      <c r="W276" s="135"/>
      <c r="X276" s="135"/>
      <c r="Y276" s="135"/>
      <c r="Z276" s="135"/>
      <c r="AA276" s="135"/>
    </row>
    <row r="277" customFormat="false" ht="15.75" hidden="false" customHeight="true" outlineLevel="0" collapsed="false">
      <c r="A277" s="135"/>
      <c r="B277" s="135"/>
      <c r="C277" s="135"/>
      <c r="D277" s="135"/>
      <c r="E277" s="189"/>
      <c r="F277" s="135"/>
      <c r="G277" s="256"/>
      <c r="H277" s="256"/>
      <c r="I277" s="135"/>
      <c r="J277" s="135"/>
      <c r="K277" s="135"/>
      <c r="L277" s="135"/>
      <c r="M277" s="135"/>
      <c r="N277" s="135"/>
      <c r="O277" s="135"/>
      <c r="P277" s="135"/>
      <c r="Q277" s="135"/>
      <c r="R277" s="135"/>
      <c r="S277" s="135"/>
      <c r="T277" s="135"/>
      <c r="U277" s="189"/>
      <c r="V277" s="135"/>
      <c r="W277" s="135"/>
      <c r="X277" s="135"/>
      <c r="Y277" s="135"/>
      <c r="Z277" s="135"/>
      <c r="AA277" s="135"/>
    </row>
    <row r="278" customFormat="false" ht="15.75" hidden="false" customHeight="true" outlineLevel="0" collapsed="false">
      <c r="A278" s="135"/>
      <c r="B278" s="135"/>
      <c r="C278" s="135"/>
      <c r="D278" s="135"/>
      <c r="E278" s="189"/>
      <c r="F278" s="135"/>
      <c r="G278" s="256"/>
      <c r="H278" s="256"/>
      <c r="I278" s="135"/>
      <c r="J278" s="135"/>
      <c r="K278" s="135"/>
      <c r="L278" s="135"/>
      <c r="M278" s="135"/>
      <c r="N278" s="135"/>
      <c r="O278" s="135"/>
      <c r="P278" s="135"/>
      <c r="Q278" s="135"/>
      <c r="R278" s="135"/>
      <c r="S278" s="135"/>
      <c r="T278" s="135"/>
      <c r="U278" s="189"/>
      <c r="V278" s="135"/>
      <c r="W278" s="135"/>
      <c r="X278" s="135"/>
      <c r="Y278" s="135"/>
      <c r="Z278" s="135"/>
      <c r="AA278" s="135"/>
    </row>
    <row r="279" customFormat="false" ht="15.75" hidden="false" customHeight="true" outlineLevel="0" collapsed="false">
      <c r="A279" s="135"/>
      <c r="B279" s="135"/>
      <c r="C279" s="135"/>
      <c r="D279" s="135"/>
      <c r="E279" s="189"/>
      <c r="F279" s="135"/>
      <c r="G279" s="256"/>
      <c r="H279" s="256"/>
      <c r="I279" s="135"/>
      <c r="J279" s="135"/>
      <c r="K279" s="135"/>
      <c r="L279" s="135"/>
      <c r="M279" s="135"/>
      <c r="N279" s="135"/>
      <c r="O279" s="135"/>
      <c r="P279" s="135"/>
      <c r="Q279" s="135"/>
      <c r="R279" s="135"/>
      <c r="S279" s="135"/>
      <c r="T279" s="135"/>
      <c r="U279" s="189"/>
      <c r="V279" s="135"/>
      <c r="W279" s="135"/>
      <c r="X279" s="135"/>
      <c r="Y279" s="135"/>
      <c r="Z279" s="135"/>
      <c r="AA279" s="135"/>
    </row>
    <row r="280" customFormat="false" ht="15.75" hidden="false" customHeight="true" outlineLevel="0" collapsed="false">
      <c r="A280" s="135"/>
      <c r="B280" s="135"/>
      <c r="C280" s="135"/>
      <c r="D280" s="135"/>
      <c r="E280" s="189"/>
      <c r="F280" s="135"/>
      <c r="G280" s="256"/>
      <c r="H280" s="256"/>
      <c r="I280" s="135"/>
      <c r="J280" s="135"/>
      <c r="K280" s="135"/>
      <c r="L280" s="135"/>
      <c r="M280" s="135"/>
      <c r="N280" s="135"/>
      <c r="O280" s="135"/>
      <c r="P280" s="135"/>
      <c r="Q280" s="135"/>
      <c r="R280" s="135"/>
      <c r="S280" s="135"/>
      <c r="T280" s="135"/>
      <c r="U280" s="189"/>
      <c r="V280" s="135"/>
      <c r="W280" s="135"/>
      <c r="X280" s="135"/>
      <c r="Y280" s="135"/>
      <c r="Z280" s="135"/>
      <c r="AA280" s="135"/>
    </row>
    <row r="281" customFormat="false" ht="15.75" hidden="false" customHeight="true" outlineLevel="0" collapsed="false">
      <c r="A281" s="135"/>
      <c r="B281" s="135"/>
      <c r="C281" s="135"/>
      <c r="D281" s="135"/>
      <c r="E281" s="189"/>
      <c r="F281" s="135"/>
      <c r="G281" s="256"/>
      <c r="H281" s="256"/>
      <c r="I281" s="135"/>
      <c r="J281" s="135"/>
      <c r="K281" s="135"/>
      <c r="L281" s="135"/>
      <c r="M281" s="135"/>
      <c r="N281" s="135"/>
      <c r="O281" s="135"/>
      <c r="P281" s="135"/>
      <c r="Q281" s="135"/>
      <c r="R281" s="135"/>
      <c r="S281" s="135"/>
      <c r="T281" s="135"/>
      <c r="U281" s="189"/>
      <c r="V281" s="135"/>
      <c r="W281" s="135"/>
      <c r="X281" s="135"/>
      <c r="Y281" s="135"/>
      <c r="Z281" s="135"/>
      <c r="AA281" s="135"/>
    </row>
    <row r="282" customFormat="false" ht="15.75" hidden="false" customHeight="true" outlineLevel="0" collapsed="false">
      <c r="A282" s="135"/>
      <c r="B282" s="135"/>
      <c r="C282" s="135"/>
      <c r="D282" s="135"/>
      <c r="E282" s="189"/>
      <c r="F282" s="135"/>
      <c r="G282" s="256"/>
      <c r="H282" s="256"/>
      <c r="I282" s="135"/>
      <c r="J282" s="135"/>
      <c r="K282" s="135"/>
      <c r="L282" s="135"/>
      <c r="M282" s="135"/>
      <c r="N282" s="135"/>
      <c r="O282" s="135"/>
      <c r="P282" s="135"/>
      <c r="Q282" s="135"/>
      <c r="R282" s="135"/>
      <c r="S282" s="135"/>
      <c r="T282" s="135"/>
      <c r="U282" s="189"/>
      <c r="V282" s="135"/>
      <c r="W282" s="135"/>
      <c r="X282" s="135"/>
      <c r="Y282" s="135"/>
      <c r="Z282" s="135"/>
      <c r="AA282" s="135"/>
    </row>
    <row r="283" customFormat="false" ht="15.75" hidden="false" customHeight="true" outlineLevel="0" collapsed="false">
      <c r="A283" s="135"/>
      <c r="B283" s="135"/>
      <c r="C283" s="135"/>
      <c r="D283" s="135"/>
      <c r="E283" s="189"/>
      <c r="F283" s="135"/>
      <c r="G283" s="256"/>
      <c r="H283" s="256"/>
      <c r="I283" s="135"/>
      <c r="J283" s="135"/>
      <c r="K283" s="135"/>
      <c r="L283" s="135"/>
      <c r="M283" s="135"/>
      <c r="N283" s="135"/>
      <c r="O283" s="135"/>
      <c r="P283" s="135"/>
      <c r="Q283" s="135"/>
      <c r="R283" s="135"/>
      <c r="S283" s="135"/>
      <c r="T283" s="135"/>
      <c r="U283" s="189"/>
      <c r="V283" s="135"/>
      <c r="W283" s="135"/>
      <c r="X283" s="135"/>
      <c r="Y283" s="135"/>
      <c r="Z283" s="135"/>
      <c r="AA283" s="135"/>
    </row>
    <row r="284" customFormat="false" ht="15.75" hidden="false" customHeight="true" outlineLevel="0" collapsed="false">
      <c r="A284" s="135"/>
      <c r="B284" s="135"/>
      <c r="C284" s="135"/>
      <c r="D284" s="135"/>
      <c r="E284" s="189"/>
      <c r="F284" s="135"/>
      <c r="G284" s="256"/>
      <c r="H284" s="256"/>
      <c r="I284" s="135"/>
      <c r="J284" s="135"/>
      <c r="K284" s="135"/>
      <c r="L284" s="135"/>
      <c r="M284" s="135"/>
      <c r="N284" s="135"/>
      <c r="O284" s="135"/>
      <c r="P284" s="135"/>
      <c r="Q284" s="135"/>
      <c r="R284" s="135"/>
      <c r="S284" s="135"/>
      <c r="T284" s="135"/>
      <c r="U284" s="189"/>
      <c r="V284" s="135"/>
      <c r="W284" s="135"/>
      <c r="X284" s="135"/>
      <c r="Y284" s="135"/>
      <c r="Z284" s="135"/>
      <c r="AA284" s="135"/>
    </row>
    <row r="285" customFormat="false" ht="15.75" hidden="false" customHeight="true" outlineLevel="0" collapsed="false">
      <c r="A285" s="135"/>
      <c r="B285" s="135"/>
      <c r="C285" s="135"/>
      <c r="D285" s="135"/>
      <c r="E285" s="189"/>
      <c r="F285" s="135"/>
      <c r="G285" s="256"/>
      <c r="H285" s="256"/>
      <c r="I285" s="135"/>
      <c r="J285" s="135"/>
      <c r="K285" s="135"/>
      <c r="L285" s="135"/>
      <c r="M285" s="135"/>
      <c r="N285" s="135"/>
      <c r="O285" s="135"/>
      <c r="P285" s="135"/>
      <c r="Q285" s="135"/>
      <c r="R285" s="135"/>
      <c r="S285" s="135"/>
      <c r="T285" s="135"/>
      <c r="U285" s="189"/>
      <c r="V285" s="135"/>
      <c r="W285" s="135"/>
      <c r="X285" s="135"/>
      <c r="Y285" s="135"/>
      <c r="Z285" s="135"/>
      <c r="AA285" s="135"/>
    </row>
    <row r="286" customFormat="false" ht="15.75" hidden="false" customHeight="true" outlineLevel="0" collapsed="false">
      <c r="A286" s="135"/>
      <c r="B286" s="135"/>
      <c r="C286" s="135"/>
      <c r="D286" s="135"/>
      <c r="E286" s="189"/>
      <c r="F286" s="135"/>
      <c r="G286" s="256"/>
      <c r="H286" s="256"/>
      <c r="I286" s="135"/>
      <c r="J286" s="135"/>
      <c r="K286" s="135"/>
      <c r="L286" s="135"/>
      <c r="M286" s="135"/>
      <c r="N286" s="135"/>
      <c r="O286" s="135"/>
      <c r="P286" s="135"/>
      <c r="Q286" s="135"/>
      <c r="R286" s="135"/>
      <c r="S286" s="135"/>
      <c r="T286" s="135"/>
      <c r="U286" s="189"/>
      <c r="V286" s="135"/>
      <c r="W286" s="135"/>
      <c r="X286" s="135"/>
      <c r="Y286" s="135"/>
      <c r="Z286" s="135"/>
      <c r="AA286" s="135"/>
    </row>
    <row r="287" customFormat="false" ht="15.75" hidden="false" customHeight="true" outlineLevel="0" collapsed="false">
      <c r="A287" s="135"/>
      <c r="B287" s="135"/>
      <c r="C287" s="135"/>
      <c r="D287" s="135"/>
      <c r="E287" s="189"/>
      <c r="F287" s="135"/>
      <c r="G287" s="256"/>
      <c r="H287" s="256"/>
      <c r="I287" s="135"/>
      <c r="J287" s="135"/>
      <c r="K287" s="135"/>
      <c r="L287" s="135"/>
      <c r="M287" s="135"/>
      <c r="N287" s="135"/>
      <c r="O287" s="135"/>
      <c r="P287" s="135"/>
      <c r="Q287" s="135"/>
      <c r="R287" s="135"/>
      <c r="S287" s="135"/>
      <c r="T287" s="135"/>
      <c r="U287" s="189"/>
      <c r="V287" s="135"/>
      <c r="W287" s="135"/>
      <c r="X287" s="135"/>
      <c r="Y287" s="135"/>
      <c r="Z287" s="135"/>
      <c r="AA287" s="135"/>
    </row>
    <row r="288" customFormat="false" ht="15.75" hidden="false" customHeight="true" outlineLevel="0" collapsed="false">
      <c r="A288" s="135"/>
      <c r="B288" s="135"/>
      <c r="C288" s="135"/>
      <c r="D288" s="135"/>
      <c r="E288" s="189"/>
      <c r="F288" s="135"/>
      <c r="G288" s="256"/>
      <c r="H288" s="256"/>
      <c r="I288" s="135"/>
      <c r="J288" s="135"/>
      <c r="K288" s="135"/>
      <c r="L288" s="135"/>
      <c r="M288" s="135"/>
      <c r="N288" s="135"/>
      <c r="O288" s="135"/>
      <c r="P288" s="135"/>
      <c r="Q288" s="135"/>
      <c r="R288" s="135"/>
      <c r="S288" s="135"/>
      <c r="T288" s="135"/>
      <c r="U288" s="189"/>
      <c r="V288" s="135"/>
      <c r="W288" s="135"/>
      <c r="X288" s="135"/>
      <c r="Y288" s="135"/>
      <c r="Z288" s="135"/>
      <c r="AA288" s="135"/>
    </row>
    <row r="289" customFormat="false" ht="15.75" hidden="false" customHeight="true" outlineLevel="0" collapsed="false">
      <c r="A289" s="135"/>
      <c r="B289" s="135"/>
      <c r="C289" s="135"/>
      <c r="D289" s="135"/>
      <c r="E289" s="189"/>
      <c r="F289" s="135"/>
      <c r="G289" s="256"/>
      <c r="H289" s="256"/>
      <c r="I289" s="135"/>
      <c r="J289" s="135"/>
      <c r="K289" s="135"/>
      <c r="L289" s="135"/>
      <c r="M289" s="135"/>
      <c r="N289" s="135"/>
      <c r="O289" s="135"/>
      <c r="P289" s="135"/>
      <c r="Q289" s="135"/>
      <c r="R289" s="135"/>
      <c r="S289" s="135"/>
      <c r="T289" s="135"/>
      <c r="U289" s="189"/>
      <c r="V289" s="135"/>
      <c r="W289" s="135"/>
      <c r="X289" s="135"/>
      <c r="Y289" s="135"/>
      <c r="Z289" s="135"/>
      <c r="AA289" s="135"/>
    </row>
    <row r="290" customFormat="false" ht="15.75" hidden="false" customHeight="true" outlineLevel="0" collapsed="false">
      <c r="A290" s="135"/>
      <c r="B290" s="135"/>
      <c r="C290" s="135"/>
      <c r="D290" s="135"/>
      <c r="E290" s="189"/>
      <c r="F290" s="135"/>
      <c r="G290" s="256"/>
      <c r="H290" s="256"/>
      <c r="I290" s="135"/>
      <c r="J290" s="135"/>
      <c r="K290" s="135"/>
      <c r="L290" s="135"/>
      <c r="M290" s="135"/>
      <c r="N290" s="135"/>
      <c r="O290" s="135"/>
      <c r="P290" s="135"/>
      <c r="Q290" s="135"/>
      <c r="R290" s="135"/>
      <c r="S290" s="135"/>
      <c r="T290" s="135"/>
      <c r="U290" s="189"/>
      <c r="V290" s="135"/>
      <c r="W290" s="135"/>
      <c r="X290" s="135"/>
      <c r="Y290" s="135"/>
      <c r="Z290" s="135"/>
      <c r="AA290" s="135"/>
    </row>
    <row r="291" customFormat="false" ht="15.75" hidden="false" customHeight="true" outlineLevel="0" collapsed="false">
      <c r="A291" s="135"/>
      <c r="B291" s="135"/>
      <c r="C291" s="135"/>
      <c r="D291" s="135"/>
      <c r="E291" s="189"/>
      <c r="F291" s="135"/>
      <c r="G291" s="256"/>
      <c r="H291" s="256"/>
      <c r="I291" s="135"/>
      <c r="J291" s="135"/>
      <c r="K291" s="135"/>
      <c r="L291" s="135"/>
      <c r="M291" s="135"/>
      <c r="N291" s="135"/>
      <c r="O291" s="135"/>
      <c r="P291" s="135"/>
      <c r="Q291" s="135"/>
      <c r="R291" s="135"/>
      <c r="S291" s="135"/>
      <c r="T291" s="135"/>
      <c r="U291" s="189"/>
      <c r="V291" s="135"/>
      <c r="W291" s="135"/>
      <c r="X291" s="135"/>
      <c r="Y291" s="135"/>
      <c r="Z291" s="135"/>
      <c r="AA291" s="135"/>
    </row>
    <row r="292" customFormat="false" ht="15.75" hidden="false" customHeight="true" outlineLevel="0" collapsed="false">
      <c r="A292" s="135"/>
      <c r="B292" s="135"/>
      <c r="C292" s="135"/>
      <c r="D292" s="135"/>
      <c r="E292" s="189"/>
      <c r="F292" s="135"/>
      <c r="G292" s="256"/>
      <c r="H292" s="256"/>
      <c r="I292" s="135"/>
      <c r="J292" s="135"/>
      <c r="K292" s="135"/>
      <c r="L292" s="135"/>
      <c r="M292" s="135"/>
      <c r="N292" s="135"/>
      <c r="O292" s="135"/>
      <c r="P292" s="135"/>
      <c r="Q292" s="135"/>
      <c r="R292" s="135"/>
      <c r="S292" s="135"/>
      <c r="T292" s="135"/>
      <c r="U292" s="189"/>
      <c r="V292" s="135"/>
      <c r="W292" s="135"/>
      <c r="X292" s="135"/>
      <c r="Y292" s="135"/>
      <c r="Z292" s="135"/>
      <c r="AA292" s="135"/>
    </row>
    <row r="293" customFormat="false" ht="15.75" hidden="false" customHeight="true" outlineLevel="0" collapsed="false">
      <c r="A293" s="135"/>
      <c r="B293" s="135"/>
      <c r="C293" s="135"/>
      <c r="D293" s="135"/>
      <c r="E293" s="189"/>
      <c r="F293" s="135"/>
      <c r="G293" s="256"/>
      <c r="H293" s="256"/>
      <c r="I293" s="135"/>
      <c r="J293" s="135"/>
      <c r="K293" s="135"/>
      <c r="L293" s="135"/>
      <c r="M293" s="135"/>
      <c r="N293" s="135"/>
      <c r="O293" s="135"/>
      <c r="P293" s="135"/>
      <c r="Q293" s="135"/>
      <c r="R293" s="135"/>
      <c r="S293" s="135"/>
      <c r="T293" s="135"/>
      <c r="U293" s="189"/>
      <c r="V293" s="135"/>
      <c r="W293" s="135"/>
      <c r="X293" s="135"/>
      <c r="Y293" s="135"/>
      <c r="Z293" s="135"/>
      <c r="AA293" s="135"/>
    </row>
    <row r="294" customFormat="false" ht="15.75" hidden="false" customHeight="true" outlineLevel="0" collapsed="false">
      <c r="A294" s="135"/>
      <c r="B294" s="135"/>
      <c r="C294" s="135"/>
      <c r="D294" s="135"/>
      <c r="E294" s="189"/>
      <c r="F294" s="135"/>
      <c r="G294" s="256"/>
      <c r="H294" s="256"/>
      <c r="I294" s="135"/>
      <c r="J294" s="135"/>
      <c r="K294" s="135"/>
      <c r="L294" s="135"/>
      <c r="M294" s="135"/>
      <c r="N294" s="135"/>
      <c r="O294" s="135"/>
      <c r="P294" s="135"/>
      <c r="Q294" s="135"/>
      <c r="R294" s="135"/>
      <c r="S294" s="135"/>
      <c r="T294" s="135"/>
      <c r="U294" s="189"/>
      <c r="V294" s="135"/>
      <c r="W294" s="135"/>
      <c r="X294" s="135"/>
      <c r="Y294" s="135"/>
      <c r="Z294" s="135"/>
      <c r="AA294" s="135"/>
    </row>
    <row r="295" customFormat="false" ht="15.75" hidden="false" customHeight="true" outlineLevel="0" collapsed="false">
      <c r="A295" s="135"/>
      <c r="B295" s="135"/>
      <c r="C295" s="135"/>
      <c r="D295" s="135"/>
      <c r="E295" s="189"/>
      <c r="F295" s="135"/>
      <c r="G295" s="256"/>
      <c r="H295" s="256"/>
      <c r="I295" s="135"/>
      <c r="J295" s="135"/>
      <c r="K295" s="135"/>
      <c r="L295" s="135"/>
      <c r="M295" s="135"/>
      <c r="N295" s="135"/>
      <c r="O295" s="135"/>
      <c r="P295" s="135"/>
      <c r="Q295" s="135"/>
      <c r="R295" s="135"/>
      <c r="S295" s="135"/>
      <c r="T295" s="135"/>
      <c r="U295" s="189"/>
      <c r="V295" s="135"/>
      <c r="W295" s="135"/>
      <c r="X295" s="135"/>
      <c r="Y295" s="135"/>
      <c r="Z295" s="135"/>
      <c r="AA295" s="135"/>
    </row>
    <row r="296" customFormat="false" ht="15.75" hidden="false" customHeight="true" outlineLevel="0" collapsed="false">
      <c r="A296" s="135"/>
      <c r="B296" s="135"/>
      <c r="C296" s="135"/>
      <c r="D296" s="135"/>
      <c r="E296" s="189"/>
      <c r="F296" s="135"/>
      <c r="G296" s="256"/>
      <c r="H296" s="256"/>
      <c r="I296" s="135"/>
      <c r="J296" s="135"/>
      <c r="K296" s="135"/>
      <c r="L296" s="135"/>
      <c r="M296" s="135"/>
      <c r="N296" s="135"/>
      <c r="O296" s="135"/>
      <c r="P296" s="135"/>
      <c r="Q296" s="135"/>
      <c r="R296" s="135"/>
      <c r="S296" s="135"/>
      <c r="T296" s="135"/>
      <c r="U296" s="189"/>
      <c r="V296" s="135"/>
      <c r="W296" s="135"/>
      <c r="X296" s="135"/>
      <c r="Y296" s="135"/>
      <c r="Z296" s="135"/>
      <c r="AA296" s="135"/>
    </row>
    <row r="297" customFormat="false" ht="15.75" hidden="false" customHeight="true" outlineLevel="0" collapsed="false">
      <c r="A297" s="135"/>
      <c r="B297" s="135"/>
      <c r="C297" s="135"/>
      <c r="D297" s="135"/>
      <c r="E297" s="189"/>
      <c r="F297" s="135"/>
      <c r="G297" s="256"/>
      <c r="H297" s="256"/>
      <c r="I297" s="135"/>
      <c r="J297" s="135"/>
      <c r="K297" s="135"/>
      <c r="L297" s="135"/>
      <c r="M297" s="135"/>
      <c r="N297" s="135"/>
      <c r="O297" s="135"/>
      <c r="P297" s="135"/>
      <c r="Q297" s="135"/>
      <c r="R297" s="135"/>
      <c r="S297" s="135"/>
      <c r="T297" s="135"/>
      <c r="U297" s="189"/>
      <c r="V297" s="135"/>
      <c r="W297" s="135"/>
      <c r="X297" s="135"/>
      <c r="Y297" s="135"/>
      <c r="Z297" s="135"/>
      <c r="AA297" s="135"/>
    </row>
    <row r="298" customFormat="false" ht="15.75" hidden="false" customHeight="true" outlineLevel="0" collapsed="false">
      <c r="A298" s="135"/>
      <c r="B298" s="135"/>
      <c r="C298" s="135"/>
      <c r="D298" s="135"/>
      <c r="E298" s="189"/>
      <c r="F298" s="135"/>
      <c r="G298" s="256"/>
      <c r="H298" s="256"/>
      <c r="I298" s="135"/>
      <c r="J298" s="135"/>
      <c r="K298" s="135"/>
      <c r="L298" s="135"/>
      <c r="M298" s="135"/>
      <c r="N298" s="135"/>
      <c r="O298" s="135"/>
      <c r="P298" s="135"/>
      <c r="Q298" s="135"/>
      <c r="R298" s="135"/>
      <c r="S298" s="135"/>
      <c r="T298" s="135"/>
      <c r="U298" s="189"/>
      <c r="V298" s="135"/>
      <c r="W298" s="135"/>
      <c r="X298" s="135"/>
      <c r="Y298" s="135"/>
      <c r="Z298" s="135"/>
      <c r="AA298" s="135"/>
    </row>
    <row r="299" customFormat="false" ht="15.75" hidden="false" customHeight="true" outlineLevel="0" collapsed="false">
      <c r="A299" s="135"/>
      <c r="B299" s="135"/>
      <c r="C299" s="135"/>
      <c r="D299" s="135"/>
      <c r="E299" s="189"/>
      <c r="F299" s="135"/>
      <c r="G299" s="256"/>
      <c r="H299" s="256"/>
      <c r="I299" s="135"/>
      <c r="J299" s="135"/>
      <c r="K299" s="135"/>
      <c r="L299" s="135"/>
      <c r="M299" s="135"/>
      <c r="N299" s="135"/>
      <c r="O299" s="135"/>
      <c r="P299" s="135"/>
      <c r="Q299" s="135"/>
      <c r="R299" s="135"/>
      <c r="S299" s="135"/>
      <c r="T299" s="135"/>
      <c r="U299" s="189"/>
      <c r="V299" s="135"/>
      <c r="W299" s="135"/>
      <c r="X299" s="135"/>
      <c r="Y299" s="135"/>
      <c r="Z299" s="135"/>
      <c r="AA299" s="135"/>
    </row>
    <row r="300" customFormat="false" ht="15.75" hidden="false" customHeight="true" outlineLevel="0" collapsed="false">
      <c r="A300" s="135"/>
      <c r="B300" s="135"/>
      <c r="C300" s="135"/>
      <c r="D300" s="135"/>
      <c r="E300" s="189"/>
      <c r="F300" s="135"/>
      <c r="G300" s="256"/>
      <c r="H300" s="256"/>
      <c r="I300" s="135"/>
      <c r="J300" s="135"/>
      <c r="K300" s="135"/>
      <c r="L300" s="135"/>
      <c r="M300" s="135"/>
      <c r="N300" s="135"/>
      <c r="O300" s="135"/>
      <c r="P300" s="135"/>
      <c r="Q300" s="135"/>
      <c r="R300" s="135"/>
      <c r="S300" s="135"/>
      <c r="T300" s="135"/>
      <c r="U300" s="189"/>
      <c r="V300" s="135"/>
      <c r="W300" s="135"/>
      <c r="X300" s="135"/>
      <c r="Y300" s="135"/>
      <c r="Z300" s="135"/>
      <c r="AA300" s="135"/>
    </row>
    <row r="301" customFormat="false" ht="15.75" hidden="false" customHeight="true" outlineLevel="0" collapsed="false">
      <c r="A301" s="135"/>
      <c r="B301" s="135"/>
      <c r="C301" s="135"/>
      <c r="D301" s="135"/>
      <c r="E301" s="189"/>
      <c r="F301" s="135"/>
      <c r="G301" s="256"/>
      <c r="H301" s="256"/>
      <c r="I301" s="135"/>
      <c r="J301" s="135"/>
      <c r="K301" s="135"/>
      <c r="L301" s="135"/>
      <c r="M301" s="135"/>
      <c r="N301" s="135"/>
      <c r="O301" s="135"/>
      <c r="P301" s="135"/>
      <c r="Q301" s="135"/>
      <c r="R301" s="135"/>
      <c r="S301" s="135"/>
      <c r="T301" s="135"/>
      <c r="U301" s="189"/>
      <c r="V301" s="135"/>
      <c r="W301" s="135"/>
      <c r="X301" s="135"/>
      <c r="Y301" s="135"/>
      <c r="Z301" s="135"/>
      <c r="AA301" s="135"/>
    </row>
    <row r="302" customFormat="false" ht="15.75" hidden="false" customHeight="true" outlineLevel="0" collapsed="false">
      <c r="A302" s="135"/>
      <c r="B302" s="135"/>
      <c r="C302" s="135"/>
      <c r="D302" s="135"/>
      <c r="E302" s="189"/>
      <c r="F302" s="135"/>
      <c r="G302" s="256"/>
      <c r="H302" s="256"/>
      <c r="I302" s="135"/>
      <c r="J302" s="135"/>
      <c r="K302" s="135"/>
      <c r="L302" s="135"/>
      <c r="M302" s="135"/>
      <c r="N302" s="135"/>
      <c r="O302" s="135"/>
      <c r="P302" s="135"/>
      <c r="Q302" s="135"/>
      <c r="R302" s="135"/>
      <c r="S302" s="135"/>
      <c r="T302" s="135"/>
      <c r="U302" s="189"/>
      <c r="V302" s="135"/>
      <c r="W302" s="135"/>
      <c r="X302" s="135"/>
      <c r="Y302" s="135"/>
      <c r="Z302" s="135"/>
      <c r="AA302" s="135"/>
    </row>
    <row r="303" customFormat="false" ht="15.75" hidden="false" customHeight="true" outlineLevel="0" collapsed="false">
      <c r="A303" s="135"/>
      <c r="B303" s="135"/>
      <c r="C303" s="135"/>
      <c r="D303" s="135"/>
      <c r="E303" s="189"/>
      <c r="F303" s="135"/>
      <c r="G303" s="256"/>
      <c r="H303" s="256"/>
      <c r="I303" s="135"/>
      <c r="J303" s="135"/>
      <c r="K303" s="135"/>
      <c r="L303" s="135"/>
      <c r="M303" s="135"/>
      <c r="N303" s="135"/>
      <c r="O303" s="135"/>
      <c r="P303" s="135"/>
      <c r="Q303" s="135"/>
      <c r="R303" s="135"/>
      <c r="S303" s="135"/>
      <c r="T303" s="135"/>
      <c r="U303" s="189"/>
      <c r="V303" s="135"/>
      <c r="W303" s="135"/>
      <c r="X303" s="135"/>
      <c r="Y303" s="135"/>
      <c r="Z303" s="135"/>
      <c r="AA303" s="135"/>
    </row>
    <row r="304" customFormat="false" ht="15.75" hidden="false" customHeight="true" outlineLevel="0" collapsed="false">
      <c r="A304" s="135"/>
      <c r="B304" s="135"/>
      <c r="C304" s="135"/>
      <c r="D304" s="135"/>
      <c r="E304" s="189"/>
      <c r="F304" s="135"/>
      <c r="G304" s="256"/>
      <c r="H304" s="256"/>
      <c r="I304" s="135"/>
      <c r="J304" s="135"/>
      <c r="K304" s="135"/>
      <c r="L304" s="135"/>
      <c r="M304" s="135"/>
      <c r="N304" s="135"/>
      <c r="O304" s="135"/>
      <c r="P304" s="135"/>
      <c r="Q304" s="135"/>
      <c r="R304" s="135"/>
      <c r="S304" s="135"/>
      <c r="T304" s="135"/>
      <c r="U304" s="189"/>
      <c r="V304" s="135"/>
      <c r="W304" s="135"/>
      <c r="X304" s="135"/>
      <c r="Y304" s="135"/>
      <c r="Z304" s="135"/>
      <c r="AA304" s="135"/>
    </row>
    <row r="305" customFormat="false" ht="15.75" hidden="false" customHeight="true" outlineLevel="0" collapsed="false">
      <c r="A305" s="135"/>
      <c r="B305" s="135"/>
      <c r="C305" s="135"/>
      <c r="D305" s="135"/>
      <c r="E305" s="189"/>
      <c r="F305" s="135"/>
      <c r="G305" s="256"/>
      <c r="H305" s="256"/>
      <c r="I305" s="135"/>
      <c r="J305" s="135"/>
      <c r="K305" s="135"/>
      <c r="L305" s="135"/>
      <c r="M305" s="135"/>
      <c r="N305" s="135"/>
      <c r="O305" s="135"/>
      <c r="P305" s="135"/>
      <c r="Q305" s="135"/>
      <c r="R305" s="135"/>
      <c r="S305" s="135"/>
      <c r="T305" s="135"/>
      <c r="U305" s="189"/>
      <c r="V305" s="135"/>
      <c r="W305" s="135"/>
      <c r="X305" s="135"/>
      <c r="Y305" s="135"/>
      <c r="Z305" s="135"/>
      <c r="AA305" s="135"/>
    </row>
    <row r="306" customFormat="false" ht="15.75" hidden="false" customHeight="true" outlineLevel="0" collapsed="false">
      <c r="A306" s="135"/>
      <c r="B306" s="135"/>
      <c r="C306" s="135"/>
      <c r="D306" s="135"/>
      <c r="E306" s="189"/>
      <c r="F306" s="135"/>
      <c r="G306" s="256"/>
      <c r="H306" s="256"/>
      <c r="I306" s="135"/>
      <c r="J306" s="135"/>
      <c r="K306" s="135"/>
      <c r="L306" s="135"/>
      <c r="M306" s="135"/>
      <c r="N306" s="135"/>
      <c r="O306" s="135"/>
      <c r="P306" s="135"/>
      <c r="Q306" s="135"/>
      <c r="R306" s="135"/>
      <c r="S306" s="135"/>
      <c r="T306" s="135"/>
      <c r="U306" s="189"/>
      <c r="V306" s="135"/>
      <c r="W306" s="135"/>
      <c r="X306" s="135"/>
      <c r="Y306" s="135"/>
      <c r="Z306" s="135"/>
      <c r="AA306" s="135"/>
    </row>
    <row r="307" customFormat="false" ht="15.75" hidden="false" customHeight="true" outlineLevel="0" collapsed="false">
      <c r="A307" s="135"/>
      <c r="B307" s="135"/>
      <c r="C307" s="135"/>
      <c r="D307" s="135"/>
      <c r="E307" s="189"/>
      <c r="F307" s="135"/>
      <c r="G307" s="256"/>
      <c r="H307" s="256"/>
      <c r="I307" s="135"/>
      <c r="J307" s="135"/>
      <c r="K307" s="135"/>
      <c r="L307" s="135"/>
      <c r="M307" s="135"/>
      <c r="N307" s="135"/>
      <c r="O307" s="135"/>
      <c r="P307" s="135"/>
      <c r="Q307" s="135"/>
      <c r="R307" s="135"/>
      <c r="S307" s="135"/>
      <c r="T307" s="135"/>
      <c r="U307" s="189"/>
      <c r="V307" s="135"/>
      <c r="W307" s="135"/>
      <c r="X307" s="135"/>
      <c r="Y307" s="135"/>
      <c r="Z307" s="135"/>
      <c r="AA307" s="135"/>
    </row>
    <row r="308" customFormat="false" ht="15.75" hidden="false" customHeight="true" outlineLevel="0" collapsed="false">
      <c r="A308" s="135"/>
      <c r="B308" s="135"/>
      <c r="C308" s="135"/>
      <c r="D308" s="135"/>
      <c r="E308" s="189"/>
      <c r="F308" s="135"/>
      <c r="G308" s="256"/>
      <c r="H308" s="256"/>
      <c r="I308" s="135"/>
      <c r="J308" s="135"/>
      <c r="K308" s="135"/>
      <c r="L308" s="135"/>
      <c r="M308" s="135"/>
      <c r="N308" s="135"/>
      <c r="O308" s="135"/>
      <c r="P308" s="135"/>
      <c r="Q308" s="135"/>
      <c r="R308" s="135"/>
      <c r="S308" s="135"/>
      <c r="T308" s="135"/>
      <c r="U308" s="189"/>
      <c r="V308" s="135"/>
      <c r="W308" s="135"/>
      <c r="X308" s="135"/>
      <c r="Y308" s="135"/>
      <c r="Z308" s="135"/>
      <c r="AA308" s="135"/>
    </row>
    <row r="309" customFormat="false" ht="15.75" hidden="false" customHeight="true" outlineLevel="0" collapsed="false">
      <c r="A309" s="135"/>
      <c r="B309" s="135"/>
      <c r="C309" s="135"/>
      <c r="D309" s="135"/>
      <c r="E309" s="189"/>
      <c r="F309" s="135"/>
      <c r="G309" s="256"/>
      <c r="H309" s="256"/>
      <c r="I309" s="135"/>
      <c r="J309" s="135"/>
      <c r="K309" s="135"/>
      <c r="L309" s="135"/>
      <c r="M309" s="135"/>
      <c r="N309" s="135"/>
      <c r="O309" s="135"/>
      <c r="P309" s="135"/>
      <c r="Q309" s="135"/>
      <c r="R309" s="135"/>
      <c r="S309" s="135"/>
      <c r="T309" s="135"/>
      <c r="U309" s="189"/>
      <c r="V309" s="135"/>
      <c r="W309" s="135"/>
      <c r="X309" s="135"/>
      <c r="Y309" s="135"/>
      <c r="Z309" s="135"/>
      <c r="AA309" s="135"/>
    </row>
    <row r="310" customFormat="false" ht="15.75" hidden="false" customHeight="true" outlineLevel="0" collapsed="false">
      <c r="A310" s="135"/>
      <c r="B310" s="135"/>
      <c r="C310" s="135"/>
      <c r="D310" s="135"/>
      <c r="E310" s="189"/>
      <c r="F310" s="135"/>
      <c r="G310" s="256"/>
      <c r="H310" s="256"/>
      <c r="I310" s="135"/>
      <c r="J310" s="135"/>
      <c r="K310" s="135"/>
      <c r="L310" s="135"/>
      <c r="M310" s="135"/>
      <c r="N310" s="135"/>
      <c r="O310" s="135"/>
      <c r="P310" s="135"/>
      <c r="Q310" s="135"/>
      <c r="R310" s="135"/>
      <c r="S310" s="135"/>
      <c r="T310" s="135"/>
      <c r="U310" s="189"/>
      <c r="V310" s="135"/>
      <c r="W310" s="135"/>
      <c r="X310" s="135"/>
      <c r="Y310" s="135"/>
      <c r="Z310" s="135"/>
      <c r="AA310" s="135"/>
    </row>
    <row r="311" customFormat="false" ht="15.75" hidden="false" customHeight="true" outlineLevel="0" collapsed="false">
      <c r="A311" s="135"/>
      <c r="B311" s="135"/>
      <c r="C311" s="135"/>
      <c r="D311" s="135"/>
      <c r="E311" s="189"/>
      <c r="F311" s="135"/>
      <c r="G311" s="256"/>
      <c r="H311" s="256"/>
      <c r="I311" s="135"/>
      <c r="J311" s="135"/>
      <c r="K311" s="135"/>
      <c r="L311" s="135"/>
      <c r="M311" s="135"/>
      <c r="N311" s="135"/>
      <c r="O311" s="135"/>
      <c r="P311" s="135"/>
      <c r="Q311" s="135"/>
      <c r="R311" s="135"/>
      <c r="S311" s="135"/>
      <c r="T311" s="135"/>
      <c r="U311" s="189"/>
      <c r="V311" s="135"/>
      <c r="W311" s="135"/>
      <c r="X311" s="135"/>
      <c r="Y311" s="135"/>
      <c r="Z311" s="135"/>
      <c r="AA311" s="135"/>
    </row>
    <row r="312" customFormat="false" ht="15.75" hidden="false" customHeight="true" outlineLevel="0" collapsed="false">
      <c r="A312" s="135"/>
      <c r="B312" s="135"/>
      <c r="C312" s="135"/>
      <c r="D312" s="135"/>
      <c r="E312" s="189"/>
      <c r="F312" s="135"/>
      <c r="G312" s="256"/>
      <c r="H312" s="256"/>
      <c r="I312" s="135"/>
      <c r="J312" s="135"/>
      <c r="K312" s="135"/>
      <c r="L312" s="135"/>
      <c r="M312" s="135"/>
      <c r="N312" s="135"/>
      <c r="O312" s="135"/>
      <c r="P312" s="135"/>
      <c r="Q312" s="135"/>
      <c r="R312" s="135"/>
      <c r="S312" s="135"/>
      <c r="T312" s="135"/>
      <c r="U312" s="189"/>
      <c r="V312" s="135"/>
      <c r="W312" s="135"/>
      <c r="X312" s="135"/>
      <c r="Y312" s="135"/>
      <c r="Z312" s="135"/>
      <c r="AA312" s="135"/>
    </row>
    <row r="313" customFormat="false" ht="15.75" hidden="false" customHeight="true" outlineLevel="0" collapsed="false">
      <c r="A313" s="135"/>
      <c r="B313" s="135"/>
      <c r="C313" s="135"/>
      <c r="D313" s="135"/>
      <c r="E313" s="189"/>
      <c r="F313" s="135"/>
      <c r="G313" s="256"/>
      <c r="H313" s="256"/>
      <c r="I313" s="135"/>
      <c r="J313" s="135"/>
      <c r="K313" s="135"/>
      <c r="L313" s="135"/>
      <c r="M313" s="135"/>
      <c r="N313" s="135"/>
      <c r="O313" s="135"/>
      <c r="P313" s="135"/>
      <c r="Q313" s="135"/>
      <c r="R313" s="135"/>
      <c r="S313" s="135"/>
      <c r="T313" s="135"/>
      <c r="U313" s="189"/>
      <c r="V313" s="135"/>
      <c r="W313" s="135"/>
      <c r="X313" s="135"/>
      <c r="Y313" s="135"/>
      <c r="Z313" s="135"/>
      <c r="AA313" s="135"/>
    </row>
    <row r="314" customFormat="false" ht="15.75" hidden="false" customHeight="true" outlineLevel="0" collapsed="false">
      <c r="A314" s="135"/>
      <c r="B314" s="135"/>
      <c r="C314" s="135"/>
      <c r="D314" s="135"/>
      <c r="E314" s="189"/>
      <c r="F314" s="135"/>
      <c r="G314" s="256"/>
      <c r="H314" s="256"/>
      <c r="I314" s="135"/>
      <c r="J314" s="135"/>
      <c r="K314" s="135"/>
      <c r="L314" s="135"/>
      <c r="M314" s="135"/>
      <c r="N314" s="135"/>
      <c r="O314" s="135"/>
      <c r="P314" s="135"/>
      <c r="Q314" s="135"/>
      <c r="R314" s="135"/>
      <c r="S314" s="135"/>
      <c r="T314" s="135"/>
      <c r="U314" s="189"/>
      <c r="V314" s="135"/>
      <c r="W314" s="135"/>
      <c r="X314" s="135"/>
      <c r="Y314" s="135"/>
      <c r="Z314" s="135"/>
      <c r="AA314" s="135"/>
    </row>
    <row r="315" customFormat="false" ht="15.75" hidden="false" customHeight="true" outlineLevel="0" collapsed="false">
      <c r="A315" s="135"/>
      <c r="B315" s="135"/>
      <c r="C315" s="135"/>
      <c r="D315" s="135"/>
      <c r="E315" s="189"/>
      <c r="F315" s="135"/>
      <c r="G315" s="256"/>
      <c r="H315" s="256"/>
      <c r="I315" s="135"/>
      <c r="J315" s="135"/>
      <c r="K315" s="135"/>
      <c r="L315" s="135"/>
      <c r="M315" s="135"/>
      <c r="N315" s="135"/>
      <c r="O315" s="135"/>
      <c r="P315" s="135"/>
      <c r="Q315" s="135"/>
      <c r="R315" s="135"/>
      <c r="S315" s="135"/>
      <c r="T315" s="135"/>
      <c r="U315" s="189"/>
      <c r="V315" s="135"/>
      <c r="W315" s="135"/>
      <c r="X315" s="135"/>
      <c r="Y315" s="135"/>
      <c r="Z315" s="135"/>
      <c r="AA315" s="135"/>
    </row>
    <row r="316" customFormat="false" ht="15.75" hidden="false" customHeight="true" outlineLevel="0" collapsed="false">
      <c r="A316" s="135"/>
      <c r="B316" s="135"/>
      <c r="C316" s="135"/>
      <c r="D316" s="135"/>
      <c r="E316" s="189"/>
      <c r="F316" s="135"/>
      <c r="G316" s="256"/>
      <c r="H316" s="256"/>
      <c r="I316" s="135"/>
      <c r="J316" s="135"/>
      <c r="K316" s="135"/>
      <c r="L316" s="135"/>
      <c r="M316" s="135"/>
      <c r="N316" s="135"/>
      <c r="O316" s="135"/>
      <c r="P316" s="135"/>
      <c r="Q316" s="135"/>
      <c r="R316" s="135"/>
      <c r="S316" s="135"/>
      <c r="T316" s="135"/>
      <c r="U316" s="189"/>
      <c r="V316" s="135"/>
      <c r="W316" s="135"/>
      <c r="X316" s="135"/>
      <c r="Y316" s="135"/>
      <c r="Z316" s="135"/>
      <c r="AA316" s="135"/>
    </row>
    <row r="317" customFormat="false" ht="15.75" hidden="false" customHeight="true" outlineLevel="0" collapsed="false">
      <c r="A317" s="135"/>
      <c r="B317" s="135"/>
      <c r="C317" s="135"/>
      <c r="D317" s="135"/>
      <c r="E317" s="189"/>
      <c r="F317" s="135"/>
      <c r="G317" s="256"/>
      <c r="H317" s="256"/>
      <c r="I317" s="135"/>
      <c r="J317" s="135"/>
      <c r="K317" s="135"/>
      <c r="L317" s="135"/>
      <c r="M317" s="135"/>
      <c r="N317" s="135"/>
      <c r="O317" s="135"/>
      <c r="P317" s="135"/>
      <c r="Q317" s="135"/>
      <c r="R317" s="135"/>
      <c r="S317" s="135"/>
      <c r="T317" s="135"/>
      <c r="U317" s="189"/>
      <c r="V317" s="135"/>
      <c r="W317" s="135"/>
      <c r="X317" s="135"/>
      <c r="Y317" s="135"/>
      <c r="Z317" s="135"/>
      <c r="AA317" s="135"/>
    </row>
    <row r="318" customFormat="false" ht="15.75" hidden="false" customHeight="true" outlineLevel="0" collapsed="false">
      <c r="A318" s="135"/>
      <c r="B318" s="135"/>
      <c r="C318" s="135"/>
      <c r="D318" s="135"/>
      <c r="E318" s="189"/>
      <c r="F318" s="135"/>
      <c r="G318" s="256"/>
      <c r="H318" s="256"/>
      <c r="I318" s="135"/>
      <c r="J318" s="135"/>
      <c r="K318" s="135"/>
      <c r="L318" s="135"/>
      <c r="M318" s="135"/>
      <c r="N318" s="135"/>
      <c r="O318" s="135"/>
      <c r="P318" s="135"/>
      <c r="Q318" s="135"/>
      <c r="R318" s="135"/>
      <c r="S318" s="135"/>
      <c r="T318" s="135"/>
      <c r="U318" s="189"/>
      <c r="V318" s="135"/>
      <c r="W318" s="135"/>
      <c r="X318" s="135"/>
      <c r="Y318" s="135"/>
      <c r="Z318" s="135"/>
      <c r="AA318" s="135"/>
    </row>
    <row r="319" customFormat="false" ht="15.75" hidden="false" customHeight="true" outlineLevel="0" collapsed="false">
      <c r="A319" s="135"/>
      <c r="B319" s="135"/>
      <c r="C319" s="135"/>
      <c r="D319" s="135"/>
      <c r="E319" s="189"/>
      <c r="F319" s="135"/>
      <c r="G319" s="256"/>
      <c r="H319" s="256"/>
      <c r="I319" s="135"/>
      <c r="J319" s="135"/>
      <c r="K319" s="135"/>
      <c r="L319" s="135"/>
      <c r="M319" s="135"/>
      <c r="N319" s="135"/>
      <c r="O319" s="135"/>
      <c r="P319" s="135"/>
      <c r="Q319" s="135"/>
      <c r="R319" s="135"/>
      <c r="S319" s="135"/>
      <c r="T319" s="135"/>
      <c r="U319" s="189"/>
      <c r="V319" s="135"/>
      <c r="W319" s="135"/>
      <c r="X319" s="135"/>
      <c r="Y319" s="135"/>
      <c r="Z319" s="135"/>
      <c r="AA319" s="135"/>
    </row>
    <row r="320" customFormat="false" ht="15.75" hidden="false" customHeight="true" outlineLevel="0" collapsed="false">
      <c r="A320" s="135"/>
      <c r="B320" s="135"/>
      <c r="C320" s="135"/>
      <c r="D320" s="135"/>
      <c r="E320" s="189"/>
      <c r="F320" s="135"/>
      <c r="G320" s="256"/>
      <c r="H320" s="256"/>
      <c r="I320" s="135"/>
      <c r="J320" s="135"/>
      <c r="K320" s="135"/>
      <c r="L320" s="135"/>
      <c r="M320" s="135"/>
      <c r="N320" s="135"/>
      <c r="O320" s="135"/>
      <c r="P320" s="135"/>
      <c r="Q320" s="135"/>
      <c r="R320" s="135"/>
      <c r="S320" s="135"/>
      <c r="T320" s="135"/>
      <c r="U320" s="189"/>
      <c r="V320" s="135"/>
      <c r="W320" s="135"/>
      <c r="X320" s="135"/>
      <c r="Y320" s="135"/>
      <c r="Z320" s="135"/>
      <c r="AA320" s="135"/>
    </row>
    <row r="321" customFormat="false" ht="15.75" hidden="false" customHeight="true" outlineLevel="0" collapsed="false">
      <c r="A321" s="135"/>
      <c r="B321" s="135"/>
      <c r="C321" s="135"/>
      <c r="D321" s="135"/>
      <c r="E321" s="189"/>
      <c r="F321" s="135"/>
      <c r="G321" s="256"/>
      <c r="H321" s="256"/>
      <c r="I321" s="135"/>
      <c r="J321" s="135"/>
      <c r="K321" s="135"/>
      <c r="L321" s="135"/>
      <c r="M321" s="135"/>
      <c r="N321" s="135"/>
      <c r="O321" s="135"/>
      <c r="P321" s="135"/>
      <c r="Q321" s="135"/>
      <c r="R321" s="135"/>
      <c r="S321" s="135"/>
      <c r="T321" s="135"/>
      <c r="U321" s="189"/>
      <c r="V321" s="135"/>
      <c r="W321" s="135"/>
      <c r="X321" s="135"/>
      <c r="Y321" s="135"/>
      <c r="Z321" s="135"/>
      <c r="AA321" s="135"/>
    </row>
    <row r="322" customFormat="false" ht="15.75" hidden="false" customHeight="true" outlineLevel="0" collapsed="false">
      <c r="A322" s="135"/>
      <c r="B322" s="135"/>
      <c r="C322" s="135"/>
      <c r="D322" s="135"/>
      <c r="E322" s="189"/>
      <c r="F322" s="135"/>
      <c r="G322" s="256"/>
      <c r="H322" s="256"/>
      <c r="I322" s="135"/>
      <c r="J322" s="135"/>
      <c r="K322" s="135"/>
      <c r="L322" s="135"/>
      <c r="M322" s="135"/>
      <c r="N322" s="135"/>
      <c r="O322" s="135"/>
      <c r="P322" s="135"/>
      <c r="Q322" s="135"/>
      <c r="R322" s="135"/>
      <c r="S322" s="135"/>
      <c r="T322" s="135"/>
      <c r="U322" s="189"/>
      <c r="V322" s="135"/>
      <c r="W322" s="135"/>
      <c r="X322" s="135"/>
      <c r="Y322" s="135"/>
      <c r="Z322" s="135"/>
      <c r="AA322" s="135"/>
    </row>
    <row r="323" customFormat="false" ht="15.75" hidden="false" customHeight="true" outlineLevel="0" collapsed="false">
      <c r="A323" s="135"/>
      <c r="B323" s="135"/>
      <c r="C323" s="135"/>
      <c r="D323" s="135"/>
      <c r="E323" s="189"/>
      <c r="F323" s="135"/>
      <c r="G323" s="256"/>
      <c r="H323" s="256"/>
      <c r="I323" s="135"/>
      <c r="J323" s="135"/>
      <c r="K323" s="135"/>
      <c r="L323" s="135"/>
      <c r="M323" s="135"/>
      <c r="N323" s="135"/>
      <c r="O323" s="135"/>
      <c r="P323" s="135"/>
      <c r="Q323" s="135"/>
      <c r="R323" s="135"/>
      <c r="S323" s="135"/>
      <c r="T323" s="135"/>
      <c r="U323" s="189"/>
      <c r="V323" s="135"/>
      <c r="W323" s="135"/>
      <c r="X323" s="135"/>
      <c r="Y323" s="135"/>
      <c r="Z323" s="135"/>
      <c r="AA323" s="135"/>
    </row>
    <row r="324" customFormat="false" ht="15.75" hidden="false" customHeight="true" outlineLevel="0" collapsed="false">
      <c r="A324" s="135"/>
      <c r="B324" s="135"/>
      <c r="C324" s="135"/>
      <c r="D324" s="135"/>
      <c r="E324" s="189"/>
      <c r="F324" s="135"/>
      <c r="G324" s="256"/>
      <c r="H324" s="256"/>
      <c r="I324" s="135"/>
      <c r="J324" s="135"/>
      <c r="K324" s="135"/>
      <c r="L324" s="135"/>
      <c r="M324" s="135"/>
      <c r="N324" s="135"/>
      <c r="O324" s="135"/>
      <c r="P324" s="135"/>
      <c r="Q324" s="135"/>
      <c r="R324" s="135"/>
      <c r="S324" s="135"/>
      <c r="T324" s="135"/>
      <c r="U324" s="189"/>
      <c r="V324" s="135"/>
      <c r="W324" s="135"/>
      <c r="X324" s="135"/>
      <c r="Y324" s="135"/>
      <c r="Z324" s="135"/>
      <c r="AA324" s="135"/>
    </row>
    <row r="325" customFormat="false" ht="15.75" hidden="false" customHeight="true" outlineLevel="0" collapsed="false">
      <c r="A325" s="135"/>
      <c r="B325" s="135"/>
      <c r="C325" s="135"/>
      <c r="D325" s="135"/>
      <c r="E325" s="189"/>
      <c r="F325" s="135"/>
      <c r="G325" s="256"/>
      <c r="H325" s="256"/>
      <c r="I325" s="135"/>
      <c r="J325" s="135"/>
      <c r="K325" s="135"/>
      <c r="L325" s="135"/>
      <c r="M325" s="135"/>
      <c r="N325" s="135"/>
      <c r="O325" s="135"/>
      <c r="P325" s="135"/>
      <c r="Q325" s="135"/>
      <c r="R325" s="135"/>
      <c r="S325" s="135"/>
      <c r="T325" s="135"/>
      <c r="U325" s="189"/>
      <c r="V325" s="135"/>
      <c r="W325" s="135"/>
      <c r="X325" s="135"/>
      <c r="Y325" s="135"/>
      <c r="Z325" s="135"/>
      <c r="AA325" s="135"/>
    </row>
    <row r="326" customFormat="false" ht="15.75" hidden="false" customHeight="true" outlineLevel="0" collapsed="false">
      <c r="A326" s="135"/>
      <c r="B326" s="135"/>
      <c r="C326" s="135"/>
      <c r="D326" s="135"/>
      <c r="E326" s="189"/>
      <c r="F326" s="135"/>
      <c r="G326" s="256"/>
      <c r="H326" s="256"/>
      <c r="I326" s="135"/>
      <c r="J326" s="135"/>
      <c r="K326" s="135"/>
      <c r="L326" s="135"/>
      <c r="M326" s="135"/>
      <c r="N326" s="135"/>
      <c r="O326" s="135"/>
      <c r="P326" s="135"/>
      <c r="Q326" s="135"/>
      <c r="R326" s="135"/>
      <c r="S326" s="135"/>
      <c r="T326" s="135"/>
      <c r="U326" s="189"/>
      <c r="V326" s="135"/>
      <c r="W326" s="135"/>
      <c r="X326" s="135"/>
      <c r="Y326" s="135"/>
      <c r="Z326" s="135"/>
      <c r="AA326" s="135"/>
    </row>
    <row r="327" customFormat="false" ht="15.75" hidden="false" customHeight="true" outlineLevel="0" collapsed="false">
      <c r="A327" s="135"/>
      <c r="B327" s="135"/>
      <c r="C327" s="135"/>
      <c r="D327" s="135"/>
      <c r="E327" s="189"/>
      <c r="F327" s="135"/>
      <c r="G327" s="256"/>
      <c r="H327" s="256"/>
      <c r="I327" s="135"/>
      <c r="J327" s="135"/>
      <c r="K327" s="135"/>
      <c r="L327" s="135"/>
      <c r="M327" s="135"/>
      <c r="N327" s="135"/>
      <c r="O327" s="135"/>
      <c r="P327" s="135"/>
      <c r="Q327" s="135"/>
      <c r="R327" s="135"/>
      <c r="S327" s="135"/>
      <c r="T327" s="135"/>
      <c r="U327" s="189"/>
      <c r="V327" s="135"/>
      <c r="W327" s="135"/>
      <c r="X327" s="135"/>
      <c r="Y327" s="135"/>
      <c r="Z327" s="135"/>
      <c r="AA327" s="135"/>
    </row>
    <row r="328" customFormat="false" ht="15.75" hidden="false" customHeight="true" outlineLevel="0" collapsed="false">
      <c r="A328" s="135"/>
      <c r="B328" s="135"/>
      <c r="C328" s="135"/>
      <c r="D328" s="135"/>
      <c r="E328" s="189"/>
      <c r="F328" s="135"/>
      <c r="G328" s="256"/>
      <c r="H328" s="256"/>
      <c r="I328" s="135"/>
      <c r="J328" s="135"/>
      <c r="K328" s="135"/>
      <c r="L328" s="135"/>
      <c r="M328" s="135"/>
      <c r="N328" s="135"/>
      <c r="O328" s="135"/>
      <c r="P328" s="135"/>
      <c r="Q328" s="135"/>
      <c r="R328" s="135"/>
      <c r="S328" s="135"/>
      <c r="T328" s="135"/>
      <c r="U328" s="189"/>
      <c r="V328" s="135"/>
      <c r="W328" s="135"/>
      <c r="X328" s="135"/>
      <c r="Y328" s="135"/>
      <c r="Z328" s="135"/>
      <c r="AA328" s="135"/>
    </row>
    <row r="329" customFormat="false" ht="15.75" hidden="false" customHeight="true" outlineLevel="0" collapsed="false">
      <c r="A329" s="135"/>
      <c r="B329" s="135"/>
      <c r="C329" s="135"/>
      <c r="D329" s="135"/>
      <c r="E329" s="189"/>
      <c r="F329" s="135"/>
      <c r="G329" s="256"/>
      <c r="H329" s="256"/>
      <c r="I329" s="135"/>
      <c r="J329" s="135"/>
      <c r="K329" s="135"/>
      <c r="L329" s="135"/>
      <c r="M329" s="135"/>
      <c r="N329" s="135"/>
      <c r="O329" s="135"/>
      <c r="P329" s="135"/>
      <c r="Q329" s="135"/>
      <c r="R329" s="135"/>
      <c r="S329" s="135"/>
      <c r="T329" s="135"/>
      <c r="U329" s="189"/>
      <c r="V329" s="135"/>
      <c r="W329" s="135"/>
      <c r="X329" s="135"/>
      <c r="Y329" s="135"/>
      <c r="Z329" s="135"/>
      <c r="AA329" s="135"/>
    </row>
    <row r="330" customFormat="false" ht="15.75" hidden="false" customHeight="true" outlineLevel="0" collapsed="false">
      <c r="A330" s="135"/>
      <c r="B330" s="135"/>
      <c r="C330" s="135"/>
      <c r="D330" s="135"/>
      <c r="E330" s="189"/>
      <c r="F330" s="135"/>
      <c r="G330" s="256"/>
      <c r="H330" s="256"/>
      <c r="I330" s="135"/>
      <c r="J330" s="135"/>
      <c r="K330" s="135"/>
      <c r="L330" s="135"/>
      <c r="M330" s="135"/>
      <c r="N330" s="135"/>
      <c r="O330" s="135"/>
      <c r="P330" s="135"/>
      <c r="Q330" s="135"/>
      <c r="R330" s="135"/>
      <c r="S330" s="135"/>
      <c r="T330" s="135"/>
      <c r="U330" s="189"/>
      <c r="V330" s="135"/>
      <c r="W330" s="135"/>
      <c r="X330" s="135"/>
      <c r="Y330" s="135"/>
      <c r="Z330" s="135"/>
      <c r="AA330" s="135"/>
    </row>
    <row r="331" customFormat="false" ht="15.75" hidden="false" customHeight="true" outlineLevel="0" collapsed="false">
      <c r="A331" s="135"/>
      <c r="B331" s="135"/>
      <c r="C331" s="135"/>
      <c r="D331" s="135"/>
      <c r="E331" s="189"/>
      <c r="F331" s="135"/>
      <c r="G331" s="256"/>
      <c r="H331" s="256"/>
      <c r="I331" s="135"/>
      <c r="J331" s="135"/>
      <c r="K331" s="135"/>
      <c r="L331" s="135"/>
      <c r="M331" s="135"/>
      <c r="N331" s="135"/>
      <c r="O331" s="135"/>
      <c r="P331" s="135"/>
      <c r="Q331" s="135"/>
      <c r="R331" s="135"/>
      <c r="S331" s="135"/>
      <c r="T331" s="135"/>
      <c r="U331" s="189"/>
      <c r="V331" s="135"/>
      <c r="W331" s="135"/>
      <c r="X331" s="135"/>
      <c r="Y331" s="135"/>
      <c r="Z331" s="135"/>
      <c r="AA331" s="135"/>
    </row>
    <row r="332" customFormat="false" ht="15.75" hidden="false" customHeight="true" outlineLevel="0" collapsed="false">
      <c r="A332" s="135"/>
      <c r="B332" s="135"/>
      <c r="C332" s="135"/>
      <c r="D332" s="135"/>
      <c r="E332" s="189"/>
      <c r="F332" s="135"/>
      <c r="G332" s="256"/>
      <c r="H332" s="256"/>
      <c r="I332" s="135"/>
      <c r="J332" s="135"/>
      <c r="K332" s="135"/>
      <c r="L332" s="135"/>
      <c r="M332" s="135"/>
      <c r="N332" s="135"/>
      <c r="O332" s="135"/>
      <c r="P332" s="135"/>
      <c r="Q332" s="135"/>
      <c r="R332" s="135"/>
      <c r="S332" s="135"/>
      <c r="T332" s="135"/>
      <c r="U332" s="189"/>
      <c r="V332" s="135"/>
      <c r="W332" s="135"/>
      <c r="X332" s="135"/>
      <c r="Y332" s="135"/>
      <c r="Z332" s="135"/>
      <c r="AA332" s="135"/>
    </row>
    <row r="333" customFormat="false" ht="15.75" hidden="false" customHeight="true" outlineLevel="0" collapsed="false">
      <c r="A333" s="135"/>
      <c r="B333" s="135"/>
      <c r="C333" s="135"/>
      <c r="D333" s="135"/>
      <c r="E333" s="189"/>
      <c r="F333" s="135"/>
      <c r="G333" s="256"/>
      <c r="H333" s="256"/>
      <c r="I333" s="135"/>
      <c r="J333" s="135"/>
      <c r="K333" s="135"/>
      <c r="L333" s="135"/>
      <c r="M333" s="135"/>
      <c r="N333" s="135"/>
      <c r="O333" s="135"/>
      <c r="P333" s="135"/>
      <c r="Q333" s="135"/>
      <c r="R333" s="135"/>
      <c r="S333" s="135"/>
      <c r="T333" s="135"/>
      <c r="U333" s="189"/>
      <c r="V333" s="135"/>
      <c r="W333" s="135"/>
      <c r="X333" s="135"/>
      <c r="Y333" s="135"/>
      <c r="Z333" s="135"/>
      <c r="AA333" s="135"/>
    </row>
    <row r="334" customFormat="false" ht="15.75" hidden="false" customHeight="true" outlineLevel="0" collapsed="false">
      <c r="A334" s="135"/>
      <c r="B334" s="135"/>
      <c r="C334" s="135"/>
      <c r="D334" s="135"/>
      <c r="E334" s="189"/>
      <c r="F334" s="135"/>
      <c r="G334" s="256"/>
      <c r="H334" s="256"/>
      <c r="I334" s="135"/>
      <c r="J334" s="135"/>
      <c r="K334" s="135"/>
      <c r="L334" s="135"/>
      <c r="M334" s="135"/>
      <c r="N334" s="135"/>
      <c r="O334" s="135"/>
      <c r="P334" s="135"/>
      <c r="Q334" s="135"/>
      <c r="R334" s="135"/>
      <c r="S334" s="135"/>
      <c r="T334" s="135"/>
      <c r="U334" s="189"/>
      <c r="V334" s="135"/>
      <c r="W334" s="135"/>
      <c r="X334" s="135"/>
      <c r="Y334" s="135"/>
      <c r="Z334" s="135"/>
      <c r="AA334" s="135"/>
    </row>
    <row r="335" customFormat="false" ht="15.75" hidden="false" customHeight="true" outlineLevel="0" collapsed="false">
      <c r="A335" s="135"/>
      <c r="B335" s="135"/>
      <c r="C335" s="135"/>
      <c r="D335" s="135"/>
      <c r="E335" s="189"/>
      <c r="F335" s="135"/>
      <c r="G335" s="256"/>
      <c r="H335" s="256"/>
      <c r="I335" s="135"/>
      <c r="J335" s="135"/>
      <c r="K335" s="135"/>
      <c r="L335" s="135"/>
      <c r="M335" s="135"/>
      <c r="N335" s="135"/>
      <c r="O335" s="135"/>
      <c r="P335" s="135"/>
      <c r="Q335" s="135"/>
      <c r="R335" s="135"/>
      <c r="S335" s="135"/>
      <c r="T335" s="135"/>
      <c r="U335" s="189"/>
      <c r="V335" s="135"/>
      <c r="W335" s="135"/>
      <c r="X335" s="135"/>
      <c r="Y335" s="135"/>
      <c r="Z335" s="135"/>
      <c r="AA335" s="135"/>
    </row>
    <row r="336" customFormat="false" ht="15.75" hidden="false" customHeight="true" outlineLevel="0" collapsed="false">
      <c r="A336" s="135"/>
      <c r="B336" s="135"/>
      <c r="C336" s="135"/>
      <c r="D336" s="135"/>
      <c r="E336" s="189"/>
      <c r="F336" s="135"/>
      <c r="G336" s="256"/>
      <c r="H336" s="256"/>
      <c r="I336" s="135"/>
      <c r="J336" s="135"/>
      <c r="K336" s="135"/>
      <c r="L336" s="135"/>
      <c r="M336" s="135"/>
      <c r="N336" s="135"/>
      <c r="O336" s="135"/>
      <c r="P336" s="135"/>
      <c r="Q336" s="135"/>
      <c r="R336" s="135"/>
      <c r="S336" s="135"/>
      <c r="T336" s="135"/>
      <c r="U336" s="189"/>
      <c r="V336" s="135"/>
      <c r="W336" s="135"/>
      <c r="X336" s="135"/>
      <c r="Y336" s="135"/>
      <c r="Z336" s="135"/>
      <c r="AA336" s="135"/>
    </row>
    <row r="337" customFormat="false" ht="15.75" hidden="false" customHeight="true" outlineLevel="0" collapsed="false">
      <c r="A337" s="135"/>
      <c r="B337" s="135"/>
      <c r="C337" s="135"/>
      <c r="D337" s="135"/>
      <c r="E337" s="189"/>
      <c r="F337" s="135"/>
      <c r="G337" s="256"/>
      <c r="H337" s="256"/>
      <c r="I337" s="135"/>
      <c r="J337" s="135"/>
      <c r="K337" s="135"/>
      <c r="L337" s="135"/>
      <c r="M337" s="135"/>
      <c r="N337" s="135"/>
      <c r="O337" s="135"/>
      <c r="P337" s="135"/>
      <c r="Q337" s="135"/>
      <c r="R337" s="135"/>
      <c r="S337" s="135"/>
      <c r="T337" s="135"/>
      <c r="U337" s="189"/>
      <c r="V337" s="135"/>
      <c r="W337" s="135"/>
      <c r="X337" s="135"/>
      <c r="Y337" s="135"/>
      <c r="Z337" s="135"/>
      <c r="AA337" s="135"/>
    </row>
    <row r="338" customFormat="false" ht="15.75" hidden="false" customHeight="true" outlineLevel="0" collapsed="false">
      <c r="A338" s="135"/>
      <c r="B338" s="135"/>
      <c r="C338" s="135"/>
      <c r="D338" s="135"/>
      <c r="E338" s="189"/>
      <c r="F338" s="135"/>
      <c r="G338" s="256"/>
      <c r="H338" s="256"/>
      <c r="I338" s="135"/>
      <c r="J338" s="135"/>
      <c r="K338" s="135"/>
      <c r="L338" s="135"/>
      <c r="M338" s="135"/>
      <c r="N338" s="135"/>
      <c r="O338" s="135"/>
      <c r="P338" s="135"/>
      <c r="Q338" s="135"/>
      <c r="R338" s="135"/>
      <c r="S338" s="135"/>
      <c r="T338" s="135"/>
      <c r="U338" s="189"/>
      <c r="V338" s="135"/>
      <c r="W338" s="135"/>
      <c r="X338" s="135"/>
      <c r="Y338" s="135"/>
      <c r="Z338" s="135"/>
      <c r="AA338" s="135"/>
    </row>
    <row r="339" customFormat="false" ht="15.75" hidden="false" customHeight="true" outlineLevel="0" collapsed="false">
      <c r="A339" s="135"/>
      <c r="B339" s="135"/>
      <c r="C339" s="135"/>
      <c r="D339" s="135"/>
      <c r="E339" s="189"/>
      <c r="F339" s="135"/>
      <c r="G339" s="256"/>
      <c r="H339" s="256"/>
      <c r="I339" s="135"/>
      <c r="J339" s="135"/>
      <c r="K339" s="135"/>
      <c r="L339" s="135"/>
      <c r="M339" s="135"/>
      <c r="N339" s="135"/>
      <c r="O339" s="135"/>
      <c r="P339" s="135"/>
      <c r="Q339" s="135"/>
      <c r="R339" s="135"/>
      <c r="S339" s="135"/>
      <c r="T339" s="135"/>
      <c r="U339" s="189"/>
      <c r="V339" s="135"/>
      <c r="W339" s="135"/>
      <c r="X339" s="135"/>
      <c r="Y339" s="135"/>
      <c r="Z339" s="135"/>
      <c r="AA339" s="135"/>
    </row>
    <row r="340" customFormat="false" ht="15.75" hidden="false" customHeight="true" outlineLevel="0" collapsed="false">
      <c r="A340" s="135"/>
      <c r="B340" s="135"/>
      <c r="C340" s="135"/>
      <c r="D340" s="135"/>
      <c r="E340" s="189"/>
      <c r="F340" s="135"/>
      <c r="G340" s="256"/>
      <c r="H340" s="256"/>
      <c r="I340" s="135"/>
      <c r="J340" s="135"/>
      <c r="K340" s="135"/>
      <c r="L340" s="135"/>
      <c r="M340" s="135"/>
      <c r="N340" s="135"/>
      <c r="O340" s="135"/>
      <c r="P340" s="135"/>
      <c r="Q340" s="135"/>
      <c r="R340" s="135"/>
      <c r="S340" s="135"/>
      <c r="T340" s="135"/>
      <c r="U340" s="189"/>
      <c r="V340" s="135"/>
      <c r="W340" s="135"/>
      <c r="X340" s="135"/>
      <c r="Y340" s="135"/>
      <c r="Z340" s="135"/>
      <c r="AA340" s="135"/>
    </row>
    <row r="341" customFormat="false" ht="15.75" hidden="false" customHeight="true" outlineLevel="0" collapsed="false">
      <c r="A341" s="135"/>
      <c r="B341" s="135"/>
      <c r="C341" s="135"/>
      <c r="D341" s="135"/>
      <c r="E341" s="189"/>
      <c r="F341" s="135"/>
      <c r="G341" s="256"/>
      <c r="H341" s="256"/>
      <c r="I341" s="135"/>
      <c r="J341" s="135"/>
      <c r="K341" s="135"/>
      <c r="L341" s="135"/>
      <c r="M341" s="135"/>
      <c r="N341" s="135"/>
      <c r="O341" s="135"/>
      <c r="P341" s="135"/>
      <c r="Q341" s="135"/>
      <c r="R341" s="135"/>
      <c r="S341" s="135"/>
      <c r="T341" s="135"/>
      <c r="U341" s="189"/>
      <c r="V341" s="135"/>
      <c r="W341" s="135"/>
      <c r="X341" s="135"/>
      <c r="Y341" s="135"/>
      <c r="Z341" s="135"/>
      <c r="AA341" s="135"/>
    </row>
    <row r="342" customFormat="false" ht="15.75" hidden="false" customHeight="true" outlineLevel="0" collapsed="false">
      <c r="A342" s="135"/>
      <c r="B342" s="135"/>
      <c r="C342" s="135"/>
      <c r="D342" s="135"/>
      <c r="E342" s="189"/>
      <c r="F342" s="135"/>
      <c r="G342" s="256"/>
      <c r="H342" s="256"/>
      <c r="I342" s="135"/>
      <c r="J342" s="135"/>
      <c r="K342" s="135"/>
      <c r="L342" s="135"/>
      <c r="M342" s="135"/>
      <c r="N342" s="135"/>
      <c r="O342" s="135"/>
      <c r="P342" s="135"/>
      <c r="Q342" s="135"/>
      <c r="R342" s="135"/>
      <c r="S342" s="135"/>
      <c r="T342" s="135"/>
      <c r="U342" s="189"/>
      <c r="V342" s="135"/>
      <c r="W342" s="135"/>
      <c r="X342" s="135"/>
      <c r="Y342" s="135"/>
      <c r="Z342" s="135"/>
      <c r="AA342" s="135"/>
    </row>
    <row r="343" customFormat="false" ht="15.75" hidden="false" customHeight="true" outlineLevel="0" collapsed="false">
      <c r="A343" s="135"/>
      <c r="B343" s="135"/>
      <c r="C343" s="135"/>
      <c r="D343" s="135"/>
      <c r="E343" s="189"/>
      <c r="F343" s="135"/>
      <c r="G343" s="256"/>
      <c r="H343" s="256"/>
      <c r="I343" s="135"/>
      <c r="J343" s="135"/>
      <c r="K343" s="135"/>
      <c r="L343" s="135"/>
      <c r="M343" s="135"/>
      <c r="N343" s="135"/>
      <c r="O343" s="135"/>
      <c r="P343" s="135"/>
      <c r="Q343" s="135"/>
      <c r="R343" s="135"/>
      <c r="S343" s="135"/>
      <c r="T343" s="135"/>
      <c r="U343" s="189"/>
      <c r="V343" s="135"/>
      <c r="W343" s="135"/>
      <c r="X343" s="135"/>
      <c r="Y343" s="135"/>
      <c r="Z343" s="135"/>
      <c r="AA343" s="135"/>
    </row>
    <row r="344" customFormat="false" ht="15.75" hidden="false" customHeight="true" outlineLevel="0" collapsed="false">
      <c r="A344" s="135"/>
      <c r="B344" s="135"/>
      <c r="C344" s="135"/>
      <c r="D344" s="135"/>
      <c r="E344" s="189"/>
      <c r="F344" s="135"/>
      <c r="G344" s="256"/>
      <c r="H344" s="256"/>
      <c r="I344" s="135"/>
      <c r="J344" s="135"/>
      <c r="K344" s="135"/>
      <c r="L344" s="135"/>
      <c r="M344" s="135"/>
      <c r="N344" s="135"/>
      <c r="O344" s="135"/>
      <c r="P344" s="135"/>
      <c r="Q344" s="135"/>
      <c r="R344" s="135"/>
      <c r="S344" s="135"/>
      <c r="T344" s="135"/>
      <c r="U344" s="189"/>
      <c r="V344" s="135"/>
      <c r="W344" s="135"/>
      <c r="X344" s="135"/>
      <c r="Y344" s="135"/>
      <c r="Z344" s="135"/>
      <c r="AA344" s="135"/>
    </row>
    <row r="345" customFormat="false" ht="15.75" hidden="false" customHeight="true" outlineLevel="0" collapsed="false">
      <c r="A345" s="135"/>
      <c r="B345" s="135"/>
      <c r="C345" s="135"/>
      <c r="D345" s="135"/>
      <c r="E345" s="189"/>
      <c r="F345" s="135"/>
      <c r="G345" s="256"/>
      <c r="H345" s="256"/>
      <c r="I345" s="135"/>
      <c r="J345" s="135"/>
      <c r="K345" s="135"/>
      <c r="L345" s="135"/>
      <c r="M345" s="135"/>
      <c r="N345" s="135"/>
      <c r="O345" s="135"/>
      <c r="P345" s="135"/>
      <c r="Q345" s="135"/>
      <c r="R345" s="135"/>
      <c r="S345" s="135"/>
      <c r="T345" s="135"/>
      <c r="U345" s="189"/>
      <c r="V345" s="135"/>
      <c r="W345" s="135"/>
      <c r="X345" s="135"/>
      <c r="Y345" s="135"/>
      <c r="Z345" s="135"/>
      <c r="AA345" s="135"/>
    </row>
    <row r="346" customFormat="false" ht="15.75" hidden="false" customHeight="true" outlineLevel="0" collapsed="false">
      <c r="A346" s="135"/>
      <c r="B346" s="135"/>
      <c r="C346" s="135"/>
      <c r="D346" s="135"/>
      <c r="E346" s="189"/>
      <c r="F346" s="135"/>
      <c r="G346" s="256"/>
      <c r="H346" s="256"/>
      <c r="I346" s="135"/>
      <c r="J346" s="135"/>
      <c r="K346" s="135"/>
      <c r="L346" s="135"/>
      <c r="M346" s="135"/>
      <c r="N346" s="135"/>
      <c r="O346" s="135"/>
      <c r="P346" s="135"/>
      <c r="Q346" s="135"/>
      <c r="R346" s="135"/>
      <c r="S346" s="135"/>
      <c r="T346" s="135"/>
      <c r="U346" s="189"/>
      <c r="V346" s="135"/>
      <c r="W346" s="135"/>
      <c r="X346" s="135"/>
      <c r="Y346" s="135"/>
      <c r="Z346" s="135"/>
      <c r="AA346" s="135"/>
    </row>
    <row r="347" customFormat="false" ht="15.75" hidden="false" customHeight="true" outlineLevel="0" collapsed="false">
      <c r="A347" s="135"/>
      <c r="B347" s="135"/>
      <c r="C347" s="135"/>
      <c r="D347" s="135"/>
      <c r="E347" s="189"/>
      <c r="F347" s="135"/>
      <c r="G347" s="256"/>
      <c r="H347" s="256"/>
      <c r="I347" s="135"/>
      <c r="J347" s="135"/>
      <c r="K347" s="135"/>
      <c r="L347" s="135"/>
      <c r="M347" s="135"/>
      <c r="N347" s="135"/>
      <c r="O347" s="135"/>
      <c r="P347" s="135"/>
      <c r="Q347" s="135"/>
      <c r="R347" s="135"/>
      <c r="S347" s="135"/>
      <c r="T347" s="135"/>
      <c r="U347" s="189"/>
      <c r="V347" s="135"/>
      <c r="W347" s="135"/>
      <c r="X347" s="135"/>
      <c r="Y347" s="135"/>
      <c r="Z347" s="135"/>
      <c r="AA347" s="135"/>
    </row>
    <row r="348" customFormat="false" ht="15.75" hidden="false" customHeight="true" outlineLevel="0" collapsed="false">
      <c r="A348" s="135"/>
      <c r="B348" s="135"/>
      <c r="C348" s="135"/>
      <c r="D348" s="135"/>
      <c r="E348" s="189"/>
      <c r="F348" s="135"/>
      <c r="G348" s="256"/>
      <c r="H348" s="256"/>
      <c r="I348" s="135"/>
      <c r="J348" s="135"/>
      <c r="K348" s="135"/>
      <c r="L348" s="135"/>
      <c r="M348" s="135"/>
      <c r="N348" s="135"/>
      <c r="O348" s="135"/>
      <c r="P348" s="135"/>
      <c r="Q348" s="135"/>
      <c r="R348" s="135"/>
      <c r="S348" s="135"/>
      <c r="T348" s="135"/>
      <c r="U348" s="189"/>
      <c r="V348" s="135"/>
      <c r="W348" s="135"/>
      <c r="X348" s="135"/>
      <c r="Y348" s="135"/>
      <c r="Z348" s="135"/>
      <c r="AA348" s="135"/>
    </row>
    <row r="349" customFormat="false" ht="15.75" hidden="false" customHeight="true" outlineLevel="0" collapsed="false">
      <c r="A349" s="135"/>
      <c r="B349" s="135"/>
      <c r="C349" s="135"/>
      <c r="D349" s="135"/>
      <c r="E349" s="189"/>
      <c r="F349" s="135"/>
      <c r="G349" s="256"/>
      <c r="H349" s="256"/>
      <c r="I349" s="135"/>
      <c r="J349" s="135"/>
      <c r="K349" s="135"/>
      <c r="L349" s="135"/>
      <c r="M349" s="135"/>
      <c r="N349" s="135"/>
      <c r="O349" s="135"/>
      <c r="P349" s="135"/>
      <c r="Q349" s="135"/>
      <c r="R349" s="135"/>
      <c r="S349" s="135"/>
      <c r="T349" s="135"/>
      <c r="U349" s="189"/>
      <c r="V349" s="135"/>
      <c r="W349" s="135"/>
      <c r="X349" s="135"/>
      <c r="Y349" s="135"/>
      <c r="Z349" s="135"/>
      <c r="AA349" s="135"/>
    </row>
    <row r="350" customFormat="false" ht="15.75" hidden="false" customHeight="true" outlineLevel="0" collapsed="false">
      <c r="A350" s="135"/>
      <c r="B350" s="135"/>
      <c r="C350" s="135"/>
      <c r="D350" s="135"/>
      <c r="E350" s="189"/>
      <c r="F350" s="135"/>
      <c r="G350" s="256"/>
      <c r="H350" s="256"/>
      <c r="I350" s="135"/>
      <c r="J350" s="135"/>
      <c r="K350" s="135"/>
      <c r="L350" s="135"/>
      <c r="M350" s="135"/>
      <c r="N350" s="135"/>
      <c r="O350" s="135"/>
      <c r="P350" s="135"/>
      <c r="Q350" s="135"/>
      <c r="R350" s="135"/>
      <c r="S350" s="135"/>
      <c r="T350" s="135"/>
      <c r="U350" s="189"/>
      <c r="V350" s="135"/>
      <c r="W350" s="135"/>
      <c r="X350" s="135"/>
      <c r="Y350" s="135"/>
      <c r="Z350" s="135"/>
      <c r="AA350" s="135"/>
    </row>
    <row r="351" customFormat="false" ht="15.75" hidden="false" customHeight="true" outlineLevel="0" collapsed="false">
      <c r="A351" s="135"/>
      <c r="B351" s="135"/>
      <c r="C351" s="135"/>
      <c r="D351" s="135"/>
      <c r="E351" s="189"/>
      <c r="F351" s="135"/>
      <c r="G351" s="256"/>
      <c r="H351" s="256"/>
      <c r="I351" s="135"/>
      <c r="J351" s="135"/>
      <c r="K351" s="135"/>
      <c r="L351" s="135"/>
      <c r="M351" s="135"/>
      <c r="N351" s="135"/>
      <c r="O351" s="135"/>
      <c r="P351" s="135"/>
      <c r="Q351" s="135"/>
      <c r="R351" s="135"/>
      <c r="S351" s="135"/>
      <c r="T351" s="135"/>
      <c r="U351" s="189"/>
      <c r="V351" s="135"/>
      <c r="W351" s="135"/>
      <c r="X351" s="135"/>
      <c r="Y351" s="135"/>
      <c r="Z351" s="135"/>
      <c r="AA351" s="135"/>
    </row>
    <row r="352" customFormat="false" ht="15.75" hidden="false" customHeight="true" outlineLevel="0" collapsed="false">
      <c r="A352" s="135"/>
      <c r="B352" s="135"/>
      <c r="C352" s="135"/>
      <c r="D352" s="135"/>
      <c r="E352" s="189"/>
      <c r="F352" s="135"/>
      <c r="G352" s="256"/>
      <c r="H352" s="256"/>
      <c r="I352" s="135"/>
      <c r="J352" s="135"/>
      <c r="K352" s="135"/>
      <c r="L352" s="135"/>
      <c r="M352" s="135"/>
      <c r="N352" s="135"/>
      <c r="O352" s="135"/>
      <c r="P352" s="135"/>
      <c r="Q352" s="135"/>
      <c r="R352" s="135"/>
      <c r="S352" s="135"/>
      <c r="T352" s="135"/>
      <c r="U352" s="189"/>
      <c r="V352" s="135"/>
      <c r="W352" s="135"/>
      <c r="X352" s="135"/>
      <c r="Y352" s="135"/>
      <c r="Z352" s="135"/>
      <c r="AA352" s="135"/>
    </row>
    <row r="353" customFormat="false" ht="15.75" hidden="false" customHeight="true" outlineLevel="0" collapsed="false">
      <c r="A353" s="135"/>
      <c r="B353" s="135"/>
      <c r="C353" s="135"/>
      <c r="D353" s="135"/>
      <c r="E353" s="189"/>
      <c r="F353" s="135"/>
      <c r="G353" s="256"/>
      <c r="H353" s="256"/>
      <c r="I353" s="135"/>
      <c r="J353" s="135"/>
      <c r="K353" s="135"/>
      <c r="L353" s="135"/>
      <c r="M353" s="135"/>
      <c r="N353" s="135"/>
      <c r="O353" s="135"/>
      <c r="P353" s="135"/>
      <c r="Q353" s="135"/>
      <c r="R353" s="135"/>
      <c r="S353" s="135"/>
      <c r="T353" s="135"/>
      <c r="U353" s="189"/>
      <c r="V353" s="135"/>
      <c r="W353" s="135"/>
      <c r="X353" s="135"/>
      <c r="Y353" s="135"/>
      <c r="Z353" s="135"/>
      <c r="AA353" s="135"/>
    </row>
    <row r="354" customFormat="false" ht="15.75" hidden="false" customHeight="true" outlineLevel="0" collapsed="false">
      <c r="A354" s="135"/>
      <c r="B354" s="135"/>
      <c r="C354" s="135"/>
      <c r="D354" s="135"/>
      <c r="E354" s="189"/>
      <c r="F354" s="135"/>
      <c r="G354" s="256"/>
      <c r="H354" s="256"/>
      <c r="I354" s="135"/>
      <c r="J354" s="135"/>
      <c r="K354" s="135"/>
      <c r="L354" s="135"/>
      <c r="M354" s="135"/>
      <c r="N354" s="135"/>
      <c r="O354" s="135"/>
      <c r="P354" s="135"/>
      <c r="Q354" s="135"/>
      <c r="R354" s="135"/>
      <c r="S354" s="135"/>
      <c r="T354" s="135"/>
      <c r="U354" s="189"/>
      <c r="V354" s="135"/>
      <c r="W354" s="135"/>
      <c r="X354" s="135"/>
      <c r="Y354" s="135"/>
      <c r="Z354" s="135"/>
      <c r="AA354" s="135"/>
    </row>
    <row r="355" customFormat="false" ht="15.75" hidden="false" customHeight="true" outlineLevel="0" collapsed="false">
      <c r="A355" s="135"/>
      <c r="B355" s="135"/>
      <c r="C355" s="135"/>
      <c r="D355" s="135"/>
      <c r="E355" s="189"/>
      <c r="F355" s="135"/>
      <c r="G355" s="256"/>
      <c r="H355" s="256"/>
      <c r="I355" s="135"/>
      <c r="J355" s="135"/>
      <c r="K355" s="135"/>
      <c r="L355" s="135"/>
      <c r="M355" s="135"/>
      <c r="N355" s="135"/>
      <c r="O355" s="135"/>
      <c r="P355" s="135"/>
      <c r="Q355" s="135"/>
      <c r="R355" s="135"/>
      <c r="S355" s="135"/>
      <c r="T355" s="135"/>
      <c r="U355" s="189"/>
      <c r="V355" s="135"/>
      <c r="W355" s="135"/>
      <c r="X355" s="135"/>
      <c r="Y355" s="135"/>
      <c r="Z355" s="135"/>
      <c r="AA355" s="135"/>
    </row>
    <row r="356" customFormat="false" ht="15.75" hidden="false" customHeight="true" outlineLevel="0" collapsed="false">
      <c r="A356" s="135"/>
      <c r="B356" s="135"/>
      <c r="C356" s="135"/>
      <c r="D356" s="135"/>
      <c r="E356" s="189"/>
      <c r="F356" s="135"/>
      <c r="G356" s="256"/>
      <c r="H356" s="256"/>
      <c r="I356" s="135"/>
      <c r="J356" s="135"/>
      <c r="K356" s="135"/>
      <c r="L356" s="135"/>
      <c r="M356" s="135"/>
      <c r="N356" s="135"/>
      <c r="O356" s="135"/>
      <c r="P356" s="135"/>
      <c r="Q356" s="135"/>
      <c r="R356" s="135"/>
      <c r="S356" s="135"/>
      <c r="T356" s="135"/>
      <c r="U356" s="189"/>
      <c r="V356" s="135"/>
      <c r="W356" s="135"/>
      <c r="X356" s="135"/>
      <c r="Y356" s="135"/>
      <c r="Z356" s="135"/>
      <c r="AA356" s="135"/>
    </row>
    <row r="357" customFormat="false" ht="15.75" hidden="false" customHeight="true" outlineLevel="0" collapsed="false">
      <c r="A357" s="135"/>
      <c r="B357" s="135"/>
      <c r="C357" s="135"/>
      <c r="D357" s="135"/>
      <c r="E357" s="189"/>
      <c r="F357" s="135"/>
      <c r="G357" s="256"/>
      <c r="H357" s="256"/>
      <c r="I357" s="135"/>
      <c r="J357" s="135"/>
      <c r="K357" s="135"/>
      <c r="L357" s="135"/>
      <c r="M357" s="135"/>
      <c r="N357" s="135"/>
      <c r="O357" s="135"/>
      <c r="P357" s="135"/>
      <c r="Q357" s="135"/>
      <c r="R357" s="135"/>
      <c r="S357" s="135"/>
      <c r="T357" s="135"/>
      <c r="U357" s="189"/>
      <c r="V357" s="135"/>
      <c r="W357" s="135"/>
      <c r="X357" s="135"/>
      <c r="Y357" s="135"/>
      <c r="Z357" s="135"/>
      <c r="AA357" s="135"/>
    </row>
    <row r="358" customFormat="false" ht="15.75" hidden="false" customHeight="true" outlineLevel="0" collapsed="false">
      <c r="A358" s="135"/>
      <c r="B358" s="135"/>
      <c r="C358" s="135"/>
      <c r="D358" s="135"/>
      <c r="E358" s="189"/>
      <c r="F358" s="135"/>
      <c r="G358" s="256"/>
      <c r="H358" s="256"/>
      <c r="I358" s="135"/>
      <c r="J358" s="135"/>
      <c r="K358" s="135"/>
      <c r="L358" s="135"/>
      <c r="M358" s="135"/>
      <c r="N358" s="135"/>
      <c r="O358" s="135"/>
      <c r="P358" s="135"/>
      <c r="Q358" s="135"/>
      <c r="R358" s="135"/>
      <c r="S358" s="135"/>
      <c r="T358" s="135"/>
      <c r="U358" s="189"/>
      <c r="V358" s="135"/>
      <c r="W358" s="135"/>
      <c r="X358" s="135"/>
      <c r="Y358" s="135"/>
      <c r="Z358" s="135"/>
      <c r="AA358" s="135"/>
    </row>
    <row r="359" customFormat="false" ht="15.75" hidden="false" customHeight="true" outlineLevel="0" collapsed="false">
      <c r="A359" s="135"/>
      <c r="B359" s="135"/>
      <c r="C359" s="135"/>
      <c r="D359" s="135"/>
      <c r="E359" s="189"/>
      <c r="F359" s="135"/>
      <c r="G359" s="256"/>
      <c r="H359" s="256"/>
      <c r="I359" s="135"/>
      <c r="J359" s="135"/>
      <c r="K359" s="135"/>
      <c r="L359" s="135"/>
      <c r="M359" s="135"/>
      <c r="N359" s="135"/>
      <c r="O359" s="135"/>
      <c r="P359" s="135"/>
      <c r="Q359" s="135"/>
      <c r="R359" s="135"/>
      <c r="S359" s="135"/>
      <c r="T359" s="135"/>
      <c r="U359" s="189"/>
      <c r="V359" s="135"/>
      <c r="W359" s="135"/>
      <c r="X359" s="135"/>
      <c r="Y359" s="135"/>
      <c r="Z359" s="135"/>
      <c r="AA359" s="135"/>
    </row>
    <row r="360" customFormat="false" ht="15.75" hidden="false" customHeight="true" outlineLevel="0" collapsed="false">
      <c r="A360" s="135"/>
      <c r="B360" s="135"/>
      <c r="C360" s="135"/>
      <c r="D360" s="135"/>
      <c r="E360" s="189"/>
      <c r="F360" s="135"/>
      <c r="G360" s="256"/>
      <c r="H360" s="256"/>
      <c r="I360" s="135"/>
      <c r="J360" s="135"/>
      <c r="K360" s="135"/>
      <c r="L360" s="135"/>
      <c r="M360" s="135"/>
      <c r="N360" s="135"/>
      <c r="O360" s="135"/>
      <c r="P360" s="135"/>
      <c r="Q360" s="135"/>
      <c r="R360" s="135"/>
      <c r="S360" s="135"/>
      <c r="T360" s="135"/>
      <c r="U360" s="189"/>
      <c r="V360" s="135"/>
      <c r="W360" s="135"/>
      <c r="X360" s="135"/>
      <c r="Y360" s="135"/>
      <c r="Z360" s="135"/>
      <c r="AA360" s="135"/>
    </row>
    <row r="361" customFormat="false" ht="15.75" hidden="false" customHeight="true" outlineLevel="0" collapsed="false">
      <c r="A361" s="135"/>
      <c r="B361" s="135"/>
      <c r="C361" s="135"/>
      <c r="D361" s="135"/>
      <c r="E361" s="189"/>
      <c r="F361" s="135"/>
      <c r="G361" s="256"/>
      <c r="H361" s="256"/>
      <c r="I361" s="135"/>
      <c r="J361" s="135"/>
      <c r="K361" s="135"/>
      <c r="L361" s="135"/>
      <c r="M361" s="135"/>
      <c r="N361" s="135"/>
      <c r="O361" s="135"/>
      <c r="P361" s="135"/>
      <c r="Q361" s="135"/>
      <c r="R361" s="135"/>
      <c r="S361" s="135"/>
      <c r="T361" s="135"/>
      <c r="U361" s="189"/>
      <c r="V361" s="135"/>
      <c r="W361" s="135"/>
      <c r="X361" s="135"/>
      <c r="Y361" s="135"/>
      <c r="Z361" s="135"/>
      <c r="AA361" s="135"/>
    </row>
    <row r="362" customFormat="false" ht="15.75" hidden="false" customHeight="true" outlineLevel="0" collapsed="false">
      <c r="A362" s="135"/>
      <c r="B362" s="135"/>
      <c r="C362" s="135"/>
      <c r="D362" s="135"/>
      <c r="E362" s="189"/>
      <c r="F362" s="135"/>
      <c r="G362" s="256"/>
      <c r="H362" s="256"/>
      <c r="I362" s="135"/>
      <c r="J362" s="135"/>
      <c r="K362" s="135"/>
      <c r="L362" s="135"/>
      <c r="M362" s="135"/>
      <c r="N362" s="135"/>
      <c r="O362" s="135"/>
      <c r="P362" s="135"/>
      <c r="Q362" s="135"/>
      <c r="R362" s="135"/>
      <c r="S362" s="135"/>
      <c r="T362" s="135"/>
      <c r="U362" s="189"/>
      <c r="V362" s="135"/>
      <c r="W362" s="135"/>
      <c r="X362" s="135"/>
      <c r="Y362" s="135"/>
      <c r="Z362" s="135"/>
      <c r="AA362" s="135"/>
    </row>
    <row r="363" customFormat="false" ht="15.75" hidden="false" customHeight="true" outlineLevel="0" collapsed="false">
      <c r="A363" s="135"/>
      <c r="B363" s="135"/>
      <c r="C363" s="135"/>
      <c r="D363" s="135"/>
      <c r="E363" s="189"/>
      <c r="F363" s="135"/>
      <c r="G363" s="256"/>
      <c r="H363" s="256"/>
      <c r="I363" s="135"/>
      <c r="J363" s="135"/>
      <c r="K363" s="135"/>
      <c r="L363" s="135"/>
      <c r="M363" s="135"/>
      <c r="N363" s="135"/>
      <c r="O363" s="135"/>
      <c r="P363" s="135"/>
      <c r="Q363" s="135"/>
      <c r="R363" s="135"/>
      <c r="S363" s="135"/>
      <c r="T363" s="135"/>
      <c r="U363" s="189"/>
      <c r="V363" s="135"/>
      <c r="W363" s="135"/>
      <c r="X363" s="135"/>
      <c r="Y363" s="135"/>
      <c r="Z363" s="135"/>
      <c r="AA363" s="135"/>
    </row>
    <row r="364" customFormat="false" ht="15.75" hidden="false" customHeight="true" outlineLevel="0" collapsed="false">
      <c r="A364" s="135"/>
      <c r="B364" s="135"/>
      <c r="C364" s="135"/>
      <c r="D364" s="135"/>
      <c r="E364" s="189"/>
      <c r="F364" s="135"/>
      <c r="G364" s="256"/>
      <c r="H364" s="256"/>
      <c r="I364" s="135"/>
      <c r="J364" s="135"/>
      <c r="K364" s="135"/>
      <c r="L364" s="135"/>
      <c r="M364" s="135"/>
      <c r="N364" s="135"/>
      <c r="O364" s="135"/>
      <c r="P364" s="135"/>
      <c r="Q364" s="135"/>
      <c r="R364" s="135"/>
      <c r="S364" s="135"/>
      <c r="T364" s="135"/>
      <c r="U364" s="189"/>
      <c r="V364" s="135"/>
      <c r="W364" s="135"/>
      <c r="X364" s="135"/>
      <c r="Y364" s="135"/>
      <c r="Z364" s="135"/>
      <c r="AA364" s="135"/>
    </row>
    <row r="365" customFormat="false" ht="15.75" hidden="false" customHeight="true" outlineLevel="0" collapsed="false">
      <c r="A365" s="135"/>
      <c r="B365" s="135"/>
      <c r="C365" s="135"/>
      <c r="D365" s="135"/>
      <c r="E365" s="189"/>
      <c r="F365" s="135"/>
      <c r="G365" s="256"/>
      <c r="H365" s="256"/>
      <c r="I365" s="135"/>
      <c r="J365" s="135"/>
      <c r="K365" s="135"/>
      <c r="L365" s="135"/>
      <c r="M365" s="135"/>
      <c r="N365" s="135"/>
      <c r="O365" s="135"/>
      <c r="P365" s="135"/>
      <c r="Q365" s="135"/>
      <c r="R365" s="135"/>
      <c r="S365" s="135"/>
      <c r="T365" s="135"/>
      <c r="U365" s="189"/>
      <c r="V365" s="135"/>
      <c r="W365" s="135"/>
      <c r="X365" s="135"/>
      <c r="Y365" s="135"/>
      <c r="Z365" s="135"/>
      <c r="AA365" s="135"/>
    </row>
    <row r="366" customFormat="false" ht="15.75" hidden="false" customHeight="true" outlineLevel="0" collapsed="false">
      <c r="A366" s="135"/>
      <c r="B366" s="135"/>
      <c r="C366" s="135"/>
      <c r="D366" s="135"/>
      <c r="E366" s="189"/>
      <c r="F366" s="135"/>
      <c r="G366" s="256"/>
      <c r="H366" s="256"/>
      <c r="I366" s="135"/>
      <c r="J366" s="135"/>
      <c r="K366" s="135"/>
      <c r="L366" s="135"/>
      <c r="M366" s="135"/>
      <c r="N366" s="135"/>
      <c r="O366" s="135"/>
      <c r="P366" s="135"/>
      <c r="Q366" s="135"/>
      <c r="R366" s="135"/>
      <c r="S366" s="135"/>
      <c r="T366" s="135"/>
      <c r="U366" s="189"/>
      <c r="V366" s="135"/>
      <c r="W366" s="135"/>
      <c r="X366" s="135"/>
      <c r="Y366" s="135"/>
      <c r="Z366" s="135"/>
      <c r="AA366" s="135"/>
    </row>
    <row r="367" customFormat="false" ht="15.75" hidden="false" customHeight="true" outlineLevel="0" collapsed="false">
      <c r="A367" s="135"/>
      <c r="B367" s="135"/>
      <c r="C367" s="135"/>
      <c r="D367" s="135"/>
      <c r="E367" s="189"/>
      <c r="F367" s="135"/>
      <c r="G367" s="256"/>
      <c r="H367" s="256"/>
      <c r="I367" s="135"/>
      <c r="J367" s="135"/>
      <c r="K367" s="135"/>
      <c r="L367" s="135"/>
      <c r="M367" s="135"/>
      <c r="N367" s="135"/>
      <c r="O367" s="135"/>
      <c r="P367" s="135"/>
      <c r="Q367" s="135"/>
      <c r="R367" s="135"/>
      <c r="S367" s="135"/>
      <c r="T367" s="135"/>
      <c r="U367" s="189"/>
      <c r="V367" s="135"/>
      <c r="W367" s="135"/>
      <c r="X367" s="135"/>
      <c r="Y367" s="135"/>
      <c r="Z367" s="135"/>
      <c r="AA367" s="135"/>
    </row>
    <row r="368" customFormat="false" ht="15.75" hidden="false" customHeight="true" outlineLevel="0" collapsed="false">
      <c r="A368" s="135"/>
      <c r="B368" s="135"/>
      <c r="C368" s="135"/>
      <c r="D368" s="135"/>
      <c r="E368" s="189"/>
      <c r="F368" s="135"/>
      <c r="G368" s="256"/>
      <c r="H368" s="256"/>
      <c r="I368" s="135"/>
      <c r="J368" s="135"/>
      <c r="K368" s="135"/>
      <c r="L368" s="135"/>
      <c r="M368" s="135"/>
      <c r="N368" s="135"/>
      <c r="O368" s="135"/>
      <c r="P368" s="135"/>
      <c r="Q368" s="135"/>
      <c r="R368" s="135"/>
      <c r="S368" s="135"/>
      <c r="T368" s="135"/>
      <c r="U368" s="189"/>
      <c r="V368" s="135"/>
      <c r="W368" s="135"/>
      <c r="X368" s="135"/>
      <c r="Y368" s="135"/>
      <c r="Z368" s="135"/>
      <c r="AA368" s="135"/>
    </row>
    <row r="369" customFormat="false" ht="15.75" hidden="false" customHeight="true" outlineLevel="0" collapsed="false">
      <c r="A369" s="135"/>
      <c r="B369" s="135"/>
      <c r="C369" s="135"/>
      <c r="D369" s="135"/>
      <c r="E369" s="189"/>
      <c r="F369" s="135"/>
      <c r="G369" s="256"/>
      <c r="H369" s="256"/>
      <c r="I369" s="135"/>
      <c r="J369" s="135"/>
      <c r="K369" s="135"/>
      <c r="L369" s="135"/>
      <c r="M369" s="135"/>
      <c r="N369" s="135"/>
      <c r="O369" s="135"/>
      <c r="P369" s="135"/>
      <c r="Q369" s="135"/>
      <c r="R369" s="135"/>
      <c r="S369" s="135"/>
      <c r="T369" s="135"/>
      <c r="U369" s="189"/>
      <c r="V369" s="135"/>
      <c r="W369" s="135"/>
      <c r="X369" s="135"/>
      <c r="Y369" s="135"/>
      <c r="Z369" s="135"/>
      <c r="AA369" s="135"/>
    </row>
    <row r="370" customFormat="false" ht="15.75" hidden="false" customHeight="true" outlineLevel="0" collapsed="false">
      <c r="A370" s="135"/>
      <c r="B370" s="135"/>
      <c r="C370" s="135"/>
      <c r="D370" s="135"/>
      <c r="E370" s="189"/>
      <c r="F370" s="135"/>
      <c r="G370" s="256"/>
      <c r="H370" s="256"/>
      <c r="I370" s="135"/>
      <c r="J370" s="135"/>
      <c r="K370" s="135"/>
      <c r="L370" s="135"/>
      <c r="M370" s="135"/>
      <c r="N370" s="135"/>
      <c r="O370" s="135"/>
      <c r="P370" s="135"/>
      <c r="Q370" s="135"/>
      <c r="R370" s="135"/>
      <c r="S370" s="135"/>
      <c r="T370" s="135"/>
      <c r="U370" s="189"/>
      <c r="V370" s="135"/>
      <c r="W370" s="135"/>
      <c r="X370" s="135"/>
      <c r="Y370" s="135"/>
      <c r="Z370" s="135"/>
      <c r="AA370" s="135"/>
    </row>
    <row r="371" customFormat="false" ht="15.75" hidden="false" customHeight="true" outlineLevel="0" collapsed="false">
      <c r="A371" s="135"/>
      <c r="B371" s="135"/>
      <c r="C371" s="135"/>
      <c r="D371" s="135"/>
      <c r="E371" s="189"/>
      <c r="F371" s="135"/>
      <c r="G371" s="256"/>
      <c r="H371" s="256"/>
      <c r="I371" s="135"/>
      <c r="J371" s="135"/>
      <c r="K371" s="135"/>
      <c r="L371" s="135"/>
      <c r="M371" s="135"/>
      <c r="N371" s="135"/>
      <c r="O371" s="135"/>
      <c r="P371" s="135"/>
      <c r="Q371" s="135"/>
      <c r="R371" s="135"/>
      <c r="S371" s="135"/>
      <c r="T371" s="135"/>
      <c r="U371" s="189"/>
      <c r="V371" s="135"/>
      <c r="W371" s="135"/>
      <c r="X371" s="135"/>
      <c r="Y371" s="135"/>
      <c r="Z371" s="135"/>
      <c r="AA371" s="135"/>
    </row>
    <row r="372" customFormat="false" ht="15.75" hidden="false" customHeight="true" outlineLevel="0" collapsed="false">
      <c r="A372" s="135"/>
      <c r="B372" s="135"/>
      <c r="C372" s="135"/>
      <c r="D372" s="135"/>
      <c r="E372" s="189"/>
      <c r="F372" s="135"/>
      <c r="G372" s="256"/>
      <c r="H372" s="256"/>
      <c r="I372" s="135"/>
      <c r="J372" s="135"/>
      <c r="K372" s="135"/>
      <c r="L372" s="135"/>
      <c r="M372" s="135"/>
      <c r="N372" s="135"/>
      <c r="O372" s="135"/>
      <c r="P372" s="135"/>
      <c r="Q372" s="135"/>
      <c r="R372" s="135"/>
      <c r="S372" s="135"/>
      <c r="T372" s="135"/>
      <c r="U372" s="189"/>
      <c r="V372" s="135"/>
      <c r="W372" s="135"/>
      <c r="X372" s="135"/>
      <c r="Y372" s="135"/>
      <c r="Z372" s="135"/>
      <c r="AA372" s="135"/>
    </row>
    <row r="373" customFormat="false" ht="15.75" hidden="false" customHeight="true" outlineLevel="0" collapsed="false">
      <c r="A373" s="135"/>
      <c r="B373" s="135"/>
      <c r="C373" s="135"/>
      <c r="D373" s="135"/>
      <c r="E373" s="189"/>
      <c r="F373" s="135"/>
      <c r="G373" s="256"/>
      <c r="H373" s="256"/>
      <c r="I373" s="135"/>
      <c r="J373" s="135"/>
      <c r="K373" s="135"/>
      <c r="L373" s="135"/>
      <c r="M373" s="135"/>
      <c r="N373" s="135"/>
      <c r="O373" s="135"/>
      <c r="P373" s="135"/>
      <c r="Q373" s="135"/>
      <c r="R373" s="135"/>
      <c r="S373" s="135"/>
      <c r="T373" s="135"/>
      <c r="U373" s="189"/>
      <c r="V373" s="135"/>
      <c r="W373" s="135"/>
      <c r="X373" s="135"/>
      <c r="Y373" s="135"/>
      <c r="Z373" s="135"/>
      <c r="AA373" s="135"/>
    </row>
    <row r="374" customFormat="false" ht="15.75" hidden="false" customHeight="true" outlineLevel="0" collapsed="false">
      <c r="A374" s="135"/>
      <c r="B374" s="135"/>
      <c r="C374" s="135"/>
      <c r="D374" s="135"/>
      <c r="E374" s="189"/>
      <c r="F374" s="135"/>
      <c r="G374" s="256"/>
      <c r="H374" s="256"/>
      <c r="I374" s="135"/>
      <c r="J374" s="135"/>
      <c r="K374" s="135"/>
      <c r="L374" s="135"/>
      <c r="M374" s="135"/>
      <c r="N374" s="135"/>
      <c r="O374" s="135"/>
      <c r="P374" s="135"/>
      <c r="Q374" s="135"/>
      <c r="R374" s="135"/>
      <c r="S374" s="135"/>
      <c r="T374" s="135"/>
      <c r="U374" s="189"/>
      <c r="V374" s="135"/>
      <c r="W374" s="135"/>
      <c r="X374" s="135"/>
      <c r="Y374" s="135"/>
      <c r="Z374" s="135"/>
      <c r="AA374" s="135"/>
    </row>
    <row r="375" customFormat="false" ht="15.75" hidden="false" customHeight="true" outlineLevel="0" collapsed="false">
      <c r="A375" s="135"/>
      <c r="B375" s="135"/>
      <c r="C375" s="135"/>
      <c r="D375" s="135"/>
      <c r="E375" s="189"/>
      <c r="F375" s="135"/>
      <c r="G375" s="256"/>
      <c r="H375" s="256"/>
      <c r="I375" s="135"/>
      <c r="J375" s="135"/>
      <c r="K375" s="135"/>
      <c r="L375" s="135"/>
      <c r="M375" s="135"/>
      <c r="N375" s="135"/>
      <c r="O375" s="135"/>
      <c r="P375" s="135"/>
      <c r="Q375" s="135"/>
      <c r="R375" s="135"/>
      <c r="S375" s="135"/>
      <c r="T375" s="135"/>
      <c r="U375" s="189"/>
      <c r="V375" s="135"/>
      <c r="W375" s="135"/>
      <c r="X375" s="135"/>
      <c r="Y375" s="135"/>
      <c r="Z375" s="135"/>
      <c r="AA375" s="135"/>
    </row>
    <row r="376" customFormat="false" ht="15.75" hidden="false" customHeight="true" outlineLevel="0" collapsed="false">
      <c r="A376" s="135"/>
      <c r="B376" s="135"/>
      <c r="C376" s="135"/>
      <c r="D376" s="135"/>
      <c r="E376" s="189"/>
      <c r="F376" s="135"/>
      <c r="G376" s="256"/>
      <c r="H376" s="256"/>
      <c r="I376" s="135"/>
      <c r="J376" s="135"/>
      <c r="K376" s="135"/>
      <c r="L376" s="135"/>
      <c r="M376" s="135"/>
      <c r="N376" s="135"/>
      <c r="O376" s="135"/>
      <c r="P376" s="135"/>
      <c r="Q376" s="135"/>
      <c r="R376" s="135"/>
      <c r="S376" s="135"/>
      <c r="T376" s="135"/>
      <c r="U376" s="189"/>
      <c r="V376" s="135"/>
      <c r="W376" s="135"/>
      <c r="X376" s="135"/>
      <c r="Y376" s="135"/>
      <c r="Z376" s="135"/>
      <c r="AA376" s="135"/>
    </row>
    <row r="377" customFormat="false" ht="15.75" hidden="false" customHeight="true" outlineLevel="0" collapsed="false">
      <c r="A377" s="135"/>
      <c r="B377" s="135"/>
      <c r="C377" s="135"/>
      <c r="D377" s="135"/>
      <c r="E377" s="189"/>
      <c r="F377" s="135"/>
      <c r="G377" s="256"/>
      <c r="H377" s="256"/>
      <c r="I377" s="135"/>
      <c r="J377" s="135"/>
      <c r="K377" s="135"/>
      <c r="L377" s="135"/>
      <c r="M377" s="135"/>
      <c r="N377" s="135"/>
      <c r="O377" s="135"/>
      <c r="P377" s="135"/>
      <c r="Q377" s="135"/>
      <c r="R377" s="135"/>
      <c r="S377" s="135"/>
      <c r="T377" s="135"/>
      <c r="U377" s="189"/>
      <c r="V377" s="135"/>
      <c r="W377" s="135"/>
      <c r="X377" s="135"/>
      <c r="Y377" s="135"/>
      <c r="Z377" s="135"/>
      <c r="AA377" s="135"/>
    </row>
    <row r="378" customFormat="false" ht="15.75" hidden="false" customHeight="true" outlineLevel="0" collapsed="false">
      <c r="A378" s="135"/>
      <c r="B378" s="135"/>
      <c r="C378" s="135"/>
      <c r="D378" s="135"/>
      <c r="E378" s="189"/>
      <c r="F378" s="135"/>
      <c r="G378" s="256"/>
      <c r="H378" s="256"/>
      <c r="I378" s="135"/>
      <c r="J378" s="135"/>
      <c r="K378" s="135"/>
      <c r="L378" s="135"/>
      <c r="M378" s="135"/>
      <c r="N378" s="135"/>
      <c r="O378" s="135"/>
      <c r="P378" s="135"/>
      <c r="Q378" s="135"/>
      <c r="R378" s="135"/>
      <c r="S378" s="135"/>
      <c r="T378" s="135"/>
      <c r="U378" s="189"/>
      <c r="V378" s="135"/>
      <c r="W378" s="135"/>
      <c r="X378" s="135"/>
      <c r="Y378" s="135"/>
      <c r="Z378" s="135"/>
      <c r="AA378" s="135"/>
    </row>
    <row r="379" customFormat="false" ht="15.75" hidden="false" customHeight="true" outlineLevel="0" collapsed="false">
      <c r="A379" s="135"/>
      <c r="B379" s="135"/>
      <c r="C379" s="135"/>
      <c r="D379" s="135"/>
      <c r="E379" s="189"/>
      <c r="F379" s="135"/>
      <c r="G379" s="256"/>
      <c r="H379" s="256"/>
      <c r="I379" s="135"/>
      <c r="J379" s="135"/>
      <c r="K379" s="135"/>
      <c r="L379" s="135"/>
      <c r="M379" s="135"/>
      <c r="N379" s="135"/>
      <c r="O379" s="135"/>
      <c r="P379" s="135"/>
      <c r="Q379" s="135"/>
      <c r="R379" s="135"/>
      <c r="S379" s="135"/>
      <c r="T379" s="135"/>
      <c r="U379" s="189"/>
      <c r="V379" s="135"/>
      <c r="W379" s="135"/>
      <c r="X379" s="135"/>
      <c r="Y379" s="135"/>
      <c r="Z379" s="135"/>
      <c r="AA379" s="135"/>
    </row>
    <row r="380" customFormat="false" ht="15.75" hidden="false" customHeight="true" outlineLevel="0" collapsed="false">
      <c r="A380" s="135"/>
      <c r="B380" s="135"/>
      <c r="C380" s="135"/>
      <c r="D380" s="135"/>
      <c r="E380" s="189"/>
      <c r="F380" s="135"/>
      <c r="G380" s="256"/>
      <c r="H380" s="256"/>
      <c r="I380" s="135"/>
      <c r="J380" s="135"/>
      <c r="K380" s="135"/>
      <c r="L380" s="135"/>
      <c r="M380" s="135"/>
      <c r="N380" s="135"/>
      <c r="O380" s="135"/>
      <c r="P380" s="135"/>
      <c r="Q380" s="135"/>
      <c r="R380" s="135"/>
      <c r="S380" s="135"/>
      <c r="T380" s="135"/>
      <c r="U380" s="189"/>
      <c r="V380" s="135"/>
      <c r="W380" s="135"/>
      <c r="X380" s="135"/>
      <c r="Y380" s="135"/>
      <c r="Z380" s="135"/>
      <c r="AA380" s="135"/>
    </row>
    <row r="381" customFormat="false" ht="15.75" hidden="false" customHeight="true" outlineLevel="0" collapsed="false">
      <c r="A381" s="135"/>
      <c r="B381" s="135"/>
      <c r="C381" s="135"/>
      <c r="D381" s="135"/>
      <c r="E381" s="189"/>
      <c r="F381" s="135"/>
      <c r="G381" s="256"/>
      <c r="H381" s="256"/>
      <c r="I381" s="135"/>
      <c r="J381" s="135"/>
      <c r="K381" s="135"/>
      <c r="L381" s="135"/>
      <c r="M381" s="135"/>
      <c r="N381" s="135"/>
      <c r="O381" s="135"/>
      <c r="P381" s="135"/>
      <c r="Q381" s="135"/>
      <c r="R381" s="135"/>
      <c r="S381" s="135"/>
      <c r="T381" s="135"/>
      <c r="U381" s="189"/>
      <c r="V381" s="135"/>
      <c r="W381" s="135"/>
      <c r="X381" s="135"/>
      <c r="Y381" s="135"/>
      <c r="Z381" s="135"/>
      <c r="AA381" s="135"/>
    </row>
    <row r="382" customFormat="false" ht="15.75" hidden="false" customHeight="true" outlineLevel="0" collapsed="false">
      <c r="A382" s="135"/>
      <c r="B382" s="135"/>
      <c r="C382" s="135"/>
      <c r="D382" s="135"/>
      <c r="E382" s="189"/>
      <c r="F382" s="135"/>
      <c r="G382" s="256"/>
      <c r="H382" s="256"/>
      <c r="I382" s="135"/>
      <c r="J382" s="135"/>
      <c r="K382" s="135"/>
      <c r="L382" s="135"/>
      <c r="M382" s="135"/>
      <c r="N382" s="135"/>
      <c r="O382" s="135"/>
      <c r="P382" s="135"/>
      <c r="Q382" s="135"/>
      <c r="R382" s="135"/>
      <c r="S382" s="135"/>
      <c r="T382" s="135"/>
      <c r="U382" s="189"/>
      <c r="V382" s="135"/>
      <c r="W382" s="135"/>
      <c r="X382" s="135"/>
      <c r="Y382" s="135"/>
      <c r="Z382" s="135"/>
      <c r="AA382" s="135"/>
    </row>
    <row r="383" customFormat="false" ht="15.75" hidden="false" customHeight="true" outlineLevel="0" collapsed="false">
      <c r="A383" s="135"/>
      <c r="B383" s="135"/>
      <c r="C383" s="135"/>
      <c r="D383" s="135"/>
      <c r="E383" s="189"/>
      <c r="F383" s="135"/>
      <c r="G383" s="256"/>
      <c r="H383" s="256"/>
      <c r="I383" s="135"/>
      <c r="J383" s="135"/>
      <c r="K383" s="135"/>
      <c r="L383" s="135"/>
      <c r="M383" s="135"/>
      <c r="N383" s="135"/>
      <c r="O383" s="135"/>
      <c r="P383" s="135"/>
      <c r="Q383" s="135"/>
      <c r="R383" s="135"/>
      <c r="S383" s="135"/>
      <c r="T383" s="135"/>
      <c r="U383" s="189"/>
      <c r="V383" s="135"/>
      <c r="W383" s="135"/>
      <c r="X383" s="135"/>
      <c r="Y383" s="135"/>
      <c r="Z383" s="135"/>
      <c r="AA383" s="135"/>
    </row>
    <row r="384" customFormat="false" ht="15.75" hidden="false" customHeight="true" outlineLevel="0" collapsed="false">
      <c r="A384" s="135"/>
      <c r="B384" s="135"/>
      <c r="C384" s="135"/>
      <c r="D384" s="135"/>
      <c r="E384" s="189"/>
      <c r="F384" s="135"/>
      <c r="G384" s="256"/>
      <c r="H384" s="256"/>
      <c r="I384" s="135"/>
      <c r="J384" s="135"/>
      <c r="K384" s="135"/>
      <c r="L384" s="135"/>
      <c r="M384" s="135"/>
      <c r="N384" s="135"/>
      <c r="O384" s="135"/>
      <c r="P384" s="135"/>
      <c r="Q384" s="135"/>
      <c r="R384" s="135"/>
      <c r="S384" s="135"/>
      <c r="T384" s="135"/>
      <c r="U384" s="189"/>
      <c r="V384" s="135"/>
      <c r="W384" s="135"/>
      <c r="X384" s="135"/>
      <c r="Y384" s="135"/>
      <c r="Z384" s="135"/>
      <c r="AA384" s="135"/>
    </row>
    <row r="385" customFormat="false" ht="15.75" hidden="false" customHeight="true" outlineLevel="0" collapsed="false">
      <c r="A385" s="135"/>
      <c r="B385" s="135"/>
      <c r="C385" s="135"/>
      <c r="D385" s="135"/>
      <c r="E385" s="189"/>
      <c r="F385" s="135"/>
      <c r="G385" s="256"/>
      <c r="H385" s="256"/>
      <c r="I385" s="135"/>
      <c r="J385" s="135"/>
      <c r="K385" s="135"/>
      <c r="L385" s="135"/>
      <c r="M385" s="135"/>
      <c r="N385" s="135"/>
      <c r="O385" s="135"/>
      <c r="P385" s="135"/>
      <c r="Q385" s="135"/>
      <c r="R385" s="135"/>
      <c r="S385" s="135"/>
      <c r="T385" s="135"/>
      <c r="U385" s="189"/>
      <c r="V385" s="135"/>
      <c r="W385" s="135"/>
      <c r="X385" s="135"/>
      <c r="Y385" s="135"/>
      <c r="Z385" s="135"/>
      <c r="AA385" s="135"/>
    </row>
    <row r="386" customFormat="false" ht="15.75" hidden="false" customHeight="true" outlineLevel="0" collapsed="false">
      <c r="A386" s="135"/>
      <c r="B386" s="135"/>
      <c r="C386" s="135"/>
      <c r="D386" s="135"/>
      <c r="E386" s="189"/>
      <c r="F386" s="135"/>
      <c r="G386" s="256"/>
      <c r="H386" s="256"/>
      <c r="I386" s="135"/>
      <c r="J386" s="135"/>
      <c r="K386" s="135"/>
      <c r="L386" s="135"/>
      <c r="M386" s="135"/>
      <c r="N386" s="135"/>
      <c r="O386" s="135"/>
      <c r="P386" s="135"/>
      <c r="Q386" s="135"/>
      <c r="R386" s="135"/>
      <c r="S386" s="135"/>
      <c r="T386" s="135"/>
      <c r="U386" s="189"/>
      <c r="V386" s="135"/>
      <c r="W386" s="135"/>
      <c r="X386" s="135"/>
      <c r="Y386" s="135"/>
      <c r="Z386" s="135"/>
      <c r="AA386" s="135"/>
    </row>
    <row r="387" customFormat="false" ht="15.75" hidden="false" customHeight="true" outlineLevel="0" collapsed="false">
      <c r="A387" s="135"/>
      <c r="B387" s="135"/>
      <c r="C387" s="135"/>
      <c r="D387" s="135"/>
      <c r="E387" s="189"/>
      <c r="F387" s="135"/>
      <c r="G387" s="256"/>
      <c r="H387" s="256"/>
      <c r="I387" s="135"/>
      <c r="J387" s="135"/>
      <c r="K387" s="135"/>
      <c r="L387" s="135"/>
      <c r="M387" s="135"/>
      <c r="N387" s="135"/>
      <c r="O387" s="135"/>
      <c r="P387" s="135"/>
      <c r="Q387" s="135"/>
      <c r="R387" s="135"/>
      <c r="S387" s="135"/>
      <c r="T387" s="135"/>
      <c r="U387" s="189"/>
      <c r="V387" s="135"/>
      <c r="W387" s="135"/>
      <c r="X387" s="135"/>
      <c r="Y387" s="135"/>
      <c r="Z387" s="135"/>
      <c r="AA387" s="135"/>
    </row>
    <row r="388" customFormat="false" ht="15.75" hidden="false" customHeight="true" outlineLevel="0" collapsed="false">
      <c r="A388" s="135"/>
      <c r="B388" s="135"/>
      <c r="C388" s="135"/>
      <c r="D388" s="135"/>
      <c r="E388" s="189"/>
      <c r="F388" s="135"/>
      <c r="G388" s="256"/>
      <c r="H388" s="256"/>
      <c r="I388" s="135"/>
      <c r="J388" s="135"/>
      <c r="K388" s="135"/>
      <c r="L388" s="135"/>
      <c r="M388" s="135"/>
      <c r="N388" s="135"/>
      <c r="O388" s="135"/>
      <c r="P388" s="135"/>
      <c r="Q388" s="135"/>
      <c r="R388" s="135"/>
      <c r="S388" s="135"/>
      <c r="T388" s="135"/>
      <c r="U388" s="189"/>
      <c r="V388" s="135"/>
      <c r="W388" s="135"/>
      <c r="X388" s="135"/>
      <c r="Y388" s="135"/>
      <c r="Z388" s="135"/>
      <c r="AA388" s="135"/>
    </row>
    <row r="389" customFormat="false" ht="15.75" hidden="false" customHeight="true" outlineLevel="0" collapsed="false">
      <c r="A389" s="135"/>
      <c r="B389" s="135"/>
      <c r="C389" s="135"/>
      <c r="D389" s="135"/>
      <c r="E389" s="189"/>
      <c r="F389" s="135"/>
      <c r="G389" s="256"/>
      <c r="H389" s="256"/>
      <c r="I389" s="135"/>
      <c r="J389" s="135"/>
      <c r="K389" s="135"/>
      <c r="L389" s="135"/>
      <c r="M389" s="135"/>
      <c r="N389" s="135"/>
      <c r="O389" s="135"/>
      <c r="P389" s="135"/>
      <c r="Q389" s="135"/>
      <c r="R389" s="135"/>
      <c r="S389" s="135"/>
      <c r="T389" s="135"/>
      <c r="U389" s="189"/>
      <c r="V389" s="135"/>
      <c r="W389" s="135"/>
      <c r="X389" s="135"/>
      <c r="Y389" s="135"/>
      <c r="Z389" s="135"/>
      <c r="AA389" s="135"/>
    </row>
    <row r="390" customFormat="false" ht="15.75" hidden="false" customHeight="true" outlineLevel="0" collapsed="false">
      <c r="A390" s="135"/>
      <c r="B390" s="135"/>
      <c r="C390" s="135"/>
      <c r="D390" s="135"/>
      <c r="E390" s="189"/>
      <c r="F390" s="135"/>
      <c r="G390" s="256"/>
      <c r="H390" s="256"/>
      <c r="I390" s="135"/>
      <c r="J390" s="135"/>
      <c r="K390" s="135"/>
      <c r="L390" s="135"/>
      <c r="M390" s="135"/>
      <c r="N390" s="135"/>
      <c r="O390" s="135"/>
      <c r="P390" s="135"/>
      <c r="Q390" s="135"/>
      <c r="R390" s="135"/>
      <c r="S390" s="135"/>
      <c r="T390" s="135"/>
      <c r="U390" s="189"/>
      <c r="V390" s="135"/>
      <c r="W390" s="135"/>
      <c r="X390" s="135"/>
      <c r="Y390" s="135"/>
      <c r="Z390" s="135"/>
      <c r="AA390" s="135"/>
    </row>
    <row r="391" customFormat="false" ht="15.75" hidden="false" customHeight="true" outlineLevel="0" collapsed="false">
      <c r="A391" s="135"/>
      <c r="B391" s="135"/>
      <c r="C391" s="135"/>
      <c r="D391" s="135"/>
      <c r="E391" s="189"/>
      <c r="F391" s="135"/>
      <c r="G391" s="256"/>
      <c r="H391" s="256"/>
      <c r="I391" s="135"/>
      <c r="J391" s="135"/>
      <c r="K391" s="135"/>
      <c r="L391" s="135"/>
      <c r="M391" s="135"/>
      <c r="N391" s="135"/>
      <c r="O391" s="135"/>
      <c r="P391" s="135"/>
      <c r="Q391" s="135"/>
      <c r="R391" s="135"/>
      <c r="S391" s="135"/>
      <c r="T391" s="135"/>
      <c r="U391" s="189"/>
      <c r="V391" s="135"/>
      <c r="W391" s="135"/>
      <c r="X391" s="135"/>
      <c r="Y391" s="135"/>
      <c r="Z391" s="135"/>
      <c r="AA391" s="135"/>
    </row>
    <row r="392" customFormat="false" ht="15.75" hidden="false" customHeight="true" outlineLevel="0" collapsed="false">
      <c r="A392" s="135"/>
      <c r="B392" s="135"/>
      <c r="C392" s="135"/>
      <c r="D392" s="135"/>
      <c r="E392" s="189"/>
      <c r="F392" s="135"/>
      <c r="G392" s="256"/>
      <c r="H392" s="256"/>
      <c r="I392" s="135"/>
      <c r="J392" s="135"/>
      <c r="K392" s="135"/>
      <c r="L392" s="135"/>
      <c r="M392" s="135"/>
      <c r="N392" s="135"/>
      <c r="O392" s="135"/>
      <c r="P392" s="135"/>
      <c r="Q392" s="135"/>
      <c r="R392" s="135"/>
      <c r="S392" s="135"/>
      <c r="T392" s="135"/>
      <c r="U392" s="189"/>
      <c r="V392" s="135"/>
      <c r="W392" s="135"/>
      <c r="X392" s="135"/>
      <c r="Y392" s="135"/>
      <c r="Z392" s="135"/>
      <c r="AA392" s="135"/>
    </row>
    <row r="393" customFormat="false" ht="15.75" hidden="false" customHeight="true" outlineLevel="0" collapsed="false">
      <c r="A393" s="135"/>
      <c r="B393" s="135"/>
      <c r="C393" s="135"/>
      <c r="D393" s="135"/>
      <c r="E393" s="189"/>
      <c r="F393" s="135"/>
      <c r="G393" s="256"/>
      <c r="H393" s="256"/>
      <c r="I393" s="135"/>
      <c r="J393" s="135"/>
      <c r="K393" s="135"/>
      <c r="L393" s="135"/>
      <c r="M393" s="135"/>
      <c r="N393" s="135"/>
      <c r="O393" s="135"/>
      <c r="P393" s="135"/>
      <c r="Q393" s="135"/>
      <c r="R393" s="135"/>
      <c r="S393" s="135"/>
      <c r="T393" s="135"/>
      <c r="U393" s="189"/>
      <c r="V393" s="135"/>
      <c r="W393" s="135"/>
      <c r="X393" s="135"/>
      <c r="Y393" s="135"/>
      <c r="Z393" s="135"/>
      <c r="AA393" s="135"/>
    </row>
    <row r="394" customFormat="false" ht="15.75" hidden="false" customHeight="true" outlineLevel="0" collapsed="false">
      <c r="A394" s="135"/>
      <c r="B394" s="135"/>
      <c r="C394" s="135"/>
      <c r="D394" s="135"/>
      <c r="E394" s="189"/>
      <c r="F394" s="135"/>
      <c r="G394" s="256"/>
      <c r="H394" s="256"/>
      <c r="I394" s="135"/>
      <c r="J394" s="135"/>
      <c r="K394" s="135"/>
      <c r="L394" s="135"/>
      <c r="M394" s="135"/>
      <c r="N394" s="135"/>
      <c r="O394" s="135"/>
      <c r="P394" s="135"/>
      <c r="Q394" s="135"/>
      <c r="R394" s="135"/>
      <c r="S394" s="135"/>
      <c r="T394" s="135"/>
      <c r="U394" s="189"/>
      <c r="V394" s="135"/>
      <c r="W394" s="135"/>
      <c r="X394" s="135"/>
      <c r="Y394" s="135"/>
      <c r="Z394" s="135"/>
      <c r="AA394" s="135"/>
    </row>
    <row r="395" customFormat="false" ht="15.75" hidden="false" customHeight="true" outlineLevel="0" collapsed="false">
      <c r="A395" s="135"/>
      <c r="B395" s="135"/>
      <c r="C395" s="135"/>
      <c r="D395" s="135"/>
      <c r="E395" s="189"/>
      <c r="F395" s="135"/>
      <c r="G395" s="256"/>
      <c r="H395" s="256"/>
      <c r="I395" s="135"/>
      <c r="J395" s="135"/>
      <c r="K395" s="135"/>
      <c r="L395" s="135"/>
      <c r="M395" s="135"/>
      <c r="N395" s="135"/>
      <c r="O395" s="135"/>
      <c r="P395" s="135"/>
      <c r="Q395" s="135"/>
      <c r="R395" s="135"/>
      <c r="S395" s="135"/>
      <c r="T395" s="135"/>
      <c r="U395" s="189"/>
      <c r="V395" s="135"/>
      <c r="W395" s="135"/>
      <c r="X395" s="135"/>
      <c r="Y395" s="135"/>
      <c r="Z395" s="135"/>
      <c r="AA395" s="135"/>
    </row>
    <row r="396" customFormat="false" ht="15.75" hidden="false" customHeight="true" outlineLevel="0" collapsed="false">
      <c r="A396" s="135"/>
      <c r="B396" s="135"/>
      <c r="C396" s="135"/>
      <c r="D396" s="135"/>
      <c r="E396" s="189"/>
      <c r="F396" s="135"/>
      <c r="G396" s="256"/>
      <c r="H396" s="256"/>
      <c r="I396" s="135"/>
      <c r="J396" s="135"/>
      <c r="K396" s="135"/>
      <c r="L396" s="135"/>
      <c r="M396" s="135"/>
      <c r="N396" s="135"/>
      <c r="O396" s="135"/>
      <c r="P396" s="135"/>
      <c r="Q396" s="135"/>
      <c r="R396" s="135"/>
      <c r="S396" s="135"/>
      <c r="T396" s="135"/>
      <c r="U396" s="189"/>
      <c r="V396" s="135"/>
      <c r="W396" s="135"/>
      <c r="X396" s="135"/>
      <c r="Y396" s="135"/>
      <c r="Z396" s="135"/>
      <c r="AA396" s="135"/>
    </row>
    <row r="397" customFormat="false" ht="15.75" hidden="false" customHeight="true" outlineLevel="0" collapsed="false">
      <c r="A397" s="135"/>
      <c r="B397" s="135"/>
      <c r="C397" s="135"/>
      <c r="D397" s="135"/>
      <c r="E397" s="189"/>
      <c r="F397" s="135"/>
      <c r="G397" s="256"/>
      <c r="H397" s="256"/>
      <c r="I397" s="135"/>
      <c r="J397" s="135"/>
      <c r="K397" s="135"/>
      <c r="L397" s="135"/>
      <c r="M397" s="135"/>
      <c r="N397" s="135"/>
      <c r="O397" s="135"/>
      <c r="P397" s="135"/>
      <c r="Q397" s="135"/>
      <c r="R397" s="135"/>
      <c r="S397" s="135"/>
      <c r="T397" s="135"/>
      <c r="U397" s="189"/>
      <c r="V397" s="135"/>
      <c r="W397" s="135"/>
      <c r="X397" s="135"/>
      <c r="Y397" s="135"/>
      <c r="Z397" s="135"/>
      <c r="AA397" s="135"/>
    </row>
    <row r="398" customFormat="false" ht="15.75" hidden="false" customHeight="true" outlineLevel="0" collapsed="false">
      <c r="A398" s="135"/>
      <c r="B398" s="135"/>
      <c r="C398" s="135"/>
      <c r="D398" s="135"/>
      <c r="E398" s="189"/>
      <c r="F398" s="135"/>
      <c r="G398" s="256"/>
      <c r="H398" s="256"/>
      <c r="I398" s="135"/>
      <c r="J398" s="135"/>
      <c r="K398" s="135"/>
      <c r="L398" s="135"/>
      <c r="M398" s="135"/>
      <c r="N398" s="135"/>
      <c r="O398" s="135"/>
      <c r="P398" s="135"/>
      <c r="Q398" s="135"/>
      <c r="R398" s="135"/>
      <c r="S398" s="135"/>
      <c r="T398" s="135"/>
      <c r="U398" s="189"/>
      <c r="V398" s="135"/>
      <c r="W398" s="135"/>
      <c r="X398" s="135"/>
      <c r="Y398" s="135"/>
      <c r="Z398" s="135"/>
      <c r="AA398" s="135"/>
    </row>
    <row r="399" customFormat="false" ht="15.75" hidden="false" customHeight="true" outlineLevel="0" collapsed="false">
      <c r="A399" s="135"/>
      <c r="B399" s="135"/>
      <c r="C399" s="135"/>
      <c r="D399" s="135"/>
      <c r="E399" s="189"/>
      <c r="F399" s="135"/>
      <c r="G399" s="256"/>
      <c r="H399" s="256"/>
      <c r="I399" s="135"/>
      <c r="J399" s="135"/>
      <c r="K399" s="135"/>
      <c r="L399" s="135"/>
      <c r="M399" s="135"/>
      <c r="N399" s="135"/>
      <c r="O399" s="135"/>
      <c r="P399" s="135"/>
      <c r="Q399" s="135"/>
      <c r="R399" s="135"/>
      <c r="S399" s="135"/>
      <c r="T399" s="135"/>
      <c r="U399" s="189"/>
      <c r="V399" s="135"/>
      <c r="W399" s="135"/>
      <c r="X399" s="135"/>
      <c r="Y399" s="135"/>
      <c r="Z399" s="135"/>
      <c r="AA399" s="135"/>
    </row>
    <row r="400" customFormat="false" ht="15.75" hidden="false" customHeight="true" outlineLevel="0" collapsed="false">
      <c r="A400" s="135"/>
      <c r="B400" s="135"/>
      <c r="C400" s="135"/>
      <c r="D400" s="135"/>
      <c r="E400" s="189"/>
      <c r="F400" s="135"/>
      <c r="G400" s="256"/>
      <c r="H400" s="256"/>
      <c r="I400" s="135"/>
      <c r="J400" s="135"/>
      <c r="K400" s="135"/>
      <c r="L400" s="135"/>
      <c r="M400" s="135"/>
      <c r="N400" s="135"/>
      <c r="O400" s="135"/>
      <c r="P400" s="135"/>
      <c r="Q400" s="135"/>
      <c r="R400" s="135"/>
      <c r="S400" s="135"/>
      <c r="T400" s="135"/>
      <c r="U400" s="189"/>
      <c r="V400" s="135"/>
      <c r="W400" s="135"/>
      <c r="X400" s="135"/>
      <c r="Y400" s="135"/>
      <c r="Z400" s="135"/>
      <c r="AA400" s="135"/>
    </row>
    <row r="401" customFormat="false" ht="15.75" hidden="false" customHeight="true" outlineLevel="0" collapsed="false">
      <c r="A401" s="135"/>
      <c r="B401" s="135"/>
      <c r="C401" s="135"/>
      <c r="D401" s="135"/>
      <c r="E401" s="189"/>
      <c r="F401" s="135"/>
      <c r="G401" s="256"/>
      <c r="H401" s="256"/>
      <c r="I401" s="135"/>
      <c r="J401" s="135"/>
      <c r="K401" s="135"/>
      <c r="L401" s="135"/>
      <c r="M401" s="135"/>
      <c r="N401" s="135"/>
      <c r="O401" s="135"/>
      <c r="P401" s="135"/>
      <c r="Q401" s="135"/>
      <c r="R401" s="135"/>
      <c r="S401" s="135"/>
      <c r="T401" s="135"/>
      <c r="U401" s="189"/>
      <c r="V401" s="135"/>
      <c r="W401" s="135"/>
      <c r="X401" s="135"/>
      <c r="Y401" s="135"/>
      <c r="Z401" s="135"/>
      <c r="AA401" s="135"/>
    </row>
    <row r="402" customFormat="false" ht="15.75" hidden="false" customHeight="true" outlineLevel="0" collapsed="false">
      <c r="A402" s="135"/>
      <c r="B402" s="135"/>
      <c r="C402" s="135"/>
      <c r="D402" s="135"/>
      <c r="E402" s="189"/>
      <c r="F402" s="135"/>
      <c r="G402" s="256"/>
      <c r="H402" s="256"/>
      <c r="I402" s="135"/>
      <c r="J402" s="135"/>
      <c r="K402" s="135"/>
      <c r="L402" s="135"/>
      <c r="M402" s="135"/>
      <c r="N402" s="135"/>
      <c r="O402" s="135"/>
      <c r="P402" s="135"/>
      <c r="Q402" s="135"/>
      <c r="R402" s="135"/>
      <c r="S402" s="135"/>
      <c r="T402" s="135"/>
      <c r="U402" s="189"/>
      <c r="V402" s="135"/>
      <c r="W402" s="135"/>
      <c r="X402" s="135"/>
      <c r="Y402" s="135"/>
      <c r="Z402" s="135"/>
      <c r="AA402" s="135"/>
    </row>
    <row r="403" customFormat="false" ht="15.75" hidden="false" customHeight="true" outlineLevel="0" collapsed="false">
      <c r="A403" s="135"/>
      <c r="B403" s="135"/>
      <c r="C403" s="135"/>
      <c r="D403" s="135"/>
      <c r="E403" s="189"/>
      <c r="F403" s="135"/>
      <c r="G403" s="256"/>
      <c r="H403" s="256"/>
      <c r="I403" s="135"/>
      <c r="J403" s="135"/>
      <c r="K403" s="135"/>
      <c r="L403" s="135"/>
      <c r="M403" s="135"/>
      <c r="N403" s="135"/>
      <c r="O403" s="135"/>
      <c r="P403" s="135"/>
      <c r="Q403" s="135"/>
      <c r="R403" s="135"/>
      <c r="S403" s="135"/>
      <c r="T403" s="135"/>
      <c r="U403" s="189"/>
      <c r="V403" s="135"/>
      <c r="W403" s="135"/>
      <c r="X403" s="135"/>
      <c r="Y403" s="135"/>
      <c r="Z403" s="135"/>
      <c r="AA403" s="135"/>
    </row>
    <row r="404" customFormat="false" ht="15.75" hidden="false" customHeight="true" outlineLevel="0" collapsed="false">
      <c r="A404" s="135"/>
      <c r="B404" s="135"/>
      <c r="C404" s="135"/>
      <c r="D404" s="135"/>
      <c r="E404" s="189"/>
      <c r="F404" s="135"/>
      <c r="G404" s="256"/>
      <c r="H404" s="256"/>
      <c r="I404" s="135"/>
      <c r="J404" s="135"/>
      <c r="K404" s="135"/>
      <c r="L404" s="135"/>
      <c r="M404" s="135"/>
      <c r="N404" s="135"/>
      <c r="O404" s="135"/>
      <c r="P404" s="135"/>
      <c r="Q404" s="135"/>
      <c r="R404" s="135"/>
      <c r="S404" s="135"/>
      <c r="T404" s="135"/>
      <c r="U404" s="189"/>
      <c r="V404" s="135"/>
      <c r="W404" s="135"/>
      <c r="X404" s="135"/>
      <c r="Y404" s="135"/>
      <c r="Z404" s="135"/>
      <c r="AA404" s="135"/>
    </row>
    <row r="405" customFormat="false" ht="15.75" hidden="false" customHeight="true" outlineLevel="0" collapsed="false">
      <c r="A405" s="135"/>
      <c r="B405" s="135"/>
      <c r="C405" s="135"/>
      <c r="D405" s="135"/>
      <c r="E405" s="189"/>
      <c r="F405" s="135"/>
      <c r="G405" s="256"/>
      <c r="H405" s="256"/>
      <c r="I405" s="135"/>
      <c r="J405" s="135"/>
      <c r="K405" s="135"/>
      <c r="L405" s="135"/>
      <c r="M405" s="135"/>
      <c r="N405" s="135"/>
      <c r="O405" s="135"/>
      <c r="P405" s="135"/>
      <c r="Q405" s="135"/>
      <c r="R405" s="135"/>
      <c r="S405" s="135"/>
      <c r="T405" s="135"/>
      <c r="U405" s="189"/>
      <c r="V405" s="135"/>
      <c r="W405" s="135"/>
      <c r="X405" s="135"/>
      <c r="Y405" s="135"/>
      <c r="Z405" s="135"/>
      <c r="AA405" s="135"/>
    </row>
    <row r="406" customFormat="false" ht="15.75" hidden="false" customHeight="true" outlineLevel="0" collapsed="false">
      <c r="A406" s="135"/>
      <c r="B406" s="135"/>
      <c r="C406" s="135"/>
      <c r="D406" s="135"/>
      <c r="E406" s="189"/>
      <c r="F406" s="135"/>
      <c r="G406" s="256"/>
      <c r="H406" s="256"/>
      <c r="I406" s="135"/>
      <c r="J406" s="135"/>
      <c r="K406" s="135"/>
      <c r="L406" s="135"/>
      <c r="M406" s="135"/>
      <c r="N406" s="135"/>
      <c r="O406" s="135"/>
      <c r="P406" s="135"/>
      <c r="Q406" s="135"/>
      <c r="R406" s="135"/>
      <c r="S406" s="135"/>
      <c r="T406" s="135"/>
      <c r="U406" s="189"/>
      <c r="V406" s="135"/>
      <c r="W406" s="135"/>
      <c r="X406" s="135"/>
      <c r="Y406" s="135"/>
      <c r="Z406" s="135"/>
      <c r="AA406" s="135"/>
    </row>
    <row r="407" customFormat="false" ht="15.75" hidden="false" customHeight="true" outlineLevel="0" collapsed="false">
      <c r="A407" s="135"/>
      <c r="B407" s="135"/>
      <c r="C407" s="135"/>
      <c r="D407" s="135"/>
      <c r="E407" s="189"/>
      <c r="F407" s="135"/>
      <c r="G407" s="256"/>
      <c r="H407" s="256"/>
      <c r="I407" s="135"/>
      <c r="J407" s="135"/>
      <c r="K407" s="135"/>
      <c r="L407" s="135"/>
      <c r="M407" s="135"/>
      <c r="N407" s="135"/>
      <c r="O407" s="135"/>
      <c r="P407" s="135"/>
      <c r="Q407" s="135"/>
      <c r="R407" s="135"/>
      <c r="S407" s="135"/>
      <c r="T407" s="135"/>
      <c r="U407" s="189"/>
      <c r="V407" s="135"/>
      <c r="W407" s="135"/>
      <c r="X407" s="135"/>
      <c r="Y407" s="135"/>
      <c r="Z407" s="135"/>
      <c r="AA407" s="135"/>
    </row>
    <row r="408" customFormat="false" ht="15.75" hidden="false" customHeight="true" outlineLevel="0" collapsed="false">
      <c r="A408" s="135"/>
      <c r="B408" s="135"/>
      <c r="C408" s="135"/>
      <c r="D408" s="135"/>
      <c r="E408" s="189"/>
      <c r="F408" s="135"/>
      <c r="G408" s="256"/>
      <c r="H408" s="256"/>
      <c r="I408" s="135"/>
      <c r="J408" s="135"/>
      <c r="K408" s="135"/>
      <c r="L408" s="135"/>
      <c r="M408" s="135"/>
      <c r="N408" s="135"/>
      <c r="O408" s="135"/>
      <c r="P408" s="135"/>
      <c r="Q408" s="135"/>
      <c r="R408" s="135"/>
      <c r="S408" s="135"/>
      <c r="T408" s="135"/>
      <c r="U408" s="189"/>
      <c r="V408" s="135"/>
      <c r="W408" s="135"/>
      <c r="X408" s="135"/>
      <c r="Y408" s="135"/>
      <c r="Z408" s="135"/>
      <c r="AA408" s="135"/>
    </row>
    <row r="409" customFormat="false" ht="15.75" hidden="false" customHeight="true" outlineLevel="0" collapsed="false">
      <c r="A409" s="135"/>
      <c r="B409" s="135"/>
      <c r="C409" s="135"/>
      <c r="D409" s="135"/>
      <c r="E409" s="189"/>
      <c r="F409" s="135"/>
      <c r="G409" s="256"/>
      <c r="H409" s="256"/>
      <c r="I409" s="135"/>
      <c r="J409" s="135"/>
      <c r="K409" s="135"/>
      <c r="L409" s="135"/>
      <c r="M409" s="135"/>
      <c r="N409" s="135"/>
      <c r="O409" s="135"/>
      <c r="P409" s="135"/>
      <c r="Q409" s="135"/>
      <c r="R409" s="135"/>
      <c r="S409" s="135"/>
      <c r="T409" s="135"/>
      <c r="U409" s="189"/>
      <c r="V409" s="135"/>
      <c r="W409" s="135"/>
      <c r="X409" s="135"/>
      <c r="Y409" s="135"/>
      <c r="Z409" s="135"/>
      <c r="AA409" s="135"/>
    </row>
    <row r="410" customFormat="false" ht="15.75" hidden="false" customHeight="true" outlineLevel="0" collapsed="false">
      <c r="A410" s="135"/>
      <c r="B410" s="135"/>
      <c r="C410" s="135"/>
      <c r="D410" s="135"/>
      <c r="E410" s="189"/>
      <c r="F410" s="135"/>
      <c r="G410" s="256"/>
      <c r="H410" s="256"/>
      <c r="I410" s="135"/>
      <c r="J410" s="135"/>
      <c r="K410" s="135"/>
      <c r="L410" s="135"/>
      <c r="M410" s="135"/>
      <c r="N410" s="135"/>
      <c r="O410" s="135"/>
      <c r="P410" s="135"/>
      <c r="Q410" s="135"/>
      <c r="R410" s="135"/>
      <c r="S410" s="135"/>
      <c r="T410" s="135"/>
      <c r="U410" s="189"/>
      <c r="V410" s="135"/>
      <c r="W410" s="135"/>
      <c r="X410" s="135"/>
      <c r="Y410" s="135"/>
      <c r="Z410" s="135"/>
      <c r="AA410" s="135"/>
    </row>
    <row r="411" customFormat="false" ht="15.75" hidden="false" customHeight="true" outlineLevel="0" collapsed="false">
      <c r="A411" s="135"/>
      <c r="B411" s="135"/>
      <c r="C411" s="135"/>
      <c r="D411" s="135"/>
      <c r="E411" s="189"/>
      <c r="F411" s="135"/>
      <c r="G411" s="256"/>
      <c r="H411" s="256"/>
      <c r="I411" s="135"/>
      <c r="J411" s="135"/>
      <c r="K411" s="135"/>
      <c r="L411" s="135"/>
      <c r="M411" s="135"/>
      <c r="N411" s="135"/>
      <c r="O411" s="135"/>
      <c r="P411" s="135"/>
      <c r="Q411" s="135"/>
      <c r="R411" s="135"/>
      <c r="S411" s="135"/>
      <c r="T411" s="135"/>
      <c r="U411" s="189"/>
      <c r="V411" s="135"/>
      <c r="W411" s="135"/>
      <c r="X411" s="135"/>
      <c r="Y411" s="135"/>
      <c r="Z411" s="135"/>
      <c r="AA411" s="135"/>
    </row>
    <row r="412" customFormat="false" ht="15.75" hidden="false" customHeight="true" outlineLevel="0" collapsed="false">
      <c r="A412" s="135"/>
      <c r="B412" s="135"/>
      <c r="C412" s="135"/>
      <c r="D412" s="135"/>
      <c r="E412" s="189"/>
      <c r="F412" s="135"/>
      <c r="G412" s="256"/>
      <c r="H412" s="256"/>
      <c r="I412" s="135"/>
      <c r="J412" s="135"/>
      <c r="K412" s="135"/>
      <c r="L412" s="135"/>
      <c r="M412" s="135"/>
      <c r="N412" s="135"/>
      <c r="O412" s="135"/>
      <c r="P412" s="135"/>
      <c r="Q412" s="135"/>
      <c r="R412" s="135"/>
      <c r="S412" s="135"/>
      <c r="T412" s="135"/>
      <c r="U412" s="189"/>
      <c r="V412" s="135"/>
      <c r="W412" s="135"/>
      <c r="X412" s="135"/>
      <c r="Y412" s="135"/>
      <c r="Z412" s="135"/>
      <c r="AA412" s="135"/>
    </row>
    <row r="413" customFormat="false" ht="15.75" hidden="false" customHeight="true" outlineLevel="0" collapsed="false">
      <c r="A413" s="135"/>
      <c r="B413" s="135"/>
      <c r="C413" s="135"/>
      <c r="D413" s="135"/>
      <c r="E413" s="189"/>
      <c r="F413" s="135"/>
      <c r="G413" s="256"/>
      <c r="H413" s="256"/>
      <c r="I413" s="135"/>
      <c r="J413" s="135"/>
      <c r="K413" s="135"/>
      <c r="L413" s="135"/>
      <c r="M413" s="135"/>
      <c r="N413" s="135"/>
      <c r="O413" s="135"/>
      <c r="P413" s="135"/>
      <c r="Q413" s="135"/>
      <c r="R413" s="135"/>
      <c r="S413" s="135"/>
      <c r="T413" s="135"/>
      <c r="U413" s="189"/>
      <c r="V413" s="135"/>
      <c r="W413" s="135"/>
      <c r="X413" s="135"/>
      <c r="Y413" s="135"/>
      <c r="Z413" s="135"/>
      <c r="AA413" s="135"/>
    </row>
    <row r="414" customFormat="false" ht="15.75" hidden="false" customHeight="true" outlineLevel="0" collapsed="false">
      <c r="A414" s="135"/>
      <c r="B414" s="135"/>
      <c r="C414" s="135"/>
      <c r="D414" s="135"/>
      <c r="E414" s="189"/>
      <c r="F414" s="135"/>
      <c r="G414" s="256"/>
      <c r="H414" s="256"/>
      <c r="I414" s="135"/>
      <c r="J414" s="135"/>
      <c r="K414" s="135"/>
      <c r="L414" s="135"/>
      <c r="M414" s="135"/>
      <c r="N414" s="135"/>
      <c r="O414" s="135"/>
      <c r="P414" s="135"/>
      <c r="Q414" s="135"/>
      <c r="R414" s="135"/>
      <c r="S414" s="135"/>
      <c r="T414" s="135"/>
      <c r="U414" s="189"/>
      <c r="V414" s="135"/>
      <c r="W414" s="135"/>
      <c r="X414" s="135"/>
      <c r="Y414" s="135"/>
      <c r="Z414" s="135"/>
      <c r="AA414" s="135"/>
    </row>
    <row r="415" customFormat="false" ht="15.75" hidden="false" customHeight="true" outlineLevel="0" collapsed="false">
      <c r="A415" s="135"/>
      <c r="B415" s="135"/>
      <c r="C415" s="135"/>
      <c r="D415" s="135"/>
      <c r="E415" s="189"/>
      <c r="F415" s="135"/>
      <c r="G415" s="256"/>
      <c r="H415" s="256"/>
      <c r="I415" s="135"/>
      <c r="J415" s="135"/>
      <c r="K415" s="135"/>
      <c r="L415" s="135"/>
      <c r="M415" s="135"/>
      <c r="N415" s="135"/>
      <c r="O415" s="135"/>
      <c r="P415" s="135"/>
      <c r="Q415" s="135"/>
      <c r="R415" s="135"/>
      <c r="S415" s="135"/>
      <c r="T415" s="135"/>
      <c r="U415" s="189"/>
      <c r="V415" s="135"/>
      <c r="W415" s="135"/>
      <c r="X415" s="135"/>
      <c r="Y415" s="135"/>
      <c r="Z415" s="135"/>
      <c r="AA415" s="135"/>
    </row>
    <row r="416" customFormat="false" ht="15.75" hidden="false" customHeight="true" outlineLevel="0" collapsed="false">
      <c r="A416" s="135"/>
      <c r="B416" s="135"/>
      <c r="C416" s="135"/>
      <c r="D416" s="135"/>
      <c r="E416" s="189"/>
      <c r="F416" s="135"/>
      <c r="G416" s="256"/>
      <c r="H416" s="256"/>
      <c r="I416" s="135"/>
      <c r="J416" s="135"/>
      <c r="K416" s="135"/>
      <c r="L416" s="135"/>
      <c r="M416" s="135"/>
      <c r="N416" s="135"/>
      <c r="O416" s="135"/>
      <c r="P416" s="135"/>
      <c r="Q416" s="135"/>
      <c r="R416" s="135"/>
      <c r="S416" s="135"/>
      <c r="T416" s="135"/>
      <c r="U416" s="189"/>
      <c r="V416" s="135"/>
      <c r="W416" s="135"/>
      <c r="X416" s="135"/>
      <c r="Y416" s="135"/>
      <c r="Z416" s="135"/>
      <c r="AA416" s="135"/>
    </row>
    <row r="417" customFormat="false" ht="15.75" hidden="false" customHeight="true" outlineLevel="0" collapsed="false">
      <c r="A417" s="135"/>
      <c r="B417" s="135"/>
      <c r="C417" s="135"/>
      <c r="D417" s="135"/>
      <c r="E417" s="189"/>
      <c r="F417" s="135"/>
      <c r="G417" s="256"/>
      <c r="H417" s="256"/>
      <c r="I417" s="135"/>
      <c r="J417" s="135"/>
      <c r="K417" s="135"/>
      <c r="L417" s="135"/>
      <c r="M417" s="135"/>
      <c r="N417" s="135"/>
      <c r="O417" s="135"/>
      <c r="P417" s="135"/>
      <c r="Q417" s="135"/>
      <c r="R417" s="135"/>
      <c r="S417" s="135"/>
      <c r="T417" s="135"/>
      <c r="U417" s="189"/>
      <c r="V417" s="135"/>
      <c r="W417" s="135"/>
      <c r="X417" s="135"/>
      <c r="Y417" s="135"/>
      <c r="Z417" s="135"/>
      <c r="AA417" s="135"/>
    </row>
    <row r="418" customFormat="false" ht="15.75" hidden="false" customHeight="true" outlineLevel="0" collapsed="false">
      <c r="A418" s="135"/>
      <c r="B418" s="135"/>
      <c r="C418" s="135"/>
      <c r="D418" s="135"/>
      <c r="E418" s="189"/>
      <c r="F418" s="135"/>
      <c r="G418" s="256"/>
      <c r="H418" s="256"/>
      <c r="I418" s="135"/>
      <c r="J418" s="135"/>
      <c r="K418" s="135"/>
      <c r="L418" s="135"/>
      <c r="M418" s="135"/>
      <c r="N418" s="135"/>
      <c r="O418" s="135"/>
      <c r="P418" s="135"/>
      <c r="Q418" s="135"/>
      <c r="R418" s="135"/>
      <c r="S418" s="135"/>
      <c r="T418" s="135"/>
      <c r="U418" s="189"/>
      <c r="V418" s="135"/>
      <c r="W418" s="135"/>
      <c r="X418" s="135"/>
      <c r="Y418" s="135"/>
      <c r="Z418" s="135"/>
      <c r="AA418" s="135"/>
    </row>
    <row r="419" customFormat="false" ht="15.75" hidden="false" customHeight="true" outlineLevel="0" collapsed="false">
      <c r="A419" s="135"/>
      <c r="B419" s="135"/>
      <c r="C419" s="135"/>
      <c r="D419" s="135"/>
      <c r="E419" s="189"/>
      <c r="F419" s="135"/>
      <c r="G419" s="256"/>
      <c r="H419" s="256"/>
      <c r="I419" s="135"/>
      <c r="J419" s="135"/>
      <c r="K419" s="135"/>
      <c r="L419" s="135"/>
      <c r="M419" s="135"/>
      <c r="N419" s="135"/>
      <c r="O419" s="135"/>
      <c r="P419" s="135"/>
      <c r="Q419" s="135"/>
      <c r="R419" s="135"/>
      <c r="S419" s="135"/>
      <c r="T419" s="135"/>
      <c r="U419" s="189"/>
      <c r="V419" s="135"/>
      <c r="W419" s="135"/>
      <c r="X419" s="135"/>
      <c r="Y419" s="135"/>
      <c r="Z419" s="135"/>
      <c r="AA419" s="135"/>
    </row>
    <row r="420" customFormat="false" ht="15.75" hidden="false" customHeight="true" outlineLevel="0" collapsed="false">
      <c r="A420" s="135"/>
      <c r="B420" s="135"/>
      <c r="C420" s="135"/>
      <c r="D420" s="135"/>
      <c r="E420" s="189"/>
      <c r="F420" s="135"/>
      <c r="G420" s="256"/>
      <c r="H420" s="256"/>
      <c r="I420" s="135"/>
      <c r="J420" s="135"/>
      <c r="K420" s="135"/>
      <c r="L420" s="135"/>
      <c r="M420" s="135"/>
      <c r="N420" s="135"/>
      <c r="O420" s="135"/>
      <c r="P420" s="135"/>
      <c r="Q420" s="135"/>
      <c r="R420" s="135"/>
      <c r="S420" s="135"/>
      <c r="T420" s="135"/>
      <c r="U420" s="189"/>
      <c r="V420" s="135"/>
      <c r="W420" s="135"/>
      <c r="X420" s="135"/>
      <c r="Y420" s="135"/>
      <c r="Z420" s="135"/>
      <c r="AA420" s="135"/>
    </row>
    <row r="421" customFormat="false" ht="15.75" hidden="false" customHeight="true" outlineLevel="0" collapsed="false">
      <c r="A421" s="135"/>
      <c r="B421" s="135"/>
      <c r="C421" s="135"/>
      <c r="D421" s="135"/>
      <c r="E421" s="189"/>
      <c r="F421" s="135"/>
      <c r="G421" s="256"/>
      <c r="H421" s="256"/>
      <c r="I421" s="135"/>
      <c r="J421" s="135"/>
      <c r="K421" s="135"/>
      <c r="L421" s="135"/>
      <c r="M421" s="135"/>
      <c r="N421" s="135"/>
      <c r="O421" s="135"/>
      <c r="P421" s="135"/>
      <c r="Q421" s="135"/>
      <c r="R421" s="135"/>
      <c r="S421" s="135"/>
      <c r="T421" s="135"/>
      <c r="U421" s="189"/>
      <c r="V421" s="135"/>
      <c r="W421" s="135"/>
      <c r="X421" s="135"/>
      <c r="Y421" s="135"/>
      <c r="Z421" s="135"/>
      <c r="AA421" s="135"/>
    </row>
    <row r="422" customFormat="false" ht="15.75" hidden="false" customHeight="true" outlineLevel="0" collapsed="false">
      <c r="A422" s="135"/>
      <c r="B422" s="135"/>
      <c r="C422" s="135"/>
      <c r="D422" s="135"/>
      <c r="E422" s="189"/>
      <c r="F422" s="135"/>
      <c r="G422" s="256"/>
      <c r="H422" s="256"/>
      <c r="I422" s="135"/>
      <c r="J422" s="135"/>
      <c r="K422" s="135"/>
      <c r="L422" s="135"/>
      <c r="M422" s="135"/>
      <c r="N422" s="135"/>
      <c r="O422" s="135"/>
      <c r="P422" s="135"/>
      <c r="Q422" s="135"/>
      <c r="R422" s="135"/>
      <c r="S422" s="135"/>
      <c r="T422" s="135"/>
      <c r="U422" s="189"/>
      <c r="V422" s="135"/>
      <c r="W422" s="135"/>
      <c r="X422" s="135"/>
      <c r="Y422" s="135"/>
      <c r="Z422" s="135"/>
      <c r="AA422" s="135"/>
    </row>
    <row r="423" customFormat="false" ht="15.75" hidden="false" customHeight="true" outlineLevel="0" collapsed="false">
      <c r="A423" s="135"/>
      <c r="B423" s="135"/>
      <c r="C423" s="135"/>
      <c r="D423" s="135"/>
      <c r="E423" s="189"/>
      <c r="F423" s="135"/>
      <c r="G423" s="256"/>
      <c r="H423" s="256"/>
      <c r="I423" s="135"/>
      <c r="J423" s="135"/>
      <c r="K423" s="135"/>
      <c r="L423" s="135"/>
      <c r="M423" s="135"/>
      <c r="N423" s="135"/>
      <c r="O423" s="135"/>
      <c r="P423" s="135"/>
      <c r="Q423" s="135"/>
      <c r="R423" s="135"/>
      <c r="S423" s="135"/>
      <c r="T423" s="135"/>
      <c r="U423" s="189"/>
      <c r="V423" s="135"/>
      <c r="W423" s="135"/>
      <c r="X423" s="135"/>
      <c r="Y423" s="135"/>
      <c r="Z423" s="135"/>
      <c r="AA423" s="135"/>
    </row>
    <row r="424" customFormat="false" ht="15.75" hidden="false" customHeight="true" outlineLevel="0" collapsed="false">
      <c r="A424" s="135"/>
      <c r="B424" s="135"/>
      <c r="C424" s="135"/>
      <c r="D424" s="135"/>
      <c r="E424" s="189"/>
      <c r="F424" s="135"/>
      <c r="G424" s="256"/>
      <c r="H424" s="256"/>
      <c r="I424" s="135"/>
      <c r="J424" s="135"/>
      <c r="K424" s="135"/>
      <c r="L424" s="135"/>
      <c r="M424" s="135"/>
      <c r="N424" s="135"/>
      <c r="O424" s="135"/>
      <c r="P424" s="135"/>
      <c r="Q424" s="135"/>
      <c r="R424" s="135"/>
      <c r="S424" s="135"/>
      <c r="T424" s="135"/>
      <c r="U424" s="189"/>
      <c r="V424" s="135"/>
      <c r="W424" s="135"/>
      <c r="X424" s="135"/>
      <c r="Y424" s="135"/>
      <c r="Z424" s="135"/>
      <c r="AA424" s="135"/>
    </row>
    <row r="425" customFormat="false" ht="15.75" hidden="false" customHeight="true" outlineLevel="0" collapsed="false">
      <c r="A425" s="135"/>
      <c r="B425" s="135"/>
      <c r="C425" s="135"/>
      <c r="D425" s="135"/>
      <c r="E425" s="189"/>
      <c r="F425" s="135"/>
      <c r="G425" s="256"/>
      <c r="H425" s="256"/>
      <c r="I425" s="135"/>
      <c r="J425" s="135"/>
      <c r="K425" s="135"/>
      <c r="L425" s="135"/>
      <c r="M425" s="135"/>
      <c r="N425" s="135"/>
      <c r="O425" s="135"/>
      <c r="P425" s="135"/>
      <c r="Q425" s="135"/>
      <c r="R425" s="135"/>
      <c r="S425" s="135"/>
      <c r="T425" s="135"/>
      <c r="U425" s="189"/>
      <c r="V425" s="135"/>
      <c r="W425" s="135"/>
      <c r="X425" s="135"/>
      <c r="Y425" s="135"/>
      <c r="Z425" s="135"/>
      <c r="AA425" s="135"/>
    </row>
    <row r="426" customFormat="false" ht="15.75" hidden="false" customHeight="true" outlineLevel="0" collapsed="false">
      <c r="A426" s="135"/>
      <c r="B426" s="135"/>
      <c r="C426" s="135"/>
      <c r="D426" s="135"/>
      <c r="E426" s="189"/>
      <c r="F426" s="135"/>
      <c r="G426" s="256"/>
      <c r="H426" s="256"/>
      <c r="I426" s="135"/>
      <c r="J426" s="135"/>
      <c r="K426" s="135"/>
      <c r="L426" s="135"/>
      <c r="M426" s="135"/>
      <c r="N426" s="135"/>
      <c r="O426" s="135"/>
      <c r="P426" s="135"/>
      <c r="Q426" s="135"/>
      <c r="R426" s="135"/>
      <c r="S426" s="135"/>
      <c r="T426" s="135"/>
      <c r="U426" s="189"/>
      <c r="V426" s="135"/>
      <c r="W426" s="135"/>
      <c r="X426" s="135"/>
      <c r="Y426" s="135"/>
      <c r="Z426" s="135"/>
      <c r="AA426" s="135"/>
    </row>
    <row r="427" customFormat="false" ht="15.75" hidden="false" customHeight="true" outlineLevel="0" collapsed="false">
      <c r="A427" s="135"/>
      <c r="B427" s="135"/>
      <c r="C427" s="135"/>
      <c r="D427" s="135"/>
      <c r="E427" s="189"/>
      <c r="F427" s="135"/>
      <c r="G427" s="256"/>
      <c r="H427" s="256"/>
      <c r="I427" s="135"/>
      <c r="J427" s="135"/>
      <c r="K427" s="135"/>
      <c r="L427" s="135"/>
      <c r="M427" s="135"/>
      <c r="N427" s="135"/>
      <c r="O427" s="135"/>
      <c r="P427" s="135"/>
      <c r="Q427" s="135"/>
      <c r="R427" s="135"/>
      <c r="S427" s="135"/>
      <c r="T427" s="135"/>
      <c r="U427" s="189"/>
      <c r="V427" s="135"/>
      <c r="W427" s="135"/>
      <c r="X427" s="135"/>
      <c r="Y427" s="135"/>
      <c r="Z427" s="135"/>
      <c r="AA427" s="135"/>
    </row>
    <row r="428" customFormat="false" ht="15.75" hidden="false" customHeight="true" outlineLevel="0" collapsed="false">
      <c r="A428" s="135"/>
      <c r="B428" s="135"/>
      <c r="C428" s="135"/>
      <c r="D428" s="135"/>
      <c r="E428" s="189"/>
      <c r="F428" s="135"/>
      <c r="G428" s="256"/>
      <c r="H428" s="256"/>
      <c r="I428" s="135"/>
      <c r="J428" s="135"/>
      <c r="K428" s="135"/>
      <c r="L428" s="135"/>
      <c r="M428" s="135"/>
      <c r="N428" s="135"/>
      <c r="O428" s="135"/>
      <c r="P428" s="135"/>
      <c r="Q428" s="135"/>
      <c r="R428" s="135"/>
      <c r="S428" s="135"/>
      <c r="T428" s="135"/>
      <c r="U428" s="189"/>
      <c r="V428" s="135"/>
      <c r="W428" s="135"/>
      <c r="X428" s="135"/>
      <c r="Y428" s="135"/>
      <c r="Z428" s="135"/>
      <c r="AA428" s="135"/>
    </row>
    <row r="429" customFormat="false" ht="15.75" hidden="false" customHeight="true" outlineLevel="0" collapsed="false">
      <c r="A429" s="135"/>
      <c r="B429" s="135"/>
      <c r="C429" s="135"/>
      <c r="D429" s="135"/>
      <c r="E429" s="189"/>
      <c r="F429" s="135"/>
      <c r="G429" s="256"/>
      <c r="H429" s="256"/>
      <c r="I429" s="135"/>
      <c r="J429" s="135"/>
      <c r="K429" s="135"/>
      <c r="L429" s="135"/>
      <c r="M429" s="135"/>
      <c r="N429" s="135"/>
      <c r="O429" s="135"/>
      <c r="P429" s="135"/>
      <c r="Q429" s="135"/>
      <c r="R429" s="135"/>
      <c r="S429" s="135"/>
      <c r="T429" s="135"/>
      <c r="U429" s="189"/>
      <c r="V429" s="135"/>
      <c r="W429" s="135"/>
      <c r="X429" s="135"/>
      <c r="Y429" s="135"/>
      <c r="Z429" s="135"/>
      <c r="AA429" s="135"/>
    </row>
    <row r="430" customFormat="false" ht="15.75" hidden="false" customHeight="true" outlineLevel="0" collapsed="false">
      <c r="A430" s="135"/>
      <c r="B430" s="135"/>
      <c r="C430" s="135"/>
      <c r="D430" s="135"/>
      <c r="E430" s="189"/>
      <c r="F430" s="135"/>
      <c r="G430" s="256"/>
      <c r="H430" s="256"/>
      <c r="I430" s="135"/>
      <c r="J430" s="135"/>
      <c r="K430" s="135"/>
      <c r="L430" s="135"/>
      <c r="M430" s="135"/>
      <c r="N430" s="135"/>
      <c r="O430" s="135"/>
      <c r="P430" s="135"/>
      <c r="Q430" s="135"/>
      <c r="R430" s="135"/>
      <c r="S430" s="135"/>
      <c r="T430" s="135"/>
      <c r="U430" s="189"/>
      <c r="V430" s="135"/>
      <c r="W430" s="135"/>
      <c r="X430" s="135"/>
      <c r="Y430" s="135"/>
      <c r="Z430" s="135"/>
      <c r="AA430" s="135"/>
    </row>
    <row r="431" customFormat="false" ht="15.75" hidden="false" customHeight="true" outlineLevel="0" collapsed="false">
      <c r="A431" s="135"/>
      <c r="B431" s="135"/>
      <c r="C431" s="135"/>
      <c r="D431" s="135"/>
      <c r="E431" s="189"/>
      <c r="F431" s="135"/>
      <c r="G431" s="256"/>
      <c r="H431" s="256"/>
      <c r="I431" s="135"/>
      <c r="J431" s="135"/>
      <c r="K431" s="135"/>
      <c r="L431" s="135"/>
      <c r="M431" s="135"/>
      <c r="N431" s="135"/>
      <c r="O431" s="135"/>
      <c r="P431" s="135"/>
      <c r="Q431" s="135"/>
      <c r="R431" s="135"/>
      <c r="S431" s="135"/>
      <c r="T431" s="135"/>
      <c r="U431" s="189"/>
      <c r="V431" s="135"/>
      <c r="W431" s="135"/>
      <c r="X431" s="135"/>
      <c r="Y431" s="135"/>
      <c r="Z431" s="135"/>
      <c r="AA431" s="135"/>
    </row>
    <row r="432" customFormat="false" ht="15.75" hidden="false" customHeight="true" outlineLevel="0" collapsed="false">
      <c r="A432" s="135"/>
      <c r="B432" s="135"/>
      <c r="C432" s="135"/>
      <c r="D432" s="135"/>
      <c r="E432" s="189"/>
      <c r="F432" s="135"/>
      <c r="G432" s="256"/>
      <c r="H432" s="256"/>
      <c r="I432" s="135"/>
      <c r="J432" s="135"/>
      <c r="K432" s="135"/>
      <c r="L432" s="135"/>
      <c r="M432" s="135"/>
      <c r="N432" s="135"/>
      <c r="O432" s="135"/>
      <c r="P432" s="135"/>
      <c r="Q432" s="135"/>
      <c r="R432" s="135"/>
      <c r="S432" s="135"/>
      <c r="T432" s="135"/>
      <c r="U432" s="189"/>
      <c r="V432" s="135"/>
      <c r="W432" s="135"/>
      <c r="X432" s="135"/>
      <c r="Y432" s="135"/>
      <c r="Z432" s="135"/>
      <c r="AA432" s="135"/>
    </row>
    <row r="433" customFormat="false" ht="15.75" hidden="false" customHeight="true" outlineLevel="0" collapsed="false">
      <c r="A433" s="135"/>
      <c r="B433" s="135"/>
      <c r="C433" s="135"/>
      <c r="D433" s="135"/>
      <c r="E433" s="189"/>
      <c r="F433" s="135"/>
      <c r="G433" s="256"/>
      <c r="H433" s="256"/>
      <c r="I433" s="135"/>
      <c r="J433" s="135"/>
      <c r="K433" s="135"/>
      <c r="L433" s="135"/>
      <c r="M433" s="135"/>
      <c r="N433" s="135"/>
      <c r="O433" s="135"/>
      <c r="P433" s="135"/>
      <c r="Q433" s="135"/>
      <c r="R433" s="135"/>
      <c r="S433" s="135"/>
      <c r="T433" s="135"/>
      <c r="U433" s="189"/>
      <c r="V433" s="135"/>
      <c r="W433" s="135"/>
      <c r="X433" s="135"/>
      <c r="Y433" s="135"/>
      <c r="Z433" s="135"/>
      <c r="AA433" s="135"/>
    </row>
    <row r="434" customFormat="false" ht="15.75" hidden="false" customHeight="true" outlineLevel="0" collapsed="false">
      <c r="A434" s="135"/>
      <c r="B434" s="135"/>
      <c r="C434" s="135"/>
      <c r="D434" s="135"/>
      <c r="E434" s="189"/>
      <c r="F434" s="135"/>
      <c r="G434" s="256"/>
      <c r="H434" s="256"/>
      <c r="I434" s="135"/>
      <c r="J434" s="135"/>
      <c r="K434" s="135"/>
      <c r="L434" s="135"/>
      <c r="M434" s="135"/>
      <c r="N434" s="135"/>
      <c r="O434" s="135"/>
      <c r="P434" s="135"/>
      <c r="Q434" s="135"/>
      <c r="R434" s="135"/>
      <c r="S434" s="135"/>
      <c r="T434" s="135"/>
      <c r="U434" s="189"/>
      <c r="V434" s="135"/>
      <c r="W434" s="135"/>
      <c r="X434" s="135"/>
      <c r="Y434" s="135"/>
      <c r="Z434" s="135"/>
      <c r="AA434" s="135"/>
    </row>
    <row r="435" customFormat="false" ht="15.75" hidden="false" customHeight="true" outlineLevel="0" collapsed="false">
      <c r="A435" s="135"/>
      <c r="B435" s="135"/>
      <c r="C435" s="135"/>
      <c r="D435" s="135"/>
      <c r="E435" s="189"/>
      <c r="F435" s="135"/>
      <c r="G435" s="256"/>
      <c r="H435" s="256"/>
      <c r="I435" s="135"/>
      <c r="J435" s="135"/>
      <c r="K435" s="135"/>
      <c r="L435" s="135"/>
      <c r="M435" s="135"/>
      <c r="N435" s="135"/>
      <c r="O435" s="135"/>
      <c r="P435" s="135"/>
      <c r="Q435" s="135"/>
      <c r="R435" s="135"/>
      <c r="S435" s="135"/>
      <c r="T435" s="135"/>
      <c r="U435" s="189"/>
      <c r="V435" s="135"/>
      <c r="W435" s="135"/>
      <c r="X435" s="135"/>
      <c r="Y435" s="135"/>
      <c r="Z435" s="135"/>
      <c r="AA435" s="135"/>
    </row>
    <row r="436" customFormat="false" ht="15.75" hidden="false" customHeight="true" outlineLevel="0" collapsed="false">
      <c r="A436" s="135"/>
      <c r="B436" s="135"/>
      <c r="C436" s="135"/>
      <c r="D436" s="135"/>
      <c r="E436" s="189"/>
      <c r="F436" s="135"/>
      <c r="G436" s="256"/>
      <c r="H436" s="256"/>
      <c r="I436" s="135"/>
      <c r="J436" s="135"/>
      <c r="K436" s="135"/>
      <c r="L436" s="135"/>
      <c r="M436" s="135"/>
      <c r="N436" s="135"/>
      <c r="O436" s="135"/>
      <c r="P436" s="135"/>
      <c r="Q436" s="135"/>
      <c r="R436" s="135"/>
      <c r="S436" s="135"/>
      <c r="T436" s="135"/>
      <c r="U436" s="189"/>
      <c r="V436" s="135"/>
      <c r="W436" s="135"/>
      <c r="X436" s="135"/>
      <c r="Y436" s="135"/>
      <c r="Z436" s="135"/>
      <c r="AA436" s="135"/>
    </row>
    <row r="437" customFormat="false" ht="15.75" hidden="false" customHeight="true" outlineLevel="0" collapsed="false">
      <c r="A437" s="135"/>
      <c r="B437" s="135"/>
      <c r="C437" s="135"/>
      <c r="D437" s="135"/>
      <c r="E437" s="189"/>
      <c r="F437" s="135"/>
      <c r="G437" s="256"/>
      <c r="H437" s="256"/>
      <c r="I437" s="135"/>
      <c r="J437" s="135"/>
      <c r="K437" s="135"/>
      <c r="L437" s="135"/>
      <c r="M437" s="135"/>
      <c r="N437" s="135"/>
      <c r="O437" s="135"/>
      <c r="P437" s="135"/>
      <c r="Q437" s="135"/>
      <c r="R437" s="135"/>
      <c r="S437" s="135"/>
      <c r="T437" s="135"/>
      <c r="U437" s="189"/>
      <c r="V437" s="135"/>
      <c r="W437" s="135"/>
      <c r="X437" s="135"/>
      <c r="Y437" s="135"/>
      <c r="Z437" s="135"/>
      <c r="AA437" s="135"/>
    </row>
    <row r="438" customFormat="false" ht="15.75" hidden="false" customHeight="true" outlineLevel="0" collapsed="false">
      <c r="A438" s="135"/>
      <c r="B438" s="135"/>
      <c r="C438" s="135"/>
      <c r="D438" s="135"/>
      <c r="E438" s="189"/>
      <c r="F438" s="135"/>
      <c r="G438" s="256"/>
      <c r="H438" s="256"/>
      <c r="I438" s="135"/>
      <c r="J438" s="135"/>
      <c r="K438" s="135"/>
      <c r="L438" s="135"/>
      <c r="M438" s="135"/>
      <c r="N438" s="135"/>
      <c r="O438" s="135"/>
      <c r="P438" s="135"/>
      <c r="Q438" s="135"/>
      <c r="R438" s="135"/>
      <c r="S438" s="135"/>
      <c r="T438" s="135"/>
      <c r="U438" s="189"/>
      <c r="V438" s="135"/>
      <c r="W438" s="135"/>
      <c r="X438" s="135"/>
      <c r="Y438" s="135"/>
      <c r="Z438" s="135"/>
      <c r="AA438" s="135"/>
    </row>
    <row r="439" customFormat="false" ht="15.75" hidden="false" customHeight="true" outlineLevel="0" collapsed="false">
      <c r="A439" s="135"/>
      <c r="B439" s="135"/>
      <c r="C439" s="135"/>
      <c r="D439" s="135"/>
      <c r="E439" s="189"/>
      <c r="F439" s="135"/>
      <c r="G439" s="256"/>
      <c r="H439" s="256"/>
      <c r="I439" s="135"/>
      <c r="J439" s="135"/>
      <c r="K439" s="135"/>
      <c r="L439" s="135"/>
      <c r="M439" s="135"/>
      <c r="N439" s="135"/>
      <c r="O439" s="135"/>
      <c r="P439" s="135"/>
      <c r="Q439" s="135"/>
      <c r="R439" s="135"/>
      <c r="S439" s="135"/>
      <c r="T439" s="135"/>
      <c r="U439" s="189"/>
      <c r="V439" s="135"/>
      <c r="W439" s="135"/>
      <c r="X439" s="135"/>
      <c r="Y439" s="135"/>
      <c r="Z439" s="135"/>
      <c r="AA439" s="135"/>
    </row>
    <row r="440" customFormat="false" ht="15.75" hidden="false" customHeight="true" outlineLevel="0" collapsed="false">
      <c r="A440" s="135"/>
      <c r="B440" s="135"/>
      <c r="C440" s="135"/>
      <c r="D440" s="135"/>
      <c r="E440" s="189"/>
      <c r="F440" s="135"/>
      <c r="G440" s="256"/>
      <c r="H440" s="256"/>
      <c r="I440" s="135"/>
      <c r="J440" s="135"/>
      <c r="K440" s="135"/>
      <c r="L440" s="135"/>
      <c r="M440" s="135"/>
      <c r="N440" s="135"/>
      <c r="O440" s="135"/>
      <c r="P440" s="135"/>
      <c r="Q440" s="135"/>
      <c r="R440" s="135"/>
      <c r="S440" s="135"/>
      <c r="T440" s="135"/>
      <c r="U440" s="189"/>
      <c r="V440" s="135"/>
      <c r="W440" s="135"/>
      <c r="X440" s="135"/>
      <c r="Y440" s="135"/>
      <c r="Z440" s="135"/>
      <c r="AA440" s="135"/>
    </row>
    <row r="441" customFormat="false" ht="15.75" hidden="false" customHeight="true" outlineLevel="0" collapsed="false">
      <c r="A441" s="135"/>
      <c r="B441" s="135"/>
      <c r="C441" s="135"/>
      <c r="D441" s="135"/>
      <c r="E441" s="189"/>
      <c r="F441" s="135"/>
      <c r="G441" s="256"/>
      <c r="H441" s="256"/>
      <c r="I441" s="135"/>
      <c r="J441" s="135"/>
      <c r="K441" s="135"/>
      <c r="L441" s="135"/>
      <c r="M441" s="135"/>
      <c r="N441" s="135"/>
      <c r="O441" s="135"/>
      <c r="P441" s="135"/>
      <c r="Q441" s="135"/>
      <c r="R441" s="135"/>
      <c r="S441" s="135"/>
      <c r="T441" s="135"/>
      <c r="U441" s="189"/>
      <c r="V441" s="135"/>
      <c r="W441" s="135"/>
      <c r="X441" s="135"/>
      <c r="Y441" s="135"/>
      <c r="Z441" s="135"/>
      <c r="AA441" s="135"/>
    </row>
    <row r="442" customFormat="false" ht="15.75" hidden="false" customHeight="true" outlineLevel="0" collapsed="false">
      <c r="A442" s="135"/>
      <c r="B442" s="135"/>
      <c r="C442" s="135"/>
      <c r="D442" s="135"/>
      <c r="E442" s="189"/>
      <c r="F442" s="135"/>
      <c r="G442" s="256"/>
      <c r="H442" s="256"/>
      <c r="I442" s="135"/>
      <c r="J442" s="135"/>
      <c r="K442" s="135"/>
      <c r="L442" s="135"/>
      <c r="M442" s="135"/>
      <c r="N442" s="135"/>
      <c r="O442" s="135"/>
      <c r="P442" s="135"/>
      <c r="Q442" s="135"/>
      <c r="R442" s="135"/>
      <c r="S442" s="135"/>
      <c r="T442" s="135"/>
      <c r="U442" s="189"/>
      <c r="V442" s="135"/>
      <c r="W442" s="135"/>
      <c r="X442" s="135"/>
      <c r="Y442" s="135"/>
      <c r="Z442" s="135"/>
      <c r="AA442" s="135"/>
    </row>
    <row r="443" customFormat="false" ht="15.75" hidden="false" customHeight="true" outlineLevel="0" collapsed="false">
      <c r="A443" s="135"/>
      <c r="B443" s="135"/>
      <c r="C443" s="135"/>
      <c r="D443" s="135"/>
      <c r="E443" s="189"/>
      <c r="F443" s="135"/>
      <c r="G443" s="256"/>
      <c r="H443" s="256"/>
      <c r="I443" s="135"/>
      <c r="J443" s="135"/>
      <c r="K443" s="135"/>
      <c r="L443" s="135"/>
      <c r="M443" s="135"/>
      <c r="N443" s="135"/>
      <c r="O443" s="135"/>
      <c r="P443" s="135"/>
      <c r="Q443" s="135"/>
      <c r="R443" s="135"/>
      <c r="S443" s="135"/>
      <c r="T443" s="135"/>
      <c r="U443" s="189"/>
      <c r="V443" s="135"/>
      <c r="W443" s="135"/>
      <c r="X443" s="135"/>
      <c r="Y443" s="135"/>
      <c r="Z443" s="135"/>
      <c r="AA443" s="135"/>
    </row>
    <row r="444" customFormat="false" ht="15.75" hidden="false" customHeight="true" outlineLevel="0" collapsed="false">
      <c r="A444" s="135"/>
      <c r="B444" s="135"/>
      <c r="C444" s="135"/>
      <c r="D444" s="135"/>
      <c r="E444" s="189"/>
      <c r="F444" s="135"/>
      <c r="G444" s="256"/>
      <c r="H444" s="256"/>
      <c r="I444" s="135"/>
      <c r="J444" s="135"/>
      <c r="K444" s="135"/>
      <c r="L444" s="135"/>
      <c r="M444" s="135"/>
      <c r="N444" s="135"/>
      <c r="O444" s="135"/>
      <c r="P444" s="135"/>
      <c r="Q444" s="135"/>
      <c r="R444" s="135"/>
      <c r="S444" s="135"/>
      <c r="T444" s="135"/>
      <c r="U444" s="189"/>
      <c r="V444" s="135"/>
      <c r="W444" s="135"/>
      <c r="X444" s="135"/>
      <c r="Y444" s="135"/>
      <c r="Z444" s="135"/>
      <c r="AA444" s="135"/>
    </row>
    <row r="445" customFormat="false" ht="15.75" hidden="false" customHeight="true" outlineLevel="0" collapsed="false">
      <c r="A445" s="135"/>
      <c r="B445" s="135"/>
      <c r="C445" s="135"/>
      <c r="D445" s="135"/>
      <c r="E445" s="189"/>
      <c r="F445" s="135"/>
      <c r="G445" s="256"/>
      <c r="H445" s="256"/>
      <c r="I445" s="135"/>
      <c r="J445" s="135"/>
      <c r="K445" s="135"/>
      <c r="L445" s="135"/>
      <c r="M445" s="135"/>
      <c r="N445" s="135"/>
      <c r="O445" s="135"/>
      <c r="P445" s="135"/>
      <c r="Q445" s="135"/>
      <c r="R445" s="135"/>
      <c r="S445" s="135"/>
      <c r="T445" s="135"/>
      <c r="U445" s="189"/>
      <c r="V445" s="135"/>
      <c r="W445" s="135"/>
      <c r="X445" s="135"/>
      <c r="Y445" s="135"/>
      <c r="Z445" s="135"/>
      <c r="AA445" s="135"/>
    </row>
    <row r="446" customFormat="false" ht="15.75" hidden="false" customHeight="true" outlineLevel="0" collapsed="false">
      <c r="A446" s="135"/>
      <c r="B446" s="135"/>
      <c r="C446" s="135"/>
      <c r="D446" s="135"/>
      <c r="E446" s="189"/>
      <c r="F446" s="135"/>
      <c r="G446" s="256"/>
      <c r="H446" s="256"/>
      <c r="I446" s="135"/>
      <c r="J446" s="135"/>
      <c r="K446" s="135"/>
      <c r="L446" s="135"/>
      <c r="M446" s="135"/>
      <c r="N446" s="135"/>
      <c r="O446" s="135"/>
      <c r="P446" s="135"/>
      <c r="Q446" s="135"/>
      <c r="R446" s="135"/>
      <c r="S446" s="135"/>
      <c r="T446" s="135"/>
      <c r="U446" s="189"/>
      <c r="V446" s="135"/>
      <c r="W446" s="135"/>
      <c r="X446" s="135"/>
      <c r="Y446" s="135"/>
      <c r="Z446" s="135"/>
      <c r="AA446" s="135"/>
    </row>
    <row r="447" customFormat="false" ht="15.75" hidden="false" customHeight="true" outlineLevel="0" collapsed="false">
      <c r="A447" s="135"/>
      <c r="B447" s="135"/>
      <c r="C447" s="135"/>
      <c r="D447" s="135"/>
      <c r="E447" s="189"/>
      <c r="F447" s="135"/>
      <c r="G447" s="256"/>
      <c r="H447" s="256"/>
      <c r="I447" s="135"/>
      <c r="J447" s="135"/>
      <c r="K447" s="135"/>
      <c r="L447" s="135"/>
      <c r="M447" s="135"/>
      <c r="N447" s="135"/>
      <c r="O447" s="135"/>
      <c r="P447" s="135"/>
      <c r="Q447" s="135"/>
      <c r="R447" s="135"/>
      <c r="S447" s="135"/>
      <c r="T447" s="135"/>
      <c r="U447" s="189"/>
      <c r="V447" s="135"/>
      <c r="W447" s="135"/>
      <c r="X447" s="135"/>
      <c r="Y447" s="135"/>
      <c r="Z447" s="135"/>
      <c r="AA447" s="135"/>
    </row>
    <row r="448" customFormat="false" ht="15.75" hidden="false" customHeight="true" outlineLevel="0" collapsed="false">
      <c r="A448" s="135"/>
      <c r="B448" s="135"/>
      <c r="C448" s="135"/>
      <c r="D448" s="135"/>
      <c r="E448" s="189"/>
      <c r="F448" s="135"/>
      <c r="G448" s="256"/>
      <c r="H448" s="256"/>
      <c r="I448" s="135"/>
      <c r="J448" s="135"/>
      <c r="K448" s="135"/>
      <c r="L448" s="135"/>
      <c r="M448" s="135"/>
      <c r="N448" s="135"/>
      <c r="O448" s="135"/>
      <c r="P448" s="135"/>
      <c r="Q448" s="135"/>
      <c r="R448" s="135"/>
      <c r="S448" s="135"/>
      <c r="T448" s="135"/>
      <c r="U448" s="189"/>
      <c r="V448" s="135"/>
      <c r="W448" s="135"/>
      <c r="X448" s="135"/>
      <c r="Y448" s="135"/>
      <c r="Z448" s="135"/>
      <c r="AA448" s="135"/>
    </row>
    <row r="449" customFormat="false" ht="15.75" hidden="false" customHeight="true" outlineLevel="0" collapsed="false">
      <c r="A449" s="135"/>
      <c r="B449" s="135"/>
      <c r="C449" s="135"/>
      <c r="D449" s="135"/>
      <c r="E449" s="189"/>
      <c r="F449" s="135"/>
      <c r="G449" s="256"/>
      <c r="H449" s="256"/>
      <c r="I449" s="135"/>
      <c r="J449" s="135"/>
      <c r="K449" s="135"/>
      <c r="L449" s="135"/>
      <c r="M449" s="135"/>
      <c r="N449" s="135"/>
      <c r="O449" s="135"/>
      <c r="P449" s="135"/>
      <c r="Q449" s="135"/>
      <c r="R449" s="135"/>
      <c r="S449" s="135"/>
      <c r="T449" s="135"/>
      <c r="U449" s="189"/>
      <c r="V449" s="135"/>
      <c r="W449" s="135"/>
      <c r="X449" s="135"/>
      <c r="Y449" s="135"/>
      <c r="Z449" s="135"/>
      <c r="AA449" s="135"/>
    </row>
    <row r="450" customFormat="false" ht="15.75" hidden="false" customHeight="true" outlineLevel="0" collapsed="false">
      <c r="A450" s="135"/>
      <c r="B450" s="135"/>
      <c r="C450" s="135"/>
      <c r="D450" s="135"/>
      <c r="E450" s="189"/>
      <c r="F450" s="135"/>
      <c r="G450" s="256"/>
      <c r="H450" s="256"/>
      <c r="I450" s="135"/>
      <c r="J450" s="135"/>
      <c r="K450" s="135"/>
      <c r="L450" s="135"/>
      <c r="M450" s="135"/>
      <c r="N450" s="135"/>
      <c r="O450" s="135"/>
      <c r="P450" s="135"/>
      <c r="Q450" s="135"/>
      <c r="R450" s="135"/>
      <c r="S450" s="135"/>
      <c r="T450" s="135"/>
      <c r="U450" s="189"/>
      <c r="V450" s="135"/>
      <c r="W450" s="135"/>
      <c r="X450" s="135"/>
      <c r="Y450" s="135"/>
      <c r="Z450" s="135"/>
      <c r="AA450" s="135"/>
    </row>
    <row r="451" customFormat="false" ht="15.75" hidden="false" customHeight="true" outlineLevel="0" collapsed="false">
      <c r="A451" s="135"/>
      <c r="B451" s="135"/>
      <c r="C451" s="135"/>
      <c r="D451" s="135"/>
      <c r="E451" s="189"/>
      <c r="F451" s="135"/>
      <c r="G451" s="256"/>
      <c r="H451" s="256"/>
      <c r="I451" s="135"/>
      <c r="J451" s="135"/>
      <c r="K451" s="135"/>
      <c r="L451" s="135"/>
      <c r="M451" s="135"/>
      <c r="N451" s="135"/>
      <c r="O451" s="135"/>
      <c r="P451" s="135"/>
      <c r="Q451" s="135"/>
      <c r="R451" s="135"/>
      <c r="S451" s="135"/>
      <c r="T451" s="135"/>
      <c r="U451" s="189"/>
      <c r="V451" s="135"/>
      <c r="W451" s="135"/>
      <c r="X451" s="135"/>
      <c r="Y451" s="135"/>
      <c r="Z451" s="135"/>
      <c r="AA451" s="135"/>
    </row>
    <row r="452" customFormat="false" ht="15.75" hidden="false" customHeight="true" outlineLevel="0" collapsed="false">
      <c r="A452" s="135"/>
      <c r="B452" s="135"/>
      <c r="C452" s="135"/>
      <c r="D452" s="135"/>
      <c r="E452" s="189"/>
      <c r="F452" s="135"/>
      <c r="G452" s="256"/>
      <c r="H452" s="256"/>
      <c r="I452" s="135"/>
      <c r="J452" s="135"/>
      <c r="K452" s="135"/>
      <c r="L452" s="135"/>
      <c r="M452" s="135"/>
      <c r="N452" s="135"/>
      <c r="O452" s="135"/>
      <c r="P452" s="135"/>
      <c r="Q452" s="135"/>
      <c r="R452" s="135"/>
      <c r="S452" s="135"/>
      <c r="T452" s="135"/>
      <c r="U452" s="189"/>
      <c r="V452" s="135"/>
      <c r="W452" s="135"/>
      <c r="X452" s="135"/>
      <c r="Y452" s="135"/>
      <c r="Z452" s="135"/>
      <c r="AA452" s="135"/>
    </row>
    <row r="453" customFormat="false" ht="15.75" hidden="false" customHeight="true" outlineLevel="0" collapsed="false">
      <c r="A453" s="135"/>
      <c r="B453" s="135"/>
      <c r="C453" s="135"/>
      <c r="D453" s="135"/>
      <c r="E453" s="189"/>
      <c r="F453" s="135"/>
      <c r="G453" s="256"/>
      <c r="H453" s="256"/>
      <c r="I453" s="135"/>
      <c r="J453" s="135"/>
      <c r="K453" s="135"/>
      <c r="L453" s="135"/>
      <c r="M453" s="135"/>
      <c r="N453" s="135"/>
      <c r="O453" s="135"/>
      <c r="P453" s="135"/>
      <c r="Q453" s="135"/>
      <c r="R453" s="135"/>
      <c r="S453" s="135"/>
      <c r="T453" s="135"/>
      <c r="U453" s="189"/>
      <c r="V453" s="135"/>
      <c r="W453" s="135"/>
      <c r="X453" s="135"/>
      <c r="Y453" s="135"/>
      <c r="Z453" s="135"/>
      <c r="AA453" s="135"/>
    </row>
    <row r="454" customFormat="false" ht="15.75" hidden="false" customHeight="true" outlineLevel="0" collapsed="false">
      <c r="A454" s="135"/>
      <c r="B454" s="135"/>
      <c r="C454" s="135"/>
      <c r="D454" s="135"/>
      <c r="E454" s="189"/>
      <c r="F454" s="135"/>
      <c r="G454" s="256"/>
      <c r="H454" s="256"/>
      <c r="I454" s="135"/>
      <c r="J454" s="135"/>
      <c r="K454" s="135"/>
      <c r="L454" s="135"/>
      <c r="M454" s="135"/>
      <c r="N454" s="135"/>
      <c r="O454" s="135"/>
      <c r="P454" s="135"/>
      <c r="Q454" s="135"/>
      <c r="R454" s="135"/>
      <c r="S454" s="135"/>
      <c r="T454" s="135"/>
      <c r="U454" s="189"/>
      <c r="V454" s="135"/>
      <c r="W454" s="135"/>
      <c r="X454" s="135"/>
      <c r="Y454" s="135"/>
      <c r="Z454" s="135"/>
      <c r="AA454" s="135"/>
    </row>
    <row r="455" customFormat="false" ht="15.75" hidden="false" customHeight="true" outlineLevel="0" collapsed="false">
      <c r="A455" s="135"/>
      <c r="B455" s="135"/>
      <c r="C455" s="135"/>
      <c r="D455" s="135"/>
      <c r="E455" s="189"/>
      <c r="F455" s="135"/>
      <c r="G455" s="256"/>
      <c r="H455" s="256"/>
      <c r="I455" s="135"/>
      <c r="J455" s="135"/>
      <c r="K455" s="135"/>
      <c r="L455" s="135"/>
      <c r="M455" s="135"/>
      <c r="N455" s="135"/>
      <c r="O455" s="135"/>
      <c r="P455" s="135"/>
      <c r="Q455" s="135"/>
      <c r="R455" s="135"/>
      <c r="S455" s="135"/>
      <c r="T455" s="135"/>
      <c r="U455" s="189"/>
      <c r="V455" s="135"/>
      <c r="W455" s="135"/>
      <c r="X455" s="135"/>
      <c r="Y455" s="135"/>
      <c r="Z455" s="135"/>
      <c r="AA455" s="135"/>
    </row>
    <row r="456" customFormat="false" ht="15.75" hidden="false" customHeight="true" outlineLevel="0" collapsed="false">
      <c r="A456" s="135"/>
      <c r="B456" s="135"/>
      <c r="C456" s="135"/>
      <c r="D456" s="135"/>
      <c r="E456" s="189"/>
      <c r="F456" s="135"/>
      <c r="G456" s="256"/>
      <c r="H456" s="256"/>
      <c r="I456" s="135"/>
      <c r="J456" s="135"/>
      <c r="K456" s="135"/>
      <c r="L456" s="135"/>
      <c r="M456" s="135"/>
      <c r="N456" s="135"/>
      <c r="O456" s="135"/>
      <c r="P456" s="135"/>
      <c r="Q456" s="135"/>
      <c r="R456" s="135"/>
      <c r="S456" s="135"/>
      <c r="T456" s="135"/>
      <c r="U456" s="189"/>
      <c r="V456" s="135"/>
      <c r="W456" s="135"/>
      <c r="X456" s="135"/>
      <c r="Y456" s="135"/>
      <c r="Z456" s="135"/>
      <c r="AA456" s="135"/>
    </row>
    <row r="457" customFormat="false" ht="15.75" hidden="false" customHeight="true" outlineLevel="0" collapsed="false">
      <c r="A457" s="135"/>
      <c r="B457" s="135"/>
      <c r="C457" s="135"/>
      <c r="D457" s="135"/>
      <c r="E457" s="189"/>
      <c r="F457" s="135"/>
      <c r="G457" s="256"/>
      <c r="H457" s="256"/>
      <c r="I457" s="135"/>
      <c r="J457" s="135"/>
      <c r="K457" s="135"/>
      <c r="L457" s="135"/>
      <c r="M457" s="135"/>
      <c r="N457" s="135"/>
      <c r="O457" s="135"/>
      <c r="P457" s="135"/>
      <c r="Q457" s="135"/>
      <c r="R457" s="135"/>
      <c r="S457" s="135"/>
      <c r="T457" s="135"/>
      <c r="U457" s="189"/>
      <c r="V457" s="135"/>
      <c r="W457" s="135"/>
      <c r="X457" s="135"/>
      <c r="Y457" s="135"/>
      <c r="Z457" s="135"/>
      <c r="AA457" s="135"/>
    </row>
    <row r="458" customFormat="false" ht="15.75" hidden="false" customHeight="true" outlineLevel="0" collapsed="false">
      <c r="A458" s="135"/>
      <c r="B458" s="135"/>
      <c r="C458" s="135"/>
      <c r="D458" s="135"/>
      <c r="E458" s="189"/>
      <c r="F458" s="135"/>
      <c r="G458" s="256"/>
      <c r="H458" s="256"/>
      <c r="I458" s="135"/>
      <c r="J458" s="135"/>
      <c r="K458" s="135"/>
      <c r="L458" s="135"/>
      <c r="M458" s="135"/>
      <c r="N458" s="135"/>
      <c r="O458" s="135"/>
      <c r="P458" s="135"/>
      <c r="Q458" s="135"/>
      <c r="R458" s="135"/>
      <c r="S458" s="135"/>
      <c r="T458" s="135"/>
      <c r="U458" s="189"/>
      <c r="V458" s="135"/>
      <c r="W458" s="135"/>
      <c r="X458" s="135"/>
      <c r="Y458" s="135"/>
      <c r="Z458" s="135"/>
      <c r="AA458" s="135"/>
    </row>
    <row r="459" customFormat="false" ht="15.75" hidden="false" customHeight="true" outlineLevel="0" collapsed="false">
      <c r="A459" s="135"/>
      <c r="B459" s="135"/>
      <c r="C459" s="135"/>
      <c r="D459" s="135"/>
      <c r="E459" s="189"/>
      <c r="F459" s="135"/>
      <c r="G459" s="256"/>
      <c r="H459" s="256"/>
      <c r="I459" s="135"/>
      <c r="J459" s="135"/>
      <c r="K459" s="135"/>
      <c r="L459" s="135"/>
      <c r="M459" s="135"/>
      <c r="N459" s="135"/>
      <c r="O459" s="135"/>
      <c r="P459" s="135"/>
      <c r="Q459" s="135"/>
      <c r="R459" s="135"/>
      <c r="S459" s="135"/>
      <c r="T459" s="135"/>
      <c r="U459" s="189"/>
      <c r="V459" s="135"/>
      <c r="W459" s="135"/>
      <c r="X459" s="135"/>
      <c r="Y459" s="135"/>
      <c r="Z459" s="135"/>
      <c r="AA459" s="135"/>
    </row>
    <row r="460" customFormat="false" ht="15.75" hidden="false" customHeight="true" outlineLevel="0" collapsed="false">
      <c r="A460" s="135"/>
      <c r="B460" s="135"/>
      <c r="C460" s="135"/>
      <c r="D460" s="135"/>
      <c r="E460" s="189"/>
      <c r="F460" s="135"/>
      <c r="G460" s="256"/>
      <c r="H460" s="256"/>
      <c r="I460" s="135"/>
      <c r="J460" s="135"/>
      <c r="K460" s="135"/>
      <c r="L460" s="135"/>
      <c r="M460" s="135"/>
      <c r="N460" s="135"/>
      <c r="O460" s="135"/>
      <c r="P460" s="135"/>
      <c r="Q460" s="135"/>
      <c r="R460" s="135"/>
      <c r="S460" s="135"/>
      <c r="T460" s="135"/>
      <c r="U460" s="189"/>
      <c r="V460" s="135"/>
      <c r="W460" s="135"/>
      <c r="X460" s="135"/>
      <c r="Y460" s="135"/>
      <c r="Z460" s="135"/>
      <c r="AA460" s="135"/>
    </row>
    <row r="461" customFormat="false" ht="15.75" hidden="false" customHeight="true" outlineLevel="0" collapsed="false">
      <c r="A461" s="135"/>
      <c r="B461" s="135"/>
      <c r="C461" s="135"/>
      <c r="D461" s="135"/>
      <c r="E461" s="189"/>
      <c r="F461" s="135"/>
      <c r="G461" s="256"/>
      <c r="H461" s="256"/>
      <c r="I461" s="135"/>
      <c r="J461" s="135"/>
      <c r="K461" s="135"/>
      <c r="L461" s="135"/>
      <c r="M461" s="135"/>
      <c r="N461" s="135"/>
      <c r="O461" s="135"/>
      <c r="P461" s="135"/>
      <c r="Q461" s="135"/>
      <c r="R461" s="135"/>
      <c r="S461" s="135"/>
      <c r="T461" s="135"/>
      <c r="U461" s="189"/>
      <c r="V461" s="135"/>
      <c r="W461" s="135"/>
      <c r="X461" s="135"/>
      <c r="Y461" s="135"/>
      <c r="Z461" s="135"/>
      <c r="AA461" s="135"/>
    </row>
    <row r="462" customFormat="false" ht="15.75" hidden="false" customHeight="true" outlineLevel="0" collapsed="false">
      <c r="A462" s="135"/>
      <c r="B462" s="135"/>
      <c r="C462" s="135"/>
      <c r="D462" s="135"/>
      <c r="E462" s="189"/>
      <c r="F462" s="135"/>
      <c r="G462" s="256"/>
      <c r="H462" s="256"/>
      <c r="I462" s="135"/>
      <c r="J462" s="135"/>
      <c r="K462" s="135"/>
      <c r="L462" s="135"/>
      <c r="M462" s="135"/>
      <c r="N462" s="135"/>
      <c r="O462" s="135"/>
      <c r="P462" s="135"/>
      <c r="Q462" s="135"/>
      <c r="R462" s="135"/>
      <c r="S462" s="135"/>
      <c r="T462" s="135"/>
      <c r="U462" s="189"/>
      <c r="V462" s="135"/>
      <c r="W462" s="135"/>
      <c r="X462" s="135"/>
      <c r="Y462" s="135"/>
      <c r="Z462" s="135"/>
      <c r="AA462" s="135"/>
    </row>
    <row r="463" customFormat="false" ht="15.75" hidden="false" customHeight="true" outlineLevel="0" collapsed="false">
      <c r="A463" s="135"/>
      <c r="B463" s="135"/>
      <c r="C463" s="135"/>
      <c r="D463" s="135"/>
      <c r="E463" s="189"/>
      <c r="F463" s="135"/>
      <c r="G463" s="256"/>
      <c r="H463" s="256"/>
      <c r="I463" s="135"/>
      <c r="J463" s="135"/>
      <c r="K463" s="135"/>
      <c r="L463" s="135"/>
      <c r="M463" s="135"/>
      <c r="N463" s="135"/>
      <c r="O463" s="135"/>
      <c r="P463" s="135"/>
      <c r="Q463" s="135"/>
      <c r="R463" s="135"/>
      <c r="S463" s="135"/>
      <c r="T463" s="135"/>
      <c r="U463" s="189"/>
      <c r="V463" s="135"/>
      <c r="W463" s="135"/>
      <c r="X463" s="135"/>
      <c r="Y463" s="135"/>
      <c r="Z463" s="135"/>
      <c r="AA463" s="135"/>
    </row>
    <row r="464" customFormat="false" ht="15.75" hidden="false" customHeight="true" outlineLevel="0" collapsed="false">
      <c r="A464" s="135"/>
      <c r="B464" s="135"/>
      <c r="C464" s="135"/>
      <c r="D464" s="135"/>
      <c r="E464" s="189"/>
      <c r="F464" s="135"/>
      <c r="G464" s="256"/>
      <c r="H464" s="256"/>
      <c r="I464" s="135"/>
      <c r="J464" s="135"/>
      <c r="K464" s="135"/>
      <c r="L464" s="135"/>
      <c r="M464" s="135"/>
      <c r="N464" s="135"/>
      <c r="O464" s="135"/>
      <c r="P464" s="135"/>
      <c r="Q464" s="135"/>
      <c r="R464" s="135"/>
      <c r="S464" s="135"/>
      <c r="T464" s="135"/>
      <c r="U464" s="189"/>
      <c r="V464" s="135"/>
      <c r="W464" s="135"/>
      <c r="X464" s="135"/>
      <c r="Y464" s="135"/>
      <c r="Z464" s="135"/>
      <c r="AA464" s="135"/>
    </row>
    <row r="465" customFormat="false" ht="15.75" hidden="false" customHeight="true" outlineLevel="0" collapsed="false">
      <c r="A465" s="135"/>
      <c r="B465" s="135"/>
      <c r="C465" s="135"/>
      <c r="D465" s="135"/>
      <c r="E465" s="189"/>
      <c r="F465" s="135"/>
      <c r="G465" s="256"/>
      <c r="H465" s="256"/>
      <c r="I465" s="135"/>
      <c r="J465" s="135"/>
      <c r="K465" s="135"/>
      <c r="L465" s="135"/>
      <c r="M465" s="135"/>
      <c r="N465" s="135"/>
      <c r="O465" s="135"/>
      <c r="P465" s="135"/>
      <c r="Q465" s="135"/>
      <c r="R465" s="135"/>
      <c r="S465" s="135"/>
      <c r="T465" s="135"/>
      <c r="U465" s="189"/>
      <c r="V465" s="135"/>
      <c r="W465" s="135"/>
      <c r="X465" s="135"/>
      <c r="Y465" s="135"/>
      <c r="Z465" s="135"/>
      <c r="AA465" s="135"/>
    </row>
    <row r="466" customFormat="false" ht="15.75" hidden="false" customHeight="true" outlineLevel="0" collapsed="false">
      <c r="A466" s="135"/>
      <c r="B466" s="135"/>
      <c r="C466" s="135"/>
      <c r="D466" s="135"/>
      <c r="E466" s="189"/>
      <c r="F466" s="135"/>
      <c r="G466" s="256"/>
      <c r="H466" s="256"/>
      <c r="I466" s="135"/>
      <c r="J466" s="135"/>
      <c r="K466" s="135"/>
      <c r="L466" s="135"/>
      <c r="M466" s="135"/>
      <c r="N466" s="135"/>
      <c r="O466" s="135"/>
      <c r="P466" s="135"/>
      <c r="Q466" s="135"/>
      <c r="R466" s="135"/>
      <c r="S466" s="135"/>
      <c r="T466" s="135"/>
      <c r="U466" s="189"/>
      <c r="V466" s="135"/>
      <c r="W466" s="135"/>
      <c r="X466" s="135"/>
      <c r="Y466" s="135"/>
      <c r="Z466" s="135"/>
      <c r="AA466" s="135"/>
    </row>
    <row r="467" customFormat="false" ht="15.75" hidden="false" customHeight="true" outlineLevel="0" collapsed="false">
      <c r="A467" s="135"/>
      <c r="B467" s="135"/>
      <c r="C467" s="135"/>
      <c r="D467" s="135"/>
      <c r="E467" s="189"/>
      <c r="F467" s="135"/>
      <c r="G467" s="256"/>
      <c r="H467" s="256"/>
      <c r="I467" s="135"/>
      <c r="J467" s="135"/>
      <c r="K467" s="135"/>
      <c r="L467" s="135"/>
      <c r="M467" s="135"/>
      <c r="N467" s="135"/>
      <c r="O467" s="135"/>
      <c r="P467" s="135"/>
      <c r="Q467" s="135"/>
      <c r="R467" s="135"/>
      <c r="S467" s="135"/>
      <c r="T467" s="135"/>
      <c r="U467" s="189"/>
      <c r="V467" s="135"/>
      <c r="W467" s="135"/>
      <c r="X467" s="135"/>
      <c r="Y467" s="135"/>
      <c r="Z467" s="135"/>
      <c r="AA467" s="135"/>
    </row>
    <row r="468" customFormat="false" ht="15.75" hidden="false" customHeight="true" outlineLevel="0" collapsed="false">
      <c r="A468" s="135"/>
      <c r="B468" s="135"/>
      <c r="C468" s="135"/>
      <c r="D468" s="135"/>
      <c r="E468" s="189"/>
      <c r="F468" s="135"/>
      <c r="G468" s="256"/>
      <c r="H468" s="256"/>
      <c r="I468" s="135"/>
      <c r="J468" s="135"/>
      <c r="K468" s="135"/>
      <c r="L468" s="135"/>
      <c r="M468" s="135"/>
      <c r="N468" s="135"/>
      <c r="O468" s="135"/>
      <c r="P468" s="135"/>
      <c r="Q468" s="135"/>
      <c r="R468" s="135"/>
      <c r="S468" s="135"/>
      <c r="T468" s="135"/>
      <c r="U468" s="189"/>
      <c r="V468" s="135"/>
      <c r="W468" s="135"/>
      <c r="X468" s="135"/>
      <c r="Y468" s="135"/>
      <c r="Z468" s="135"/>
      <c r="AA468" s="135"/>
    </row>
    <row r="469" customFormat="false" ht="15.75" hidden="false" customHeight="true" outlineLevel="0" collapsed="false">
      <c r="A469" s="135"/>
      <c r="B469" s="135"/>
      <c r="C469" s="135"/>
      <c r="D469" s="135"/>
      <c r="E469" s="189"/>
      <c r="F469" s="135"/>
      <c r="G469" s="256"/>
      <c r="H469" s="256"/>
      <c r="I469" s="135"/>
      <c r="J469" s="135"/>
      <c r="K469" s="135"/>
      <c r="L469" s="135"/>
      <c r="M469" s="135"/>
      <c r="N469" s="135"/>
      <c r="O469" s="135"/>
      <c r="P469" s="135"/>
      <c r="Q469" s="135"/>
      <c r="R469" s="135"/>
      <c r="S469" s="135"/>
      <c r="T469" s="135"/>
      <c r="U469" s="189"/>
      <c r="V469" s="135"/>
      <c r="W469" s="135"/>
      <c r="X469" s="135"/>
      <c r="Y469" s="135"/>
      <c r="Z469" s="135"/>
      <c r="AA469" s="135"/>
    </row>
    <row r="470" customFormat="false" ht="15.75" hidden="false" customHeight="true" outlineLevel="0" collapsed="false">
      <c r="A470" s="135"/>
      <c r="B470" s="135"/>
      <c r="C470" s="135"/>
      <c r="D470" s="135"/>
      <c r="E470" s="189"/>
      <c r="F470" s="135"/>
      <c r="G470" s="256"/>
      <c r="H470" s="256"/>
      <c r="I470" s="135"/>
      <c r="J470" s="135"/>
      <c r="K470" s="135"/>
      <c r="L470" s="135"/>
      <c r="M470" s="135"/>
      <c r="N470" s="135"/>
      <c r="O470" s="135"/>
      <c r="P470" s="135"/>
      <c r="Q470" s="135"/>
      <c r="R470" s="135"/>
      <c r="S470" s="135"/>
      <c r="T470" s="135"/>
      <c r="U470" s="189"/>
      <c r="V470" s="135"/>
      <c r="W470" s="135"/>
      <c r="X470" s="135"/>
      <c r="Y470" s="135"/>
      <c r="Z470" s="135"/>
      <c r="AA470" s="135"/>
    </row>
    <row r="471" customFormat="false" ht="15.75" hidden="false" customHeight="true" outlineLevel="0" collapsed="false">
      <c r="A471" s="135"/>
      <c r="B471" s="135"/>
      <c r="C471" s="135"/>
      <c r="D471" s="135"/>
      <c r="E471" s="189"/>
      <c r="F471" s="135"/>
      <c r="G471" s="256"/>
      <c r="H471" s="256"/>
      <c r="I471" s="135"/>
      <c r="J471" s="135"/>
      <c r="K471" s="135"/>
      <c r="L471" s="135"/>
      <c r="M471" s="135"/>
      <c r="N471" s="135"/>
      <c r="O471" s="135"/>
      <c r="P471" s="135"/>
      <c r="Q471" s="135"/>
      <c r="R471" s="135"/>
      <c r="S471" s="135"/>
      <c r="T471" s="135"/>
      <c r="U471" s="189"/>
      <c r="V471" s="135"/>
      <c r="W471" s="135"/>
      <c r="X471" s="135"/>
      <c r="Y471" s="135"/>
      <c r="Z471" s="135"/>
      <c r="AA471" s="135"/>
    </row>
    <row r="472" customFormat="false" ht="15.75" hidden="false" customHeight="true" outlineLevel="0" collapsed="false">
      <c r="A472" s="135"/>
      <c r="B472" s="135"/>
      <c r="C472" s="135"/>
      <c r="D472" s="135"/>
      <c r="E472" s="189"/>
      <c r="F472" s="135"/>
      <c r="G472" s="256"/>
      <c r="H472" s="256"/>
      <c r="I472" s="135"/>
      <c r="J472" s="135"/>
      <c r="K472" s="135"/>
      <c r="L472" s="135"/>
      <c r="M472" s="135"/>
      <c r="N472" s="135"/>
      <c r="O472" s="135"/>
      <c r="P472" s="135"/>
      <c r="Q472" s="135"/>
      <c r="R472" s="135"/>
      <c r="S472" s="135"/>
      <c r="T472" s="135"/>
      <c r="U472" s="189"/>
      <c r="V472" s="135"/>
      <c r="W472" s="135"/>
      <c r="X472" s="135"/>
      <c r="Y472" s="135"/>
      <c r="Z472" s="135"/>
      <c r="AA472" s="135"/>
    </row>
    <row r="473" customFormat="false" ht="15.75" hidden="false" customHeight="true" outlineLevel="0" collapsed="false">
      <c r="A473" s="135"/>
      <c r="B473" s="135"/>
      <c r="C473" s="135"/>
      <c r="D473" s="135"/>
      <c r="E473" s="189"/>
      <c r="F473" s="135"/>
      <c r="G473" s="256"/>
      <c r="H473" s="256"/>
      <c r="I473" s="135"/>
      <c r="J473" s="135"/>
      <c r="K473" s="135"/>
      <c r="L473" s="135"/>
      <c r="M473" s="135"/>
      <c r="N473" s="135"/>
      <c r="O473" s="135"/>
      <c r="P473" s="135"/>
      <c r="Q473" s="135"/>
      <c r="R473" s="135"/>
      <c r="S473" s="135"/>
      <c r="T473" s="135"/>
      <c r="U473" s="189"/>
      <c r="V473" s="135"/>
      <c r="W473" s="135"/>
      <c r="X473" s="135"/>
      <c r="Y473" s="135"/>
      <c r="Z473" s="135"/>
      <c r="AA473" s="135"/>
    </row>
    <row r="474" customFormat="false" ht="15.75" hidden="false" customHeight="true" outlineLevel="0" collapsed="false">
      <c r="A474" s="135"/>
      <c r="B474" s="135"/>
      <c r="C474" s="135"/>
      <c r="D474" s="135"/>
      <c r="E474" s="189"/>
      <c r="F474" s="135"/>
      <c r="G474" s="256"/>
      <c r="H474" s="256"/>
      <c r="I474" s="135"/>
      <c r="J474" s="135"/>
      <c r="K474" s="135"/>
      <c r="L474" s="135"/>
      <c r="M474" s="135"/>
      <c r="N474" s="135"/>
      <c r="O474" s="135"/>
      <c r="P474" s="135"/>
      <c r="Q474" s="135"/>
      <c r="R474" s="135"/>
      <c r="S474" s="135"/>
      <c r="T474" s="135"/>
      <c r="U474" s="189"/>
      <c r="V474" s="135"/>
      <c r="W474" s="135"/>
      <c r="X474" s="135"/>
      <c r="Y474" s="135"/>
      <c r="Z474" s="135"/>
      <c r="AA474" s="135"/>
    </row>
    <row r="475" customFormat="false" ht="15.75" hidden="false" customHeight="true" outlineLevel="0" collapsed="false">
      <c r="A475" s="135"/>
      <c r="B475" s="135"/>
      <c r="C475" s="135"/>
      <c r="D475" s="135"/>
      <c r="E475" s="189"/>
      <c r="F475" s="135"/>
      <c r="G475" s="256"/>
      <c r="H475" s="256"/>
      <c r="I475" s="135"/>
      <c r="J475" s="135"/>
      <c r="K475" s="135"/>
      <c r="L475" s="135"/>
      <c r="M475" s="135"/>
      <c r="N475" s="135"/>
      <c r="O475" s="135"/>
      <c r="P475" s="135"/>
      <c r="Q475" s="135"/>
      <c r="R475" s="135"/>
      <c r="S475" s="135"/>
      <c r="T475" s="135"/>
      <c r="U475" s="189"/>
      <c r="V475" s="135"/>
      <c r="W475" s="135"/>
      <c r="X475" s="135"/>
      <c r="Y475" s="135"/>
      <c r="Z475" s="135"/>
      <c r="AA475" s="135"/>
    </row>
    <row r="476" customFormat="false" ht="15.75" hidden="false" customHeight="true" outlineLevel="0" collapsed="false">
      <c r="A476" s="135"/>
      <c r="B476" s="135"/>
      <c r="C476" s="135"/>
      <c r="D476" s="135"/>
      <c r="E476" s="189"/>
      <c r="F476" s="135"/>
      <c r="G476" s="256"/>
      <c r="H476" s="256"/>
      <c r="I476" s="135"/>
      <c r="J476" s="135"/>
      <c r="K476" s="135"/>
      <c r="L476" s="135"/>
      <c r="M476" s="135"/>
      <c r="N476" s="135"/>
      <c r="O476" s="135"/>
      <c r="P476" s="135"/>
      <c r="Q476" s="135"/>
      <c r="R476" s="135"/>
      <c r="S476" s="135"/>
      <c r="T476" s="135"/>
      <c r="U476" s="189"/>
      <c r="V476" s="135"/>
      <c r="W476" s="135"/>
      <c r="X476" s="135"/>
      <c r="Y476" s="135"/>
      <c r="Z476" s="135"/>
      <c r="AA476" s="135"/>
    </row>
    <row r="477" customFormat="false" ht="15.75" hidden="false" customHeight="true" outlineLevel="0" collapsed="false">
      <c r="A477" s="135"/>
      <c r="B477" s="135"/>
      <c r="C477" s="135"/>
      <c r="D477" s="135"/>
      <c r="E477" s="189"/>
      <c r="F477" s="135"/>
      <c r="G477" s="256"/>
      <c r="H477" s="256"/>
      <c r="I477" s="135"/>
      <c r="J477" s="135"/>
      <c r="K477" s="135"/>
      <c r="L477" s="135"/>
      <c r="M477" s="135"/>
      <c r="N477" s="135"/>
      <c r="O477" s="135"/>
      <c r="P477" s="135"/>
      <c r="Q477" s="135"/>
      <c r="R477" s="135"/>
      <c r="S477" s="135"/>
      <c r="T477" s="135"/>
      <c r="U477" s="189"/>
      <c r="V477" s="135"/>
      <c r="W477" s="135"/>
      <c r="X477" s="135"/>
      <c r="Y477" s="135"/>
      <c r="Z477" s="135"/>
      <c r="AA477" s="135"/>
    </row>
    <row r="478" customFormat="false" ht="15.75" hidden="false" customHeight="true" outlineLevel="0" collapsed="false">
      <c r="A478" s="135"/>
      <c r="B478" s="135"/>
      <c r="C478" s="135"/>
      <c r="D478" s="135"/>
      <c r="E478" s="189"/>
      <c r="F478" s="135"/>
      <c r="G478" s="256"/>
      <c r="H478" s="256"/>
      <c r="I478" s="135"/>
      <c r="J478" s="135"/>
      <c r="K478" s="135"/>
      <c r="L478" s="135"/>
      <c r="M478" s="135"/>
      <c r="N478" s="135"/>
      <c r="O478" s="135"/>
      <c r="P478" s="135"/>
      <c r="Q478" s="135"/>
      <c r="R478" s="135"/>
      <c r="S478" s="135"/>
      <c r="T478" s="135"/>
      <c r="U478" s="189"/>
      <c r="V478" s="135"/>
      <c r="W478" s="135"/>
      <c r="X478" s="135"/>
      <c r="Y478" s="135"/>
      <c r="Z478" s="135"/>
      <c r="AA478" s="135"/>
    </row>
    <row r="479" customFormat="false" ht="15.75" hidden="false" customHeight="true" outlineLevel="0" collapsed="false">
      <c r="A479" s="135"/>
      <c r="B479" s="135"/>
      <c r="C479" s="135"/>
      <c r="D479" s="135"/>
      <c r="E479" s="189"/>
      <c r="F479" s="135"/>
      <c r="G479" s="256"/>
      <c r="H479" s="256"/>
      <c r="I479" s="135"/>
      <c r="J479" s="135"/>
      <c r="K479" s="135"/>
      <c r="L479" s="135"/>
      <c r="M479" s="135"/>
      <c r="N479" s="135"/>
      <c r="O479" s="135"/>
      <c r="P479" s="135"/>
      <c r="Q479" s="135"/>
      <c r="R479" s="135"/>
      <c r="S479" s="135"/>
      <c r="T479" s="135"/>
      <c r="U479" s="189"/>
      <c r="V479" s="135"/>
      <c r="W479" s="135"/>
      <c r="X479" s="135"/>
      <c r="Y479" s="135"/>
      <c r="Z479" s="135"/>
      <c r="AA479" s="135"/>
    </row>
    <row r="480" customFormat="false" ht="15.75" hidden="false" customHeight="true" outlineLevel="0" collapsed="false">
      <c r="A480" s="135"/>
      <c r="B480" s="135"/>
      <c r="C480" s="135"/>
      <c r="D480" s="135"/>
      <c r="E480" s="189"/>
      <c r="F480" s="135"/>
      <c r="G480" s="256"/>
      <c r="H480" s="256"/>
      <c r="I480" s="135"/>
      <c r="J480" s="135"/>
      <c r="K480" s="135"/>
      <c r="L480" s="135"/>
      <c r="M480" s="135"/>
      <c r="N480" s="135"/>
      <c r="O480" s="135"/>
      <c r="P480" s="135"/>
      <c r="Q480" s="135"/>
      <c r="R480" s="135"/>
      <c r="S480" s="135"/>
      <c r="T480" s="135"/>
      <c r="U480" s="189"/>
      <c r="V480" s="135"/>
      <c r="W480" s="135"/>
      <c r="X480" s="135"/>
      <c r="Y480" s="135"/>
      <c r="Z480" s="135"/>
      <c r="AA480" s="135"/>
    </row>
    <row r="481" customFormat="false" ht="15.75" hidden="false" customHeight="true" outlineLevel="0" collapsed="false">
      <c r="A481" s="135"/>
      <c r="B481" s="135"/>
      <c r="C481" s="135"/>
      <c r="D481" s="135"/>
      <c r="E481" s="189"/>
      <c r="F481" s="135"/>
      <c r="G481" s="256"/>
      <c r="H481" s="256"/>
      <c r="I481" s="135"/>
      <c r="J481" s="135"/>
      <c r="K481" s="135"/>
      <c r="L481" s="135"/>
      <c r="M481" s="135"/>
      <c r="N481" s="135"/>
      <c r="O481" s="135"/>
      <c r="P481" s="135"/>
      <c r="Q481" s="135"/>
      <c r="R481" s="135"/>
      <c r="S481" s="135"/>
      <c r="T481" s="135"/>
      <c r="U481" s="189"/>
      <c r="V481" s="135"/>
      <c r="W481" s="135"/>
      <c r="X481" s="135"/>
      <c r="Y481" s="135"/>
      <c r="Z481" s="135"/>
      <c r="AA481" s="135"/>
    </row>
    <row r="482" customFormat="false" ht="15.75" hidden="false" customHeight="true" outlineLevel="0" collapsed="false">
      <c r="A482" s="135"/>
      <c r="B482" s="135"/>
      <c r="C482" s="135"/>
      <c r="D482" s="135"/>
      <c r="E482" s="189"/>
      <c r="F482" s="135"/>
      <c r="G482" s="256"/>
      <c r="H482" s="256"/>
      <c r="I482" s="135"/>
      <c r="J482" s="135"/>
      <c r="K482" s="135"/>
      <c r="L482" s="135"/>
      <c r="M482" s="135"/>
      <c r="N482" s="135"/>
      <c r="O482" s="135"/>
      <c r="P482" s="135"/>
      <c r="Q482" s="135"/>
      <c r="R482" s="135"/>
      <c r="S482" s="135"/>
      <c r="T482" s="135"/>
      <c r="U482" s="189"/>
      <c r="V482" s="135"/>
      <c r="W482" s="135"/>
      <c r="X482" s="135"/>
      <c r="Y482" s="135"/>
      <c r="Z482" s="135"/>
      <c r="AA482" s="135"/>
    </row>
    <row r="483" customFormat="false" ht="15.75" hidden="false" customHeight="true" outlineLevel="0" collapsed="false">
      <c r="A483" s="135"/>
      <c r="B483" s="135"/>
      <c r="C483" s="135"/>
      <c r="D483" s="135"/>
      <c r="E483" s="189"/>
      <c r="F483" s="135"/>
      <c r="G483" s="256"/>
      <c r="H483" s="256"/>
      <c r="I483" s="135"/>
      <c r="J483" s="135"/>
      <c r="K483" s="135"/>
      <c r="L483" s="135"/>
      <c r="M483" s="135"/>
      <c r="N483" s="135"/>
      <c r="O483" s="135"/>
      <c r="P483" s="135"/>
      <c r="Q483" s="135"/>
      <c r="R483" s="135"/>
      <c r="S483" s="135"/>
      <c r="T483" s="135"/>
      <c r="U483" s="189"/>
      <c r="V483" s="135"/>
      <c r="W483" s="135"/>
      <c r="X483" s="135"/>
      <c r="Y483" s="135"/>
      <c r="Z483" s="135"/>
      <c r="AA483" s="135"/>
    </row>
    <row r="484" customFormat="false" ht="15.75" hidden="false" customHeight="true" outlineLevel="0" collapsed="false">
      <c r="A484" s="135"/>
      <c r="B484" s="135"/>
      <c r="C484" s="135"/>
      <c r="D484" s="135"/>
      <c r="E484" s="189"/>
      <c r="F484" s="135"/>
      <c r="G484" s="256"/>
      <c r="H484" s="256"/>
      <c r="I484" s="135"/>
      <c r="J484" s="135"/>
      <c r="K484" s="135"/>
      <c r="L484" s="135"/>
      <c r="M484" s="135"/>
      <c r="N484" s="135"/>
      <c r="O484" s="135"/>
      <c r="P484" s="135"/>
      <c r="Q484" s="135"/>
      <c r="R484" s="135"/>
      <c r="S484" s="135"/>
      <c r="T484" s="135"/>
      <c r="U484" s="189"/>
      <c r="V484" s="135"/>
      <c r="W484" s="135"/>
      <c r="X484" s="135"/>
      <c r="Y484" s="135"/>
      <c r="Z484" s="135"/>
      <c r="AA484" s="135"/>
    </row>
    <row r="485" customFormat="false" ht="15.75" hidden="false" customHeight="true" outlineLevel="0" collapsed="false">
      <c r="A485" s="135"/>
      <c r="B485" s="135"/>
      <c r="C485" s="135"/>
      <c r="D485" s="135"/>
      <c r="E485" s="189"/>
      <c r="F485" s="135"/>
      <c r="G485" s="256"/>
      <c r="H485" s="256"/>
      <c r="I485" s="135"/>
      <c r="J485" s="135"/>
      <c r="K485" s="135"/>
      <c r="L485" s="135"/>
      <c r="M485" s="135"/>
      <c r="N485" s="135"/>
      <c r="O485" s="135"/>
      <c r="P485" s="135"/>
      <c r="Q485" s="135"/>
      <c r="R485" s="135"/>
      <c r="S485" s="135"/>
      <c r="T485" s="135"/>
      <c r="U485" s="189"/>
      <c r="V485" s="135"/>
      <c r="W485" s="135"/>
      <c r="X485" s="135"/>
      <c r="Y485" s="135"/>
      <c r="Z485" s="135"/>
      <c r="AA485" s="135"/>
    </row>
    <row r="486" customFormat="false" ht="15.75" hidden="false" customHeight="true" outlineLevel="0" collapsed="false">
      <c r="A486" s="135"/>
      <c r="B486" s="135"/>
      <c r="C486" s="135"/>
      <c r="D486" s="135"/>
      <c r="E486" s="189"/>
      <c r="F486" s="135"/>
      <c r="G486" s="256"/>
      <c r="H486" s="256"/>
      <c r="I486" s="135"/>
      <c r="J486" s="135"/>
      <c r="K486" s="135"/>
      <c r="L486" s="135"/>
      <c r="M486" s="135"/>
      <c r="N486" s="135"/>
      <c r="O486" s="135"/>
      <c r="P486" s="135"/>
      <c r="Q486" s="135"/>
      <c r="R486" s="135"/>
      <c r="S486" s="135"/>
      <c r="T486" s="135"/>
      <c r="U486" s="189"/>
      <c r="V486" s="135"/>
      <c r="W486" s="135"/>
      <c r="X486" s="135"/>
      <c r="Y486" s="135"/>
      <c r="Z486" s="135"/>
      <c r="AA486" s="135"/>
    </row>
    <row r="487" customFormat="false" ht="15.75" hidden="false" customHeight="true" outlineLevel="0" collapsed="false">
      <c r="A487" s="135"/>
      <c r="B487" s="135"/>
      <c r="C487" s="135"/>
      <c r="D487" s="135"/>
      <c r="E487" s="189"/>
      <c r="F487" s="135"/>
      <c r="G487" s="256"/>
      <c r="H487" s="256"/>
      <c r="I487" s="135"/>
      <c r="J487" s="135"/>
      <c r="K487" s="135"/>
      <c r="L487" s="135"/>
      <c r="M487" s="135"/>
      <c r="N487" s="135"/>
      <c r="O487" s="135"/>
      <c r="P487" s="135"/>
      <c r="Q487" s="135"/>
      <c r="R487" s="135"/>
      <c r="S487" s="135"/>
      <c r="T487" s="135"/>
      <c r="U487" s="189"/>
      <c r="V487" s="135"/>
      <c r="W487" s="135"/>
      <c r="X487" s="135"/>
      <c r="Y487" s="135"/>
      <c r="Z487" s="135"/>
      <c r="AA487" s="135"/>
    </row>
    <row r="488" customFormat="false" ht="15.75" hidden="false" customHeight="true" outlineLevel="0" collapsed="false">
      <c r="A488" s="135"/>
      <c r="B488" s="135"/>
      <c r="C488" s="135"/>
      <c r="D488" s="135"/>
      <c r="E488" s="189"/>
      <c r="F488" s="135"/>
      <c r="G488" s="256"/>
      <c r="H488" s="256"/>
      <c r="I488" s="135"/>
      <c r="J488" s="135"/>
      <c r="K488" s="135"/>
      <c r="L488" s="135"/>
      <c r="M488" s="135"/>
      <c r="N488" s="135"/>
      <c r="O488" s="135"/>
      <c r="P488" s="135"/>
      <c r="Q488" s="135"/>
      <c r="R488" s="135"/>
      <c r="S488" s="135"/>
      <c r="T488" s="135"/>
      <c r="U488" s="189"/>
      <c r="V488" s="135"/>
      <c r="W488" s="135"/>
      <c r="X488" s="135"/>
      <c r="Y488" s="135"/>
      <c r="Z488" s="135"/>
      <c r="AA488" s="135"/>
    </row>
    <row r="489" customFormat="false" ht="15.75" hidden="false" customHeight="true" outlineLevel="0" collapsed="false">
      <c r="A489" s="135"/>
      <c r="B489" s="135"/>
      <c r="C489" s="135"/>
      <c r="D489" s="135"/>
      <c r="E489" s="189"/>
      <c r="F489" s="135"/>
      <c r="G489" s="256"/>
      <c r="H489" s="256"/>
      <c r="I489" s="135"/>
      <c r="J489" s="135"/>
      <c r="K489" s="135"/>
      <c r="L489" s="135"/>
      <c r="M489" s="135"/>
      <c r="N489" s="135"/>
      <c r="O489" s="135"/>
      <c r="P489" s="135"/>
      <c r="Q489" s="135"/>
      <c r="R489" s="135"/>
      <c r="S489" s="135"/>
      <c r="T489" s="135"/>
      <c r="U489" s="189"/>
      <c r="V489" s="135"/>
      <c r="W489" s="135"/>
      <c r="X489" s="135"/>
      <c r="Y489" s="135"/>
      <c r="Z489" s="135"/>
      <c r="AA489" s="135"/>
    </row>
    <row r="490" customFormat="false" ht="15.75" hidden="false" customHeight="true" outlineLevel="0" collapsed="false">
      <c r="A490" s="135"/>
      <c r="B490" s="135"/>
      <c r="C490" s="135"/>
      <c r="D490" s="135"/>
      <c r="E490" s="189"/>
      <c r="F490" s="135"/>
      <c r="G490" s="256"/>
      <c r="H490" s="256"/>
      <c r="I490" s="135"/>
      <c r="J490" s="135"/>
      <c r="K490" s="135"/>
      <c r="L490" s="135"/>
      <c r="M490" s="135"/>
      <c r="N490" s="135"/>
      <c r="O490" s="135"/>
      <c r="P490" s="135"/>
      <c r="Q490" s="135"/>
      <c r="R490" s="135"/>
      <c r="S490" s="135"/>
      <c r="T490" s="135"/>
      <c r="U490" s="189"/>
      <c r="V490" s="135"/>
      <c r="W490" s="135"/>
      <c r="X490" s="135"/>
      <c r="Y490" s="135"/>
      <c r="Z490" s="135"/>
      <c r="AA490" s="135"/>
    </row>
    <row r="491" customFormat="false" ht="15.75" hidden="false" customHeight="true" outlineLevel="0" collapsed="false">
      <c r="A491" s="135"/>
      <c r="B491" s="135"/>
      <c r="C491" s="135"/>
      <c r="D491" s="135"/>
      <c r="E491" s="189"/>
      <c r="F491" s="135"/>
      <c r="G491" s="256"/>
      <c r="H491" s="256"/>
      <c r="I491" s="135"/>
      <c r="J491" s="135"/>
      <c r="K491" s="135"/>
      <c r="L491" s="135"/>
      <c r="M491" s="135"/>
      <c r="N491" s="135"/>
      <c r="O491" s="135"/>
      <c r="P491" s="135"/>
      <c r="Q491" s="135"/>
      <c r="R491" s="135"/>
      <c r="S491" s="135"/>
      <c r="T491" s="135"/>
      <c r="U491" s="189"/>
      <c r="V491" s="135"/>
      <c r="W491" s="135"/>
      <c r="X491" s="135"/>
      <c r="Y491" s="135"/>
      <c r="Z491" s="135"/>
      <c r="AA491" s="135"/>
    </row>
    <row r="492" customFormat="false" ht="15.75" hidden="false" customHeight="true" outlineLevel="0" collapsed="false">
      <c r="A492" s="135"/>
      <c r="B492" s="135"/>
      <c r="C492" s="135"/>
      <c r="D492" s="135"/>
      <c r="E492" s="189"/>
      <c r="F492" s="135"/>
      <c r="G492" s="256"/>
      <c r="H492" s="256"/>
      <c r="I492" s="135"/>
      <c r="J492" s="135"/>
      <c r="K492" s="135"/>
      <c r="L492" s="135"/>
      <c r="M492" s="135"/>
      <c r="N492" s="135"/>
      <c r="O492" s="135"/>
      <c r="P492" s="135"/>
      <c r="Q492" s="135"/>
      <c r="R492" s="135"/>
      <c r="S492" s="135"/>
      <c r="T492" s="135"/>
      <c r="U492" s="189"/>
      <c r="V492" s="135"/>
      <c r="W492" s="135"/>
      <c r="X492" s="135"/>
      <c r="Y492" s="135"/>
      <c r="Z492" s="135"/>
      <c r="AA492" s="135"/>
    </row>
    <row r="493" customFormat="false" ht="15.75" hidden="false" customHeight="true" outlineLevel="0" collapsed="false">
      <c r="A493" s="135"/>
      <c r="B493" s="135"/>
      <c r="C493" s="135"/>
      <c r="D493" s="135"/>
      <c r="E493" s="189"/>
      <c r="F493" s="135"/>
      <c r="G493" s="256"/>
      <c r="H493" s="256"/>
      <c r="I493" s="135"/>
      <c r="J493" s="135"/>
      <c r="K493" s="135"/>
      <c r="L493" s="135"/>
      <c r="M493" s="135"/>
      <c r="N493" s="135"/>
      <c r="O493" s="135"/>
      <c r="P493" s="135"/>
      <c r="Q493" s="135"/>
      <c r="R493" s="135"/>
      <c r="S493" s="135"/>
      <c r="T493" s="135"/>
      <c r="U493" s="189"/>
      <c r="V493" s="135"/>
      <c r="W493" s="135"/>
      <c r="X493" s="135"/>
      <c r="Y493" s="135"/>
      <c r="Z493" s="135"/>
      <c r="AA493" s="135"/>
    </row>
    <row r="494" customFormat="false" ht="15.75" hidden="false" customHeight="true" outlineLevel="0" collapsed="false">
      <c r="A494" s="135"/>
      <c r="B494" s="135"/>
      <c r="C494" s="135"/>
      <c r="D494" s="135"/>
      <c r="E494" s="189"/>
      <c r="F494" s="135"/>
      <c r="G494" s="256"/>
      <c r="H494" s="256"/>
      <c r="I494" s="135"/>
      <c r="J494" s="135"/>
      <c r="K494" s="135"/>
      <c r="L494" s="135"/>
      <c r="M494" s="135"/>
      <c r="N494" s="135"/>
      <c r="O494" s="135"/>
      <c r="P494" s="135"/>
      <c r="Q494" s="135"/>
      <c r="R494" s="135"/>
      <c r="S494" s="135"/>
      <c r="T494" s="135"/>
      <c r="U494" s="189"/>
      <c r="V494" s="135"/>
      <c r="W494" s="135"/>
      <c r="X494" s="135"/>
      <c r="Y494" s="135"/>
      <c r="Z494" s="135"/>
      <c r="AA494" s="135"/>
    </row>
    <row r="495" customFormat="false" ht="15.75" hidden="false" customHeight="true" outlineLevel="0" collapsed="false">
      <c r="A495" s="135"/>
      <c r="B495" s="135"/>
      <c r="C495" s="135"/>
      <c r="D495" s="135"/>
      <c r="E495" s="189"/>
      <c r="F495" s="135"/>
      <c r="G495" s="256"/>
      <c r="H495" s="256"/>
      <c r="I495" s="135"/>
      <c r="J495" s="135"/>
      <c r="K495" s="135"/>
      <c r="L495" s="135"/>
      <c r="M495" s="135"/>
      <c r="N495" s="135"/>
      <c r="O495" s="135"/>
      <c r="P495" s="135"/>
      <c r="Q495" s="135"/>
      <c r="R495" s="135"/>
      <c r="S495" s="135"/>
      <c r="T495" s="135"/>
      <c r="U495" s="189"/>
      <c r="V495" s="135"/>
      <c r="W495" s="135"/>
      <c r="X495" s="135"/>
      <c r="Y495" s="135"/>
      <c r="Z495" s="135"/>
      <c r="AA495" s="135"/>
    </row>
    <row r="496" customFormat="false" ht="15.75" hidden="false" customHeight="true" outlineLevel="0" collapsed="false">
      <c r="A496" s="135"/>
      <c r="B496" s="135"/>
      <c r="C496" s="135"/>
      <c r="D496" s="135"/>
      <c r="E496" s="189"/>
      <c r="F496" s="135"/>
      <c r="G496" s="256"/>
      <c r="H496" s="256"/>
      <c r="I496" s="135"/>
      <c r="J496" s="135"/>
      <c r="K496" s="135"/>
      <c r="L496" s="135"/>
      <c r="M496" s="135"/>
      <c r="N496" s="135"/>
      <c r="O496" s="135"/>
      <c r="P496" s="135"/>
      <c r="Q496" s="135"/>
      <c r="R496" s="135"/>
      <c r="S496" s="135"/>
      <c r="T496" s="135"/>
      <c r="U496" s="189"/>
      <c r="V496" s="135"/>
      <c r="W496" s="135"/>
      <c r="X496" s="135"/>
      <c r="Y496" s="135"/>
      <c r="Z496" s="135"/>
      <c r="AA496" s="135"/>
    </row>
    <row r="497" customFormat="false" ht="15.75" hidden="false" customHeight="true" outlineLevel="0" collapsed="false">
      <c r="A497" s="135"/>
      <c r="B497" s="135"/>
      <c r="C497" s="135"/>
      <c r="D497" s="135"/>
      <c r="E497" s="189"/>
      <c r="F497" s="135"/>
      <c r="G497" s="256"/>
      <c r="H497" s="256"/>
      <c r="I497" s="135"/>
      <c r="J497" s="135"/>
      <c r="K497" s="135"/>
      <c r="L497" s="135"/>
      <c r="M497" s="135"/>
      <c r="N497" s="135"/>
      <c r="O497" s="135"/>
      <c r="P497" s="135"/>
      <c r="Q497" s="135"/>
      <c r="R497" s="135"/>
      <c r="S497" s="135"/>
      <c r="T497" s="135"/>
      <c r="U497" s="189"/>
      <c r="V497" s="135"/>
      <c r="W497" s="135"/>
      <c r="X497" s="135"/>
      <c r="Y497" s="135"/>
      <c r="Z497" s="135"/>
      <c r="AA497" s="135"/>
    </row>
    <row r="498" customFormat="false" ht="15.75" hidden="false" customHeight="true" outlineLevel="0" collapsed="false">
      <c r="A498" s="135"/>
      <c r="B498" s="135"/>
      <c r="C498" s="135"/>
      <c r="D498" s="135"/>
      <c r="E498" s="189"/>
      <c r="F498" s="135"/>
      <c r="G498" s="256"/>
      <c r="H498" s="256"/>
      <c r="I498" s="135"/>
      <c r="J498" s="135"/>
      <c r="K498" s="135"/>
      <c r="L498" s="135"/>
      <c r="M498" s="135"/>
      <c r="N498" s="135"/>
      <c r="O498" s="135"/>
      <c r="P498" s="135"/>
      <c r="Q498" s="135"/>
      <c r="R498" s="135"/>
      <c r="S498" s="135"/>
      <c r="T498" s="135"/>
      <c r="U498" s="189"/>
      <c r="V498" s="135"/>
      <c r="W498" s="135"/>
      <c r="X498" s="135"/>
      <c r="Y498" s="135"/>
      <c r="Z498" s="135"/>
      <c r="AA498" s="135"/>
    </row>
    <row r="499" customFormat="false" ht="15.75" hidden="false" customHeight="true" outlineLevel="0" collapsed="false">
      <c r="A499" s="135"/>
      <c r="B499" s="135"/>
      <c r="C499" s="135"/>
      <c r="D499" s="135"/>
      <c r="E499" s="189"/>
      <c r="F499" s="135"/>
      <c r="G499" s="256"/>
      <c r="H499" s="256"/>
      <c r="I499" s="135"/>
      <c r="J499" s="135"/>
      <c r="K499" s="135"/>
      <c r="L499" s="135"/>
      <c r="M499" s="135"/>
      <c r="N499" s="135"/>
      <c r="O499" s="135"/>
      <c r="P499" s="135"/>
      <c r="Q499" s="135"/>
      <c r="R499" s="135"/>
      <c r="S499" s="135"/>
      <c r="T499" s="135"/>
      <c r="U499" s="189"/>
      <c r="V499" s="135"/>
      <c r="W499" s="135"/>
      <c r="X499" s="135"/>
      <c r="Y499" s="135"/>
      <c r="Z499" s="135"/>
      <c r="AA499" s="135"/>
    </row>
    <row r="500" customFormat="false" ht="15.75" hidden="false" customHeight="true" outlineLevel="0" collapsed="false">
      <c r="A500" s="135"/>
      <c r="B500" s="135"/>
      <c r="C500" s="135"/>
      <c r="D500" s="135"/>
      <c r="E500" s="189"/>
      <c r="F500" s="135"/>
      <c r="G500" s="256"/>
      <c r="H500" s="256"/>
      <c r="I500" s="135"/>
      <c r="J500" s="135"/>
      <c r="K500" s="135"/>
      <c r="L500" s="135"/>
      <c r="M500" s="135"/>
      <c r="N500" s="135"/>
      <c r="O500" s="135"/>
      <c r="P500" s="135"/>
      <c r="Q500" s="135"/>
      <c r="R500" s="135"/>
      <c r="S500" s="135"/>
      <c r="T500" s="135"/>
      <c r="U500" s="189"/>
      <c r="V500" s="135"/>
      <c r="W500" s="135"/>
      <c r="X500" s="135"/>
      <c r="Y500" s="135"/>
      <c r="Z500" s="135"/>
      <c r="AA500" s="135"/>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X6"/>
  <conditionalFormatting sqref="O4:O1000">
    <cfRule type="expression" priority="2" aboveAverage="0" equalAverage="0" bottom="0" percent="0" rank="0" text="" dxfId="18">
      <formula>ISNUMBER(SEARCH("achieved",O4))*NOT(ISNUMBER(SEARCH("partially",O4)))*NOT(ISNUMBER(SEARCH("not_achieved",O4)))</formula>
    </cfRule>
    <cfRule type="expression" priority="3" aboveAverage="0" equalAverage="0" bottom="0" percent="0" rank="0" text="" dxfId="14">
      <formula>ISNUMBER(SEARCH("not_achieved",O4))</formula>
    </cfRule>
    <cfRule type="expression" priority="4" aboveAverage="0" equalAverage="0" bottom="0" percent="0" rank="0" text="" dxfId="15">
      <formula>ISNUMBER(SEARCH("partially",O4))</formula>
    </cfRule>
  </conditionalFormatting>
  <conditionalFormatting sqref="T4:T1000">
    <cfRule type="expression" priority="5" aboveAverage="0" equalAverage="0" bottom="0" percent="0" rank="0" text="" dxfId="18">
      <formula>ISNUMBER(SEARCH("confirmed_with_deposit",T4))</formula>
    </cfRule>
    <cfRule type="expression" priority="6" aboveAverage="0" equalAverage="0" bottom="0" percent="0" rank="0" text="" dxfId="14">
      <formula>ISNUMBER(SEARCH("rejected",T4))</formula>
    </cfRule>
  </conditionalFormatting>
  <conditionalFormatting sqref="Y4:Y1000">
    <cfRule type="expression" priority="7" aboveAverage="0" equalAverage="0" bottom="0" percent="0" rank="0" text="" dxfId="14">
      <formula>ISNUMBER(SEARCH("⚠",Y4))</formula>
    </cfRule>
    <cfRule type="expression" priority="8" aboveAverage="0" equalAverage="0" bottom="0" percent="0" rank="0" text="" dxfId="18">
      <formula>ISNUMBER(SEARCH("✓",Y4))</formula>
    </cfRule>
    <cfRule type="expression" priority="9" aboveAverage="0" equalAverage="0" bottom="0" percent="0" rank="0" text="" dxfId="14">
      <formula>OR(ISNUMBER(SEARCH("Quá SLA",Y4)),ISNUMBER(SEARCH("NGAY",Y4)),ISNUMBER(SEARCH("GẤP",Y4)),ISNUMBER(SEARCH("NGUY HIỂM",Y4)),ISNUMBER(SEARCH("XỬ LÝ",Y4)),ISNUMBER(SEARCH("THAM GIA",Y4)),ISNUMBER(SEARCH("LH GẤP",Y4)))</formula>
    </cfRule>
    <cfRule type="expression" priority="10" aboveAverage="0" equalAverage="0" bottom="0" percent="0" rank="0" text="" dxfId="15">
      <formula>OR(ISNUMBER(SEARCH("đến hạn",Y4)),ISNUMBER(SEARCH("còn ",Y4)),ISNUMBER(SEARCH("trong SLA",Y4)),ISNUMBER(SEARCH("chốt",Y4)),ISNUMBER(SEARCH("LH chốt",Y4)),ISNUMBER(SEARCH("Follow-up",Y4)),ISNUMBER(SEARCH("Phân tích",Y4)),ISNUMBER(SEARCH("đến hạn",Y4)),ISNUMBER(SEARCH("Set ",Y4)))</formula>
    </cfRule>
    <cfRule type="expression" priority="11" aboveAverage="0" equalAverage="0" bottom="0" percent="0" rank="0" text="" dxfId="19">
      <formula>OR(ISNUMBER(SEARCH(" ngay",Y4)),ISNUMBER(SEARCH(" gấp",Y4)),ISNUMBER(SEARCH("GỌI",Y4)),ISNUMBER(SEARCH("NGUY",Y4)))</formula>
    </cfRule>
    <cfRule type="expression" priority="12" aboveAverage="0" equalAverage="0" bottom="0" percent="0" rank="0" text="" dxfId="20">
      <formula>ISNUMBER(SEARCH("Không cần làm gì",Y4))</formula>
    </cfRule>
    <cfRule type="expression" priority="13" aboveAverage="0" equalAverage="0" bottom="0" percent="0" rank="0" text="" dxfId="21">
      <formula>LEN(Y4)&gt;0</formula>
    </cfRule>
  </conditionalFormatting>
  <dataValidations count="3">
    <dataValidation allowBlank="true" errorStyle="stop" operator="between" showDropDown="false" showErrorMessage="false" showInputMessage="false" sqref="O4:O500" type="list">
      <formula1>'CH1. Danh mục lựa chọn'!$B$353:$B$355</formula1>
      <formula2>0</formula2>
    </dataValidation>
    <dataValidation allowBlank="true" errorStyle="stop" operator="between" showDropDown="false" showErrorMessage="false" showInputMessage="false" sqref="T4:T500" type="list">
      <formula1>'CH1. Danh mục lựa chọn'!$B$359:$B$363</formula1>
      <formula2>0</formula2>
    </dataValidation>
    <dataValidation allowBlank="true" errorStyle="stop" operator="between" showDropDown="false" showErrorMessage="false" showInputMessage="false" sqref="F4:F500" type="list">
      <formula1>'CH1. Danh mục lựa chọn'!$B$163:$B$166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4A6"/>
    <pageSetUpPr fitToPage="false"/>
  </sheetPr>
  <dimension ref="A1:A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8" activeCellId="0" sqref="B8"/>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32" min="2" style="1" width="11.29"/>
  </cols>
  <sheetData>
    <row r="1" customFormat="false" ht="30" hidden="false" customHeight="true" outlineLevel="0" collapsed="false">
      <c r="A1" s="257" t="s">
        <v>3673</v>
      </c>
      <c r="B1" s="257"/>
      <c r="C1" s="257"/>
      <c r="D1" s="257"/>
      <c r="E1" s="257"/>
      <c r="F1" s="257"/>
      <c r="G1" s="257"/>
      <c r="H1" s="257"/>
      <c r="I1" s="257"/>
      <c r="J1" s="257"/>
      <c r="K1" s="257"/>
      <c r="L1" s="257"/>
      <c r="M1" s="257"/>
      <c r="N1" s="257"/>
      <c r="O1" s="257"/>
      <c r="P1" s="257"/>
      <c r="Q1" s="257"/>
      <c r="R1" s="257"/>
      <c r="S1" s="257"/>
      <c r="T1" s="257"/>
      <c r="U1" s="257"/>
      <c r="V1" s="257"/>
      <c r="W1" s="257"/>
      <c r="X1" s="257"/>
      <c r="Y1" s="257"/>
      <c r="Z1" s="257"/>
      <c r="AA1" s="257"/>
      <c r="AB1" s="257"/>
      <c r="AC1" s="257"/>
      <c r="AD1" s="257"/>
      <c r="AE1" s="257"/>
      <c r="AF1" s="257"/>
    </row>
    <row r="2" customFormat="false" ht="25.5" hidden="false" customHeight="true" outlineLevel="0" collapsed="false">
      <c r="A2" s="258" t="s">
        <v>3674</v>
      </c>
      <c r="B2" s="259" t="n">
        <v>46174</v>
      </c>
      <c r="C2" s="259"/>
      <c r="D2" s="156" t="s">
        <v>3675</v>
      </c>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row>
    <row r="3" customFormat="false" ht="15" hidden="false" customHeight="true" outlineLevel="0" collapsed="false">
      <c r="A3" s="179"/>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row>
    <row r="4" customFormat="false" ht="21.75" hidden="false" customHeight="true" outlineLevel="0" collapsed="false">
      <c r="A4" s="260" t="s">
        <v>3676</v>
      </c>
      <c r="B4" s="260"/>
      <c r="C4" s="260"/>
      <c r="D4" s="260"/>
      <c r="E4" s="260"/>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row>
    <row r="5" customFormat="false" ht="15.75" hidden="false" customHeight="true" outlineLevel="0" collapsed="false">
      <c r="A5" s="261" t="s">
        <v>3677</v>
      </c>
      <c r="B5" s="261" t="n">
        <f aca="false">IF(MONTH(($B$2+0))=MONTH($B$2),1,"")</f>
        <v>1</v>
      </c>
      <c r="C5" s="261" t="n">
        <f aca="false">IF(MONTH(($B$2+1))=MONTH($B$2),2,"")</f>
        <v>2</v>
      </c>
      <c r="D5" s="261" t="n">
        <f aca="false">IF(MONTH(($B$2+2))=MONTH($B$2),3,"")</f>
        <v>3</v>
      </c>
      <c r="E5" s="261" t="n">
        <f aca="false">IF(MONTH(($B$2+3))=MONTH($B$2),4,"")</f>
        <v>4</v>
      </c>
      <c r="F5" s="261" t="n">
        <f aca="false">IF(MONTH(($B$2+4))=MONTH($B$2),5,"")</f>
        <v>5</v>
      </c>
      <c r="G5" s="261" t="n">
        <f aca="false">IF(MONTH(($B$2+5))=MONTH($B$2),6,"")</f>
        <v>6</v>
      </c>
      <c r="H5" s="261" t="n">
        <f aca="false">IF(MONTH(($B$2+6))=MONTH($B$2),7,"")</f>
        <v>7</v>
      </c>
      <c r="I5" s="261" t="n">
        <f aca="false">IF(MONTH(($B$2+7))=MONTH($B$2),8,"")</f>
        <v>8</v>
      </c>
      <c r="J5" s="261" t="n">
        <f aca="false">IF(MONTH(($B$2+8))=MONTH($B$2),9,"")</f>
        <v>9</v>
      </c>
      <c r="K5" s="261" t="n">
        <f aca="false">IF(MONTH(($B$2+9))=MONTH($B$2),10,"")</f>
        <v>10</v>
      </c>
      <c r="L5" s="261" t="n">
        <f aca="false">IF(MONTH(($B$2+10))=MONTH($B$2),11,"")</f>
        <v>11</v>
      </c>
      <c r="M5" s="261" t="n">
        <f aca="false">IF(MONTH(($B$2+11))=MONTH($B$2),12,"")</f>
        <v>12</v>
      </c>
      <c r="N5" s="261" t="n">
        <f aca="false">IF(MONTH(($B$2+12))=MONTH($B$2),13,"")</f>
        <v>13</v>
      </c>
      <c r="O5" s="261" t="n">
        <f aca="false">IF(MONTH(($B$2+13))=MONTH($B$2),14,"")</f>
        <v>14</v>
      </c>
      <c r="P5" s="261" t="n">
        <f aca="false">IF(MONTH(($B$2+14))=MONTH($B$2),15,"")</f>
        <v>15</v>
      </c>
      <c r="Q5" s="261" t="n">
        <f aca="false">IF(MONTH(($B$2+15))=MONTH($B$2),16,"")</f>
        <v>16</v>
      </c>
      <c r="R5" s="261" t="n">
        <f aca="false">IF(MONTH(($B$2+16))=MONTH($B$2),17,"")</f>
        <v>17</v>
      </c>
      <c r="S5" s="261" t="n">
        <f aca="false">IF(MONTH(($B$2+17))=MONTH($B$2),18,"")</f>
        <v>18</v>
      </c>
      <c r="T5" s="261" t="n">
        <f aca="false">IF(MONTH(($B$2+18))=MONTH($B$2),19,"")</f>
        <v>19</v>
      </c>
      <c r="U5" s="261" t="n">
        <f aca="false">IF(MONTH(($B$2+19))=MONTH($B$2),20,"")</f>
        <v>20</v>
      </c>
      <c r="V5" s="261" t="n">
        <f aca="false">IF(MONTH(($B$2+20))=MONTH($B$2),21,"")</f>
        <v>21</v>
      </c>
      <c r="W5" s="261" t="n">
        <f aca="false">IF(MONTH(($B$2+21))=MONTH($B$2),22,"")</f>
        <v>22</v>
      </c>
      <c r="X5" s="261" t="n">
        <f aca="false">IF(MONTH(($B$2+22))=MONTH($B$2),23,"")</f>
        <v>23</v>
      </c>
      <c r="Y5" s="261" t="n">
        <f aca="false">IF(MONTH(($B$2+23))=MONTH($B$2),24,"")</f>
        <v>24</v>
      </c>
      <c r="Z5" s="261" t="n">
        <f aca="false">IF(MONTH(($B$2+24))=MONTH($B$2),25,"")</f>
        <v>25</v>
      </c>
      <c r="AA5" s="261" t="n">
        <f aca="false">IF(MONTH(($B$2+25))=MONTH($B$2),26,"")</f>
        <v>26</v>
      </c>
      <c r="AB5" s="261" t="n">
        <f aca="false">IF(MONTH(($B$2+26))=MONTH($B$2),27,"")</f>
        <v>27</v>
      </c>
      <c r="AC5" s="261" t="n">
        <f aca="false">IF(MONTH(($B$2+27))=MONTH($B$2),28,"")</f>
        <v>28</v>
      </c>
      <c r="AD5" s="261" t="n">
        <f aca="false">IF(MONTH(($B$2+28))=MONTH($B$2),29,"")</f>
        <v>29</v>
      </c>
      <c r="AE5" s="261" t="n">
        <f aca="false">IF(MONTH(($B$2+29))=MONTH($B$2),30,"")</f>
        <v>30</v>
      </c>
      <c r="AF5" s="261" t="str">
        <f aca="false">IF(MONTH(($B$2+30))=MONTH($B$2),31,"")</f>
        <v/>
      </c>
    </row>
    <row r="6" customFormat="false" ht="15" hidden="false" customHeight="true" outlineLevel="0" collapsed="false">
      <c r="A6" s="262"/>
      <c r="B6" s="263" t="str">
        <f aca="false">IF(MONTH(($B$2+0))=MONTH($B$2),CHOOSE(WEEKDAY(($B$2+0),2),"T2","T3","T4","T5","T6","T7","CN"),"")</f>
        <v>T2</v>
      </c>
      <c r="C6" s="263" t="str">
        <f aca="false">IF(MONTH(($B$2+1))=MONTH($B$2),CHOOSE(WEEKDAY(($B$2+1),2),"T2","T3","T4","T5","T6","T7","CN"),"")</f>
        <v>T3</v>
      </c>
      <c r="D6" s="263" t="str">
        <f aca="false">IF(MONTH(($B$2+2))=MONTH($B$2),CHOOSE(WEEKDAY(($B$2+2),2),"T2","T3","T4","T5","T6","T7","CN"),"")</f>
        <v>T4</v>
      </c>
      <c r="E6" s="263" t="str">
        <f aca="false">IF(MONTH(($B$2+3))=MONTH($B$2),CHOOSE(WEEKDAY(($B$2+3),2),"T2","T3","T4","T5","T6","T7","CN"),"")</f>
        <v>T5</v>
      </c>
      <c r="F6" s="263" t="str">
        <f aca="false">IF(MONTH(($B$2+4))=MONTH($B$2),CHOOSE(WEEKDAY(($B$2+4),2),"T2","T3","T4","T5","T6","T7","CN"),"")</f>
        <v>T6</v>
      </c>
      <c r="G6" s="263" t="str">
        <f aca="false">IF(MONTH(($B$2+5))=MONTH($B$2),CHOOSE(WEEKDAY(($B$2+5),2),"T2","T3","T4","T5","T6","T7","CN"),"")</f>
        <v>T7</v>
      </c>
      <c r="H6" s="263" t="str">
        <f aca="false">IF(MONTH(($B$2+6))=MONTH($B$2),CHOOSE(WEEKDAY(($B$2+6),2),"T2","T3","T4","T5","T6","T7","CN"),"")</f>
        <v>CN</v>
      </c>
      <c r="I6" s="263" t="str">
        <f aca="false">IF(MONTH(($B$2+7))=MONTH($B$2),CHOOSE(WEEKDAY(($B$2+7),2),"T2","T3","T4","T5","T6","T7","CN"),"")</f>
        <v>T2</v>
      </c>
      <c r="J6" s="263" t="str">
        <f aca="false">IF(MONTH(($B$2+8))=MONTH($B$2),CHOOSE(WEEKDAY(($B$2+8),2),"T2","T3","T4","T5","T6","T7","CN"),"")</f>
        <v>T3</v>
      </c>
      <c r="K6" s="263" t="str">
        <f aca="false">IF(MONTH(($B$2+9))=MONTH($B$2),CHOOSE(WEEKDAY(($B$2+9),2),"T2","T3","T4","T5","T6","T7","CN"),"")</f>
        <v>T4</v>
      </c>
      <c r="L6" s="263" t="str">
        <f aca="false">IF(MONTH(($B$2+10))=MONTH($B$2),CHOOSE(WEEKDAY(($B$2+10),2),"T2","T3","T4","T5","T6","T7","CN"),"")</f>
        <v>T5</v>
      </c>
      <c r="M6" s="263" t="str">
        <f aca="false">IF(MONTH(($B$2+11))=MONTH($B$2),CHOOSE(WEEKDAY(($B$2+11),2),"T2","T3","T4","T5","T6","T7","CN"),"")</f>
        <v>T6</v>
      </c>
      <c r="N6" s="263" t="str">
        <f aca="false">IF(MONTH(($B$2+12))=MONTH($B$2),CHOOSE(WEEKDAY(($B$2+12),2),"T2","T3","T4","T5","T6","T7","CN"),"")</f>
        <v>T7</v>
      </c>
      <c r="O6" s="263" t="str">
        <f aca="false">IF(MONTH(($B$2+13))=MONTH($B$2),CHOOSE(WEEKDAY(($B$2+13),2),"T2","T3","T4","T5","T6","T7","CN"),"")</f>
        <v>CN</v>
      </c>
      <c r="P6" s="263" t="str">
        <f aca="false">IF(MONTH(($B$2+14))=MONTH($B$2),CHOOSE(WEEKDAY(($B$2+14),2),"T2","T3","T4","T5","T6","T7","CN"),"")</f>
        <v>T2</v>
      </c>
      <c r="Q6" s="263" t="str">
        <f aca="false">IF(MONTH(($B$2+15))=MONTH($B$2),CHOOSE(WEEKDAY(($B$2+15),2),"T2","T3","T4","T5","T6","T7","CN"),"")</f>
        <v>T3</v>
      </c>
      <c r="R6" s="263" t="str">
        <f aca="false">IF(MONTH(($B$2+16))=MONTH($B$2),CHOOSE(WEEKDAY(($B$2+16),2),"T2","T3","T4","T5","T6","T7","CN"),"")</f>
        <v>T4</v>
      </c>
      <c r="S6" s="263" t="str">
        <f aca="false">IF(MONTH(($B$2+17))=MONTH($B$2),CHOOSE(WEEKDAY(($B$2+17),2),"T2","T3","T4","T5","T6","T7","CN"),"")</f>
        <v>T5</v>
      </c>
      <c r="T6" s="263" t="str">
        <f aca="false">IF(MONTH(($B$2+18))=MONTH($B$2),CHOOSE(WEEKDAY(($B$2+18),2),"T2","T3","T4","T5","T6","T7","CN"),"")</f>
        <v>T6</v>
      </c>
      <c r="U6" s="263" t="str">
        <f aca="false">IF(MONTH(($B$2+19))=MONTH($B$2),CHOOSE(WEEKDAY(($B$2+19),2),"T2","T3","T4","T5","T6","T7","CN"),"")</f>
        <v>T7</v>
      </c>
      <c r="V6" s="263" t="str">
        <f aca="false">IF(MONTH(($B$2+20))=MONTH($B$2),CHOOSE(WEEKDAY(($B$2+20),2),"T2","T3","T4","T5","T6","T7","CN"),"")</f>
        <v>CN</v>
      </c>
      <c r="W6" s="263" t="str">
        <f aca="false">IF(MONTH(($B$2+21))=MONTH($B$2),CHOOSE(WEEKDAY(($B$2+21),2),"T2","T3","T4","T5","T6","T7","CN"),"")</f>
        <v>T2</v>
      </c>
      <c r="X6" s="263" t="str">
        <f aca="false">IF(MONTH(($B$2+22))=MONTH($B$2),CHOOSE(WEEKDAY(($B$2+22),2),"T2","T3","T4","T5","T6","T7","CN"),"")</f>
        <v>T3</v>
      </c>
      <c r="Y6" s="263" t="str">
        <f aca="false">IF(MONTH(($B$2+23))=MONTH($B$2),CHOOSE(WEEKDAY(($B$2+23),2),"T2","T3","T4","T5","T6","T7","CN"),"")</f>
        <v>T4</v>
      </c>
      <c r="Z6" s="263" t="str">
        <f aca="false">IF(MONTH(($B$2+24))=MONTH($B$2),CHOOSE(WEEKDAY(($B$2+24),2),"T2","T3","T4","T5","T6","T7","CN"),"")</f>
        <v>T5</v>
      </c>
      <c r="AA6" s="263" t="str">
        <f aca="false">IF(MONTH(($B$2+25))=MONTH($B$2),CHOOSE(WEEKDAY(($B$2+25),2),"T2","T3","T4","T5","T6","T7","CN"),"")</f>
        <v>T6</v>
      </c>
      <c r="AB6" s="263" t="str">
        <f aca="false">IF(MONTH(($B$2+26))=MONTH($B$2),CHOOSE(WEEKDAY(($B$2+26),2),"T2","T3","T4","T5","T6","T7","CN"),"")</f>
        <v>T7</v>
      </c>
      <c r="AC6" s="263" t="str">
        <f aca="false">IF(MONTH(($B$2+27))=MONTH($B$2),CHOOSE(WEEKDAY(($B$2+27),2),"T2","T3","T4","T5","T6","T7","CN"),"")</f>
        <v>CN</v>
      </c>
      <c r="AD6" s="263" t="str">
        <f aca="false">IF(MONTH(($B$2+28))=MONTH($B$2),CHOOSE(WEEKDAY(($B$2+28),2),"T2","T3","T4","T5","T6","T7","CN"),"")</f>
        <v>T2</v>
      </c>
      <c r="AE6" s="263" t="str">
        <f aca="false">IF(MONTH(($B$2+29))=MONTH($B$2),CHOOSE(WEEKDAY(($B$2+29),2),"T2","T3","T4","T5","T6","T7","CN"),"")</f>
        <v>T3</v>
      </c>
      <c r="AF6" s="263" t="str">
        <f aca="false">IF(MONTH(($B$2+30))=MONTH($B$2),CHOOSE(WEEKDAY(($B$2+30),2),"T2","T3","T4","T5","T6","T7","CN"),"")</f>
        <v/>
      </c>
    </row>
    <row r="7" customFormat="false" ht="19.5" hidden="false" customHeight="true" outlineLevel="0" collapsed="false">
      <c r="A7" s="264" t="s">
        <v>3678</v>
      </c>
      <c r="B7" s="265"/>
      <c r="C7" s="265"/>
      <c r="D7" s="265"/>
      <c r="E7" s="265"/>
      <c r="F7" s="265"/>
      <c r="G7" s="265"/>
      <c r="H7" s="265"/>
      <c r="I7" s="265"/>
      <c r="J7" s="265"/>
      <c r="K7" s="265"/>
      <c r="L7" s="265"/>
      <c r="M7" s="265"/>
      <c r="N7" s="265"/>
      <c r="O7" s="265"/>
      <c r="P7" s="265"/>
      <c r="Q7" s="265"/>
      <c r="R7" s="265"/>
      <c r="S7" s="265"/>
      <c r="T7" s="265"/>
      <c r="U7" s="265"/>
      <c r="V7" s="265"/>
      <c r="W7" s="266" t="s">
        <v>3679</v>
      </c>
      <c r="X7" s="266" t="s">
        <v>3679</v>
      </c>
      <c r="Y7" s="266" t="s">
        <v>3679</v>
      </c>
      <c r="Z7" s="266" t="s">
        <v>3679</v>
      </c>
      <c r="AA7" s="266" t="s">
        <v>3679</v>
      </c>
      <c r="AB7" s="266" t="s">
        <v>3679</v>
      </c>
      <c r="AC7" s="266" t="s">
        <v>3679</v>
      </c>
      <c r="AD7" s="265"/>
      <c r="AE7" s="265"/>
      <c r="AF7" s="265"/>
    </row>
    <row r="8" customFormat="false" ht="19.5" hidden="false" customHeight="true" outlineLevel="0" collapsed="false">
      <c r="A8" s="264" t="s">
        <v>3680</v>
      </c>
      <c r="B8" s="265"/>
      <c r="C8" s="265"/>
      <c r="D8" s="265"/>
      <c r="E8" s="265"/>
      <c r="F8" s="265"/>
      <c r="G8" s="265"/>
      <c r="H8" s="265"/>
      <c r="I8" s="265"/>
      <c r="J8" s="265"/>
      <c r="K8" s="265"/>
      <c r="L8" s="265"/>
      <c r="M8" s="265"/>
      <c r="N8" s="265"/>
      <c r="O8" s="265"/>
      <c r="P8" s="265"/>
      <c r="Q8" s="265"/>
      <c r="R8" s="265"/>
      <c r="S8" s="265"/>
      <c r="T8" s="265"/>
      <c r="U8" s="265"/>
      <c r="V8" s="265"/>
      <c r="W8" s="266" t="s">
        <v>3679</v>
      </c>
      <c r="X8" s="266" t="s">
        <v>3679</v>
      </c>
      <c r="Y8" s="266" t="s">
        <v>3679</v>
      </c>
      <c r="Z8" s="266" t="s">
        <v>3679</v>
      </c>
      <c r="AA8" s="266" t="s">
        <v>3679</v>
      </c>
      <c r="AB8" s="266" t="s">
        <v>3679</v>
      </c>
      <c r="AC8" s="266" t="s">
        <v>3679</v>
      </c>
      <c r="AD8" s="265"/>
      <c r="AE8" s="265"/>
      <c r="AF8" s="265"/>
    </row>
    <row r="9" customFormat="false" ht="19.5" hidden="false" customHeight="true" outlineLevel="0" collapsed="false">
      <c r="A9" s="264" t="s">
        <v>3681</v>
      </c>
      <c r="B9" s="265"/>
      <c r="C9" s="265"/>
      <c r="D9" s="265"/>
      <c r="E9" s="265"/>
      <c r="F9" s="265"/>
      <c r="G9" s="265"/>
      <c r="H9" s="265"/>
      <c r="I9" s="265"/>
      <c r="J9" s="265"/>
      <c r="K9" s="265"/>
      <c r="L9" s="265"/>
      <c r="M9" s="265"/>
      <c r="N9" s="265"/>
      <c r="O9" s="265"/>
      <c r="P9" s="265"/>
      <c r="Q9" s="265"/>
      <c r="R9" s="265"/>
      <c r="S9" s="265"/>
      <c r="T9" s="265"/>
      <c r="U9" s="265"/>
      <c r="V9" s="265"/>
      <c r="W9" s="266" t="s">
        <v>3679</v>
      </c>
      <c r="X9" s="266" t="s">
        <v>3679</v>
      </c>
      <c r="Y9" s="266" t="s">
        <v>3679</v>
      </c>
      <c r="Z9" s="266" t="s">
        <v>3679</v>
      </c>
      <c r="AA9" s="266" t="s">
        <v>3679</v>
      </c>
      <c r="AB9" s="266" t="s">
        <v>3679</v>
      </c>
      <c r="AC9" s="266" t="s">
        <v>3679</v>
      </c>
      <c r="AD9" s="265"/>
      <c r="AE9" s="265"/>
      <c r="AF9" s="265"/>
    </row>
    <row r="10" customFormat="false" ht="19.5" hidden="false" customHeight="true" outlineLevel="0" collapsed="false">
      <c r="A10" s="264" t="s">
        <v>3682</v>
      </c>
      <c r="B10" s="265"/>
      <c r="C10" s="265"/>
      <c r="D10" s="265"/>
      <c r="E10" s="265"/>
      <c r="F10" s="265"/>
      <c r="G10" s="265"/>
      <c r="H10" s="265"/>
      <c r="I10" s="265"/>
      <c r="J10" s="265"/>
      <c r="K10" s="265"/>
      <c r="L10" s="265"/>
      <c r="M10" s="265"/>
      <c r="N10" s="265"/>
      <c r="O10" s="265"/>
      <c r="P10" s="265"/>
      <c r="Q10" s="265"/>
      <c r="R10" s="265"/>
      <c r="S10" s="265"/>
      <c r="T10" s="265"/>
      <c r="U10" s="265"/>
      <c r="V10" s="265"/>
      <c r="W10" s="266" t="s">
        <v>3679</v>
      </c>
      <c r="X10" s="266" t="s">
        <v>3679</v>
      </c>
      <c r="Y10" s="266" t="s">
        <v>3679</v>
      </c>
      <c r="Z10" s="266" t="s">
        <v>3679</v>
      </c>
      <c r="AA10" s="266" t="s">
        <v>3679</v>
      </c>
      <c r="AB10" s="266" t="s">
        <v>3679</v>
      </c>
      <c r="AC10" s="266" t="s">
        <v>3679</v>
      </c>
      <c r="AD10" s="265"/>
      <c r="AE10" s="265"/>
      <c r="AF10" s="265"/>
    </row>
    <row r="11" customFormat="false" ht="19.5" hidden="false" customHeight="true" outlineLevel="0" collapsed="false">
      <c r="A11" s="264" t="s">
        <v>3683</v>
      </c>
      <c r="B11" s="265"/>
      <c r="C11" s="265"/>
      <c r="D11" s="265"/>
      <c r="E11" s="265"/>
      <c r="F11" s="265"/>
      <c r="G11" s="265"/>
      <c r="H11" s="265"/>
      <c r="I11" s="265"/>
      <c r="J11" s="265"/>
      <c r="K11" s="265"/>
      <c r="L11" s="265"/>
      <c r="M11" s="265"/>
      <c r="N11" s="265"/>
      <c r="O11" s="265"/>
      <c r="P11" s="265"/>
      <c r="Q11" s="265"/>
      <c r="R11" s="265"/>
      <c r="S11" s="265"/>
      <c r="T11" s="265"/>
      <c r="U11" s="265"/>
      <c r="V11" s="265"/>
      <c r="W11" s="265"/>
      <c r="X11" s="265"/>
      <c r="Y11" s="266" t="s">
        <v>3684</v>
      </c>
      <c r="Z11" s="265"/>
      <c r="AA11" s="265"/>
      <c r="AB11" s="265"/>
      <c r="AC11" s="265"/>
      <c r="AD11" s="265"/>
      <c r="AE11" s="265"/>
      <c r="AF11" s="265"/>
    </row>
    <row r="12" customFormat="false" ht="19.5" hidden="false" customHeight="true" outlineLevel="0" collapsed="false">
      <c r="A12" s="264" t="s">
        <v>3685</v>
      </c>
      <c r="B12" s="265"/>
      <c r="C12" s="265"/>
      <c r="D12" s="265"/>
      <c r="E12" s="265"/>
      <c r="F12" s="265"/>
      <c r="G12" s="265"/>
      <c r="H12" s="265"/>
      <c r="I12" s="265"/>
      <c r="J12" s="265"/>
      <c r="K12" s="265"/>
      <c r="L12" s="265"/>
      <c r="M12" s="265"/>
      <c r="N12" s="265"/>
      <c r="O12" s="265"/>
      <c r="P12" s="265"/>
      <c r="Q12" s="265"/>
      <c r="R12" s="265"/>
      <c r="S12" s="265"/>
      <c r="T12" s="265"/>
      <c r="U12" s="265"/>
      <c r="V12" s="265"/>
      <c r="W12" s="265"/>
      <c r="X12" s="265"/>
      <c r="Y12" s="265"/>
      <c r="Z12" s="265"/>
      <c r="AA12" s="265"/>
      <c r="AB12" s="265"/>
      <c r="AC12" s="265"/>
      <c r="AD12" s="265"/>
      <c r="AE12" s="265"/>
      <c r="AF12" s="265"/>
    </row>
    <row r="13" customFormat="false" ht="19.5" hidden="false" customHeight="true" outlineLevel="0" collapsed="false">
      <c r="A13" s="264" t="s">
        <v>3686</v>
      </c>
      <c r="B13" s="265"/>
      <c r="C13" s="265"/>
      <c r="D13" s="265"/>
      <c r="E13" s="265"/>
      <c r="F13" s="265"/>
      <c r="G13" s="265"/>
      <c r="H13" s="265"/>
      <c r="I13" s="265"/>
      <c r="J13" s="265"/>
      <c r="K13" s="265"/>
      <c r="L13" s="265"/>
      <c r="M13" s="265"/>
      <c r="N13" s="265"/>
      <c r="O13" s="265"/>
      <c r="P13" s="265"/>
      <c r="Q13" s="265"/>
      <c r="R13" s="265"/>
      <c r="S13" s="265"/>
      <c r="T13" s="265"/>
      <c r="U13" s="265"/>
      <c r="V13" s="265"/>
      <c r="W13" s="265"/>
      <c r="X13" s="265"/>
      <c r="Y13" s="266" t="s">
        <v>3687</v>
      </c>
      <c r="Z13" s="266" t="s">
        <v>3687</v>
      </c>
      <c r="AA13" s="266" t="s">
        <v>3687</v>
      </c>
      <c r="AB13" s="265"/>
      <c r="AC13" s="265"/>
      <c r="AD13" s="265"/>
      <c r="AE13" s="265"/>
      <c r="AF13" s="265"/>
    </row>
    <row r="14" customFormat="false" ht="19.5" hidden="false" customHeight="true" outlineLevel="0" collapsed="false">
      <c r="A14" s="264" t="s">
        <v>3688</v>
      </c>
      <c r="B14" s="265"/>
      <c r="C14" s="265"/>
      <c r="D14" s="265"/>
      <c r="E14" s="265"/>
      <c r="F14" s="265"/>
      <c r="G14" s="265"/>
      <c r="H14" s="265"/>
      <c r="I14" s="265"/>
      <c r="J14" s="265"/>
      <c r="K14" s="265"/>
      <c r="L14" s="265"/>
      <c r="M14" s="265"/>
      <c r="N14" s="265"/>
      <c r="O14" s="265"/>
      <c r="P14" s="265"/>
      <c r="Q14" s="265"/>
      <c r="R14" s="265"/>
      <c r="S14" s="265"/>
      <c r="T14" s="265"/>
      <c r="U14" s="265"/>
      <c r="V14" s="265"/>
      <c r="W14" s="265"/>
      <c r="X14" s="265"/>
      <c r="Y14" s="266" t="s">
        <v>3687</v>
      </c>
      <c r="Z14" s="266" t="s">
        <v>3687</v>
      </c>
      <c r="AA14" s="266" t="s">
        <v>3687</v>
      </c>
      <c r="AB14" s="265"/>
      <c r="AC14" s="265"/>
      <c r="AD14" s="265"/>
      <c r="AE14" s="265"/>
      <c r="AF14" s="265"/>
    </row>
    <row r="15" customFormat="false" ht="19.5" hidden="false" customHeight="true" outlineLevel="0" collapsed="false">
      <c r="A15" s="264" t="s">
        <v>3689</v>
      </c>
      <c r="B15" s="265"/>
      <c r="C15" s="265"/>
      <c r="D15" s="265"/>
      <c r="E15" s="265"/>
      <c r="F15" s="265"/>
      <c r="G15" s="265"/>
      <c r="H15" s="265"/>
      <c r="I15" s="265"/>
      <c r="J15" s="265"/>
      <c r="K15" s="265"/>
      <c r="L15" s="265"/>
      <c r="M15" s="265"/>
      <c r="N15" s="265"/>
      <c r="O15" s="265"/>
      <c r="P15" s="265"/>
      <c r="Q15" s="265"/>
      <c r="R15" s="265"/>
      <c r="S15" s="265"/>
      <c r="T15" s="265"/>
      <c r="U15" s="265"/>
      <c r="V15" s="265"/>
      <c r="W15" s="265"/>
      <c r="X15" s="265"/>
      <c r="Y15" s="266" t="s">
        <v>3687</v>
      </c>
      <c r="Z15" s="266" t="s">
        <v>3687</v>
      </c>
      <c r="AA15" s="266" t="s">
        <v>3687</v>
      </c>
      <c r="AB15" s="265"/>
      <c r="AC15" s="265"/>
      <c r="AD15" s="265"/>
      <c r="AE15" s="265"/>
      <c r="AF15" s="265"/>
    </row>
    <row r="16" customFormat="false" ht="19.5" hidden="false" customHeight="true" outlineLevel="0" collapsed="false">
      <c r="A16" s="264" t="s">
        <v>3690</v>
      </c>
      <c r="B16" s="265"/>
      <c r="C16" s="265"/>
      <c r="D16" s="265"/>
      <c r="E16" s="265"/>
      <c r="F16" s="265"/>
      <c r="G16" s="265"/>
      <c r="H16" s="265"/>
      <c r="I16" s="265"/>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row>
    <row r="17" customFormat="false" ht="19.5" hidden="false" customHeight="true" outlineLevel="0" collapsed="false">
      <c r="A17" s="264" t="s">
        <v>3691</v>
      </c>
      <c r="B17" s="265"/>
      <c r="C17" s="265"/>
      <c r="D17" s="265"/>
      <c r="E17" s="265"/>
      <c r="F17" s="265"/>
      <c r="G17" s="265"/>
      <c r="H17" s="265"/>
      <c r="I17" s="265"/>
      <c r="J17" s="265"/>
      <c r="K17" s="265"/>
      <c r="L17" s="265"/>
      <c r="M17" s="265"/>
      <c r="N17" s="265"/>
      <c r="O17" s="265"/>
      <c r="P17" s="265"/>
      <c r="Q17" s="265"/>
      <c r="R17" s="265"/>
      <c r="S17" s="265"/>
      <c r="T17" s="265"/>
      <c r="U17" s="265"/>
      <c r="V17" s="265"/>
      <c r="W17" s="265"/>
      <c r="X17" s="265"/>
      <c r="Y17" s="265"/>
      <c r="Z17" s="265"/>
      <c r="AA17" s="265"/>
      <c r="AB17" s="265"/>
      <c r="AC17" s="265"/>
      <c r="AD17" s="265"/>
      <c r="AE17" s="265"/>
      <c r="AF17" s="265"/>
    </row>
    <row r="18" customFormat="false" ht="19.5" hidden="false" customHeight="true" outlineLevel="0" collapsed="false">
      <c r="A18" s="264" t="s">
        <v>3692</v>
      </c>
      <c r="B18" s="265"/>
      <c r="C18" s="265"/>
      <c r="D18" s="265"/>
      <c r="E18" s="265"/>
      <c r="F18" s="265"/>
      <c r="G18" s="265"/>
      <c r="H18" s="265"/>
      <c r="I18" s="265"/>
      <c r="J18" s="265"/>
      <c r="K18" s="265"/>
      <c r="L18" s="265"/>
      <c r="M18" s="265"/>
      <c r="N18" s="265"/>
      <c r="O18" s="265"/>
      <c r="P18" s="265"/>
      <c r="Q18" s="265"/>
      <c r="R18" s="265"/>
      <c r="S18" s="265"/>
      <c r="T18" s="265"/>
      <c r="U18" s="265"/>
      <c r="V18" s="265"/>
      <c r="W18" s="265"/>
      <c r="X18" s="265"/>
      <c r="Y18" s="265"/>
      <c r="Z18" s="265"/>
      <c r="AA18" s="265"/>
      <c r="AB18" s="265"/>
      <c r="AC18" s="265"/>
      <c r="AD18" s="265"/>
      <c r="AE18" s="265"/>
      <c r="AF18" s="265"/>
    </row>
    <row r="19" customFormat="false" ht="19.5" hidden="false" customHeight="true" outlineLevel="0" collapsed="false">
      <c r="A19" s="264" t="s">
        <v>3693</v>
      </c>
      <c r="B19" s="265"/>
      <c r="C19" s="265"/>
      <c r="D19" s="265"/>
      <c r="E19" s="265"/>
      <c r="F19" s="265"/>
      <c r="G19" s="265"/>
      <c r="H19" s="265"/>
      <c r="I19" s="265"/>
      <c r="J19" s="265"/>
      <c r="K19" s="265"/>
      <c r="L19" s="265"/>
      <c r="M19" s="265"/>
      <c r="N19" s="265"/>
      <c r="O19" s="265"/>
      <c r="P19" s="265"/>
      <c r="Q19" s="265"/>
      <c r="R19" s="265"/>
      <c r="S19" s="265"/>
      <c r="T19" s="265"/>
      <c r="U19" s="265"/>
      <c r="V19" s="265"/>
      <c r="W19" s="265"/>
      <c r="X19" s="265"/>
      <c r="Y19" s="265"/>
      <c r="Z19" s="265"/>
      <c r="AA19" s="265"/>
      <c r="AB19" s="265"/>
      <c r="AC19" s="265"/>
      <c r="AD19" s="265"/>
      <c r="AE19" s="265"/>
      <c r="AF19" s="265"/>
    </row>
    <row r="20" customFormat="false" ht="20.25" hidden="false" customHeight="true" outlineLevel="0" collapsed="false">
      <c r="A20" s="267" t="s">
        <v>3694</v>
      </c>
      <c r="B20" s="268" t="n">
        <f aca="false">COUNTA(B7:B19)</f>
        <v>0</v>
      </c>
      <c r="C20" s="268" t="n">
        <f aca="false">COUNTA(C7:C19)</f>
        <v>0</v>
      </c>
      <c r="D20" s="268" t="n">
        <f aca="false">COUNTA(D7:D19)</f>
        <v>0</v>
      </c>
      <c r="E20" s="268" t="n">
        <f aca="false">COUNTA(E7:E19)</f>
        <v>0</v>
      </c>
      <c r="F20" s="268" t="n">
        <f aca="false">COUNTA(F7:F19)</f>
        <v>0</v>
      </c>
      <c r="G20" s="268" t="n">
        <f aca="false">COUNTA(G7:G19)</f>
        <v>0</v>
      </c>
      <c r="H20" s="268" t="n">
        <f aca="false">COUNTA(H7:H19)</f>
        <v>0</v>
      </c>
      <c r="I20" s="268" t="n">
        <f aca="false">COUNTA(I7:I19)</f>
        <v>0</v>
      </c>
      <c r="J20" s="268" t="n">
        <f aca="false">COUNTA(J7:J19)</f>
        <v>0</v>
      </c>
      <c r="K20" s="268" t="n">
        <f aca="false">COUNTA(K7:K19)</f>
        <v>0</v>
      </c>
      <c r="L20" s="268" t="n">
        <f aca="false">COUNTA(L7:L19)</f>
        <v>0</v>
      </c>
      <c r="M20" s="268" t="n">
        <f aca="false">COUNTA(M7:M19)</f>
        <v>0</v>
      </c>
      <c r="N20" s="268" t="n">
        <f aca="false">COUNTA(N7:N19)</f>
        <v>0</v>
      </c>
      <c r="O20" s="268" t="n">
        <f aca="false">COUNTA(O7:O19)</f>
        <v>0</v>
      </c>
      <c r="P20" s="268" t="n">
        <f aca="false">COUNTA(P7:P19)</f>
        <v>0</v>
      </c>
      <c r="Q20" s="268" t="n">
        <f aca="false">COUNTA(Q7:Q19)</f>
        <v>0</v>
      </c>
      <c r="R20" s="268" t="n">
        <f aca="false">COUNTA(R7:R19)</f>
        <v>0</v>
      </c>
      <c r="S20" s="268" t="n">
        <f aca="false">COUNTA(S7:S19)</f>
        <v>0</v>
      </c>
      <c r="T20" s="268" t="n">
        <f aca="false">COUNTA(T7:T19)</f>
        <v>0</v>
      </c>
      <c r="U20" s="268" t="n">
        <f aca="false">COUNTA(U7:U19)</f>
        <v>0</v>
      </c>
      <c r="V20" s="268" t="n">
        <f aca="false">COUNTA(V7:V19)</f>
        <v>0</v>
      </c>
      <c r="W20" s="268" t="n">
        <f aca="false">COUNTA(W7:W19)</f>
        <v>4</v>
      </c>
      <c r="X20" s="268" t="n">
        <f aca="false">COUNTA(X7:X19)</f>
        <v>4</v>
      </c>
      <c r="Y20" s="268" t="n">
        <f aca="false">COUNTA(Y7:Y19)</f>
        <v>8</v>
      </c>
      <c r="Z20" s="268" t="n">
        <f aca="false">COUNTA(Z7:Z19)</f>
        <v>7</v>
      </c>
      <c r="AA20" s="268" t="n">
        <f aca="false">COUNTA(AA7:AA19)</f>
        <v>7</v>
      </c>
      <c r="AB20" s="268" t="n">
        <f aca="false">COUNTA(AB7:AB19)</f>
        <v>4</v>
      </c>
      <c r="AC20" s="268" t="n">
        <f aca="false">COUNTA(AC7:AC19)</f>
        <v>4</v>
      </c>
      <c r="AD20" s="268" t="n">
        <f aca="false">COUNTA(AD7:AD19)</f>
        <v>0</v>
      </c>
      <c r="AE20" s="268" t="n">
        <f aca="false">COUNTA(AE7:AE19)</f>
        <v>0</v>
      </c>
      <c r="AF20" s="268" t="n">
        <f aca="false">COUNTA(AF7:AF19)</f>
        <v>0</v>
      </c>
    </row>
    <row r="21" customFormat="false" ht="15" hidden="false" customHeight="true" outlineLevel="0" collapsed="false">
      <c r="A21" s="179"/>
      <c r="B21" s="179"/>
      <c r="C21" s="179"/>
      <c r="D21" s="179"/>
      <c r="E21" s="179"/>
      <c r="F21" s="179"/>
      <c r="G21" s="179"/>
      <c r="H21" s="179"/>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row>
    <row r="22" customFormat="false" ht="27.75" hidden="false" customHeight="true" outlineLevel="0" collapsed="false">
      <c r="A22" s="260" t="s">
        <v>3695</v>
      </c>
      <c r="B22" s="260"/>
      <c r="C22" s="260"/>
      <c r="D22" s="260"/>
      <c r="E22" s="260"/>
      <c r="F22" s="260"/>
      <c r="G22" s="260"/>
      <c r="H22" s="260"/>
      <c r="I22" s="260"/>
      <c r="J22" s="260"/>
      <c r="K22" s="179"/>
      <c r="L22" s="179"/>
      <c r="M22" s="179"/>
      <c r="N22" s="179"/>
      <c r="O22" s="179"/>
      <c r="P22" s="179"/>
      <c r="Q22" s="179"/>
      <c r="R22" s="179"/>
      <c r="S22" s="179"/>
      <c r="T22" s="179"/>
      <c r="U22" s="179"/>
      <c r="V22" s="179"/>
      <c r="W22" s="179"/>
      <c r="X22" s="179"/>
      <c r="Y22" s="179"/>
      <c r="Z22" s="179"/>
      <c r="AA22" s="179"/>
      <c r="AB22" s="179"/>
      <c r="AC22" s="179"/>
      <c r="AD22" s="179"/>
      <c r="AE22" s="179"/>
      <c r="AF22" s="179"/>
    </row>
    <row r="23" customFormat="false" ht="47.25" hidden="false" customHeight="true" outlineLevel="0" collapsed="false">
      <c r="A23" s="261" t="s">
        <v>2272</v>
      </c>
      <c r="B23" s="261" t="s">
        <v>2490</v>
      </c>
      <c r="C23" s="261" t="s">
        <v>3696</v>
      </c>
      <c r="D23" s="261" t="s">
        <v>3697</v>
      </c>
      <c r="E23" s="261" t="s">
        <v>3698</v>
      </c>
      <c r="F23" s="261" t="s">
        <v>3699</v>
      </c>
      <c r="G23" s="261" t="s">
        <v>3700</v>
      </c>
      <c r="H23" s="179"/>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row>
    <row r="24" customFormat="false" ht="32.25" hidden="false" customHeight="true" outlineLevel="0" collapsed="false">
      <c r="A24" s="44" t="str">
        <f aca="false">IFERROR(__xludf.dummyfunction("IFERROR(INDEX(filter('DL01. Nhân viên'!A4:A503,ISNUMBER(SEARCH(""wow_coach"",'DL01. Nhân viên'!C4:C503))),1),"""")"),"NV003")</f>
        <v>NV003</v>
      </c>
      <c r="B24" s="166" t="str">
        <f aca="false">IF($A24="","",IFERROR(VLOOKUP($A24,'DL01. Nhân viên'!$A:$B,2,FALSE()),""))</f>
        <v>Nguyễn Thanh Kiu</v>
      </c>
      <c r="C24" s="166" t="n">
        <f aca="false">IF($A24="","",IFERROR(VLOOKUP($A24,'DL01. Nhân viên'!$A:$F,6,FALSE()),""))</f>
        <v>0</v>
      </c>
      <c r="D24" s="269" t="n">
        <v>40</v>
      </c>
      <c r="E24" s="270" t="n">
        <f aca="false">IF($A24="","",COUNTIF($B$7:$AF$19,"*"&amp;$A24&amp;"*"))</f>
        <v>29</v>
      </c>
      <c r="F24" s="271" t="str">
        <f aca="false">IF($A24="","",IF($E24&gt;=$D24,"Đủ cam kết","Thiếu "&amp;($D24-$E24)&amp;"h"))</f>
        <v>Thiếu 11h</v>
      </c>
      <c r="G24" s="272" t="n">
        <f aca="false">IF($A24="","",COUNTIFS('DL14. Buổi WOW 1-1'!J:J,$A24,'DL14. Buổi WOW 1-1'!E:E,"&gt;="&amp;(EOMONTH($B$2,-1)+1),'DL14. Buổi WOW 1-1'!E:E,"&lt;="&amp;EOMONTH($B$2,0)))</f>
        <v>1</v>
      </c>
      <c r="H24" s="179"/>
      <c r="I24" s="179"/>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row>
    <row r="25" customFormat="false" ht="32.25" hidden="false" customHeight="true" outlineLevel="0" collapsed="false">
      <c r="A25" s="44" t="str">
        <f aca="false">IFERROR(__xludf.dummyfunction("IFERROR(INDEX(filter('DL01. Nhân viên'!A4:A503,ISNUMBER(SEARCH(""wow_coach"",'DL01. Nhân viên'!C4:C503))),2),"""")"),"NV004")</f>
        <v>NV004</v>
      </c>
      <c r="B25" s="166" t="str">
        <f aca="false">IF($A25="","",IFERROR(VLOOKUP($A25,'DL01. Nhân viên'!$A:$B,2,FALSE()),""))</f>
        <v>Nguyễn Tuấn Phong</v>
      </c>
      <c r="C25" s="166" t="n">
        <f aca="false">IF($A25="","",IFERROR(VLOOKUP($A25,'DL01. Nhân viên'!$A:$F,6,FALSE()),""))</f>
        <v>0</v>
      </c>
      <c r="D25" s="269" t="n">
        <v>40</v>
      </c>
      <c r="E25" s="270" t="n">
        <f aca="false">IF($A25="","",COUNTIF($B$7:$AF$19,"*"&amp;$A25&amp;"*"))</f>
        <v>10</v>
      </c>
      <c r="F25" s="271" t="str">
        <f aca="false">IF($A25="","",IF($E25&gt;=$D25,"Đủ cam kết","Thiếu "&amp;($D25-$E25)&amp;"h"))</f>
        <v>Thiếu 30h</v>
      </c>
      <c r="G25" s="272" t="n">
        <f aca="false">IF($A25="","",COUNTIFS('DL14. Buổi WOW 1-1'!J:J,$A25,'DL14. Buổi WOW 1-1'!E:E,"&gt;="&amp;(EOMONTH($B$2,-1)+1),'DL14. Buổi WOW 1-1'!E:E,"&lt;="&amp;EOMONTH($B$2,0)))</f>
        <v>0</v>
      </c>
      <c r="H25" s="179"/>
      <c r="I25" s="179"/>
      <c r="J25" s="179"/>
      <c r="K25" s="179"/>
      <c r="L25" s="179"/>
      <c r="M25" s="179"/>
      <c r="N25" s="179"/>
      <c r="O25" s="179"/>
      <c r="P25" s="179"/>
      <c r="Q25" s="179"/>
      <c r="R25" s="179"/>
      <c r="S25" s="179"/>
      <c r="T25" s="179"/>
      <c r="U25" s="179"/>
      <c r="V25" s="179"/>
      <c r="W25" s="179"/>
      <c r="X25" s="179"/>
      <c r="Y25" s="179"/>
      <c r="Z25" s="179"/>
      <c r="AA25" s="179"/>
      <c r="AB25" s="179"/>
      <c r="AC25" s="179"/>
      <c r="AD25" s="179"/>
      <c r="AE25" s="179"/>
      <c r="AF25" s="179"/>
    </row>
    <row r="26" customFormat="false" ht="32.25" hidden="false" customHeight="true" outlineLevel="0" collapsed="false">
      <c r="A26" s="44" t="str">
        <f aca="false">IFERROR(__xludf.dummyfunction("IFERROR(INDEX(filter('DL01. Nhân viên'!A4:A503,ISNUMBER(SEARCH(""wow_coach"",'DL01. Nhân viên'!C4:C503))),3),"""")"),"")</f>
        <v/>
      </c>
      <c r="B26" s="166" t="str">
        <f aca="false">IF($A26="","",IFERROR(VLOOKUP($A26,'DL01. Nhân viên'!$A:$B,2,FALSE()),""))</f>
        <v/>
      </c>
      <c r="C26" s="166" t="str">
        <f aca="false">IF($A26="","",IFERROR(VLOOKUP($A26,'DL01. Nhân viên'!$A:$F,6,FALSE()),""))</f>
        <v/>
      </c>
      <c r="D26" s="269" t="n">
        <v>40</v>
      </c>
      <c r="E26" s="270" t="str">
        <f aca="false">IF($A26="","",COUNTIF($B$7:$AF$19,"*"&amp;$A26&amp;"*"))</f>
        <v/>
      </c>
      <c r="F26" s="271" t="str">
        <f aca="false">IF($A26="","",IF($E26&gt;=$D26,"Đủ cam kết","Thiếu "&amp;($D26-$E26)&amp;"h"))</f>
        <v/>
      </c>
      <c r="G26" s="272" t="str">
        <f aca="false">IF($A26="","",COUNTIFS('DL14. Buổi WOW 1-1'!J:J,$A26,'DL14. Buổi WOW 1-1'!E:E,"&gt;="&amp;(EOMONTH($B$2,-1)+1),'DL14. Buổi WOW 1-1'!E:E,"&lt;="&amp;EOMONTH($B$2,0)))</f>
        <v/>
      </c>
      <c r="H26" s="179"/>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row>
    <row r="27" customFormat="false" ht="32.25" hidden="false" customHeight="true" outlineLevel="0" collapsed="false">
      <c r="A27" s="44" t="str">
        <f aca="false">IFERROR(__xludf.dummyfunction("IFERROR(INDEX(filter('DL01. Nhân viên'!A4:A503,ISNUMBER(SEARCH(""wow_coach"",'DL01. Nhân viên'!C4:C503))),4),"""")"),"")</f>
        <v/>
      </c>
      <c r="B27" s="166" t="str">
        <f aca="false">IF($A27="","",IFERROR(VLOOKUP($A27,'DL01. Nhân viên'!$A:$B,2,FALSE()),""))</f>
        <v/>
      </c>
      <c r="C27" s="166" t="str">
        <f aca="false">IF($A27="","",IFERROR(VLOOKUP($A27,'DL01. Nhân viên'!$A:$F,6,FALSE()),""))</f>
        <v/>
      </c>
      <c r="D27" s="269" t="n">
        <v>40</v>
      </c>
      <c r="E27" s="270" t="str">
        <f aca="false">IF($A27="","",COUNTIF($B$7:$AF$19,"*"&amp;$A27&amp;"*"))</f>
        <v/>
      </c>
      <c r="F27" s="271" t="str">
        <f aca="false">IF($A27="","",IF($E27&gt;=$D27,"Đủ cam kết","Thiếu "&amp;($D27-$E27)&amp;"h"))</f>
        <v/>
      </c>
      <c r="G27" s="272" t="str">
        <f aca="false">IF($A27="","",COUNTIFS('DL14. Buổi WOW 1-1'!J:J,$A27,'DL14. Buổi WOW 1-1'!E:E,"&gt;="&amp;(EOMONTH($B$2,-1)+1),'DL14. Buổi WOW 1-1'!E:E,"&lt;="&amp;EOMONTH($B$2,0)))</f>
        <v/>
      </c>
      <c r="H27" s="179"/>
      <c r="I27" s="179"/>
      <c r="J27" s="179"/>
      <c r="K27" s="179"/>
      <c r="L27" s="179"/>
      <c r="M27" s="179"/>
      <c r="N27" s="179"/>
      <c r="O27" s="179"/>
      <c r="P27" s="179"/>
      <c r="Q27" s="179"/>
      <c r="R27" s="179"/>
      <c r="S27" s="179"/>
      <c r="T27" s="179"/>
      <c r="U27" s="179"/>
      <c r="V27" s="179"/>
      <c r="W27" s="179"/>
      <c r="X27" s="179"/>
      <c r="Y27" s="179"/>
      <c r="Z27" s="179"/>
      <c r="AA27" s="179"/>
      <c r="AB27" s="179"/>
      <c r="AC27" s="179"/>
      <c r="AD27" s="179"/>
      <c r="AE27" s="179"/>
      <c r="AF27" s="179"/>
    </row>
    <row r="28" customFormat="false" ht="15" hidden="false" customHeight="true" outlineLevel="0" collapsed="false">
      <c r="A28" s="179"/>
      <c r="B28" s="179"/>
      <c r="C28" s="179"/>
      <c r="D28" s="179"/>
      <c r="E28" s="179"/>
      <c r="F28" s="179"/>
      <c r="G28" s="179"/>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row>
    <row r="29" customFormat="false" ht="21.75" hidden="false" customHeight="true" outlineLevel="0" collapsed="false">
      <c r="A29" s="156" t="s">
        <v>3701</v>
      </c>
      <c r="B29" s="156"/>
      <c r="C29" s="156"/>
      <c r="D29" s="156"/>
      <c r="E29" s="156"/>
      <c r="F29" s="156"/>
      <c r="G29" s="156"/>
      <c r="H29" s="156"/>
      <c r="I29" s="156"/>
      <c r="J29" s="156"/>
      <c r="K29" s="179"/>
      <c r="L29" s="179"/>
      <c r="M29" s="179"/>
      <c r="N29" s="179"/>
      <c r="O29" s="179"/>
      <c r="P29" s="179"/>
      <c r="Q29" s="179"/>
      <c r="R29" s="179"/>
      <c r="S29" s="179"/>
      <c r="T29" s="179"/>
      <c r="U29" s="179"/>
      <c r="V29" s="179"/>
      <c r="W29" s="179"/>
      <c r="X29" s="179"/>
      <c r="Y29" s="179"/>
      <c r="Z29" s="179"/>
      <c r="AA29" s="179"/>
      <c r="AB29" s="179"/>
      <c r="AC29" s="179"/>
      <c r="AD29" s="179"/>
      <c r="AE29" s="179"/>
      <c r="AF29" s="179"/>
    </row>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 hidden="false" customHeight="true" outlineLevel="0" collapsed="false"/>
    <row r="36" customFormat="false" ht="1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A1:AF1"/>
    <mergeCell ref="B2:C2"/>
    <mergeCell ref="D2:AF2"/>
    <mergeCell ref="A4:AF4"/>
    <mergeCell ref="A22:J22"/>
    <mergeCell ref="A29:J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3" min="1" style="1" width="27.86"/>
    <col collapsed="false" customWidth="true" hidden="false" outlineLevel="0" max="4" min="4" style="1" width="44"/>
    <col collapsed="false" customWidth="true" hidden="false" outlineLevel="0" max="5" min="5" style="1" width="27.15"/>
    <col collapsed="false" customWidth="true" hidden="false" outlineLevel="0" max="6" min="6" style="1" width="39.85"/>
    <col collapsed="false" customWidth="true" hidden="false" outlineLevel="0" max="26" min="7" style="1" width="8.71"/>
  </cols>
  <sheetData>
    <row r="1" customFormat="false" ht="39.75" hidden="false" customHeight="true" outlineLevel="0" collapsed="false">
      <c r="A1" s="2" t="s">
        <v>3702</v>
      </c>
      <c r="B1" s="2"/>
      <c r="C1" s="2"/>
      <c r="D1" s="2"/>
      <c r="E1" s="2"/>
      <c r="F1" s="2"/>
    </row>
    <row r="2" customFormat="false" ht="24" hidden="false" customHeight="true" outlineLevel="0" collapsed="false">
      <c r="A2" s="3" t="s">
        <v>3703</v>
      </c>
      <c r="B2" s="3"/>
      <c r="C2" s="3"/>
      <c r="D2" s="3"/>
      <c r="E2" s="3"/>
      <c r="F2" s="3"/>
    </row>
    <row r="3" customFormat="false" ht="27.75" hidden="false" customHeight="true" outlineLevel="0" collapsed="false">
      <c r="A3" s="273" t="s">
        <v>3704</v>
      </c>
      <c r="B3" s="273"/>
      <c r="C3" s="273"/>
      <c r="D3" s="273"/>
      <c r="E3" s="273"/>
      <c r="F3" s="273"/>
    </row>
    <row r="4" customFormat="false" ht="30" hidden="false" customHeight="true" outlineLevel="0" collapsed="false">
      <c r="A4" s="274" t="s">
        <v>3705</v>
      </c>
      <c r="B4" s="275" t="s">
        <v>3706</v>
      </c>
      <c r="C4" s="275"/>
      <c r="D4" s="275"/>
      <c r="E4" s="276" t="s">
        <v>3707</v>
      </c>
      <c r="F4" s="276"/>
    </row>
    <row r="5" customFormat="false" ht="15" hidden="false" customHeight="true" outlineLevel="0" collapsed="false">
      <c r="A5" s="4"/>
      <c r="B5" s="4"/>
      <c r="C5" s="4"/>
      <c r="D5" s="4"/>
      <c r="E5" s="4"/>
      <c r="F5" s="4"/>
    </row>
    <row r="6" customFormat="false" ht="24" hidden="false" customHeight="true" outlineLevel="0" collapsed="false">
      <c r="A6" s="5" t="s">
        <v>3708</v>
      </c>
      <c r="B6" s="5"/>
      <c r="C6" s="5"/>
      <c r="D6" s="5"/>
      <c r="E6" s="5"/>
      <c r="F6" s="5"/>
    </row>
    <row r="7" customFormat="false" ht="21.75" hidden="false" customHeight="true" outlineLevel="0" collapsed="false">
      <c r="A7" s="20" t="s">
        <v>2486</v>
      </c>
      <c r="B7" s="20" t="s">
        <v>3709</v>
      </c>
      <c r="C7" s="20" t="s">
        <v>2278</v>
      </c>
      <c r="D7" s="20" t="s">
        <v>3710</v>
      </c>
      <c r="E7" s="20" t="s">
        <v>2020</v>
      </c>
      <c r="F7" s="20" t="s">
        <v>2498</v>
      </c>
    </row>
    <row r="8" customFormat="false" ht="15" hidden="false" customHeight="true" outlineLevel="0" collapsed="false">
      <c r="A8" s="130" t="str">
        <f aca="false">IFERROR(__xludf.dummyfunction("IF($B$4="""",""Nhập từ khóa vào ô vàng B4 phía trên"",IFERROR(query({'DL02. Khách tiềm năng'!A4:A500,'DL02. Khách tiềm năng'!E4:E500,'DL02. Khách tiềm năng'!F4:F500,'DL02. Khách tiềm năng'!P4:P500,'DL02. Khách tiềm năng'!C4:C500,'DL02. Khách tiềm năng'!N4"&amp;":N500},""select * where lower(Col2) contains lower('""&amp;$B$4&amp;""') or lower(Col3) contains lower('""&amp;$B$4&amp;""')"",0),""Không tìm thấy trong Lead""))"),"L-2026-00006")</f>
        <v>L-2026-00006</v>
      </c>
      <c r="B8" s="4" t="str">
        <f aca="false">IFERROR(__xludf.dummyfunction("""COMPUTED_VALUE"""),"Trần Minh Anh")</f>
        <v>Trần Minh Anh</v>
      </c>
      <c r="C8" s="4" t="str">
        <f aca="false">IFERROR(__xludf.dummyfunction("""COMPUTED_VALUE"""),"0902000001")</f>
        <v>0902000001</v>
      </c>
      <c r="D8" s="4" t="str">
        <f aca="false">IFERROR(__xludf.dummyfunction("""COMPUTED_VALUE"""),"converted (Đã chuyển đổi - đã thành HV)")</f>
        <v>converted (Đã chuyển đổi - đã thành HV)</v>
      </c>
      <c r="E8" s="4" t="str">
        <f aca="false">IFERROR(__xludf.dummyfunction("""COMPUTED_VALUE"""),"NV001")</f>
        <v>NV001</v>
      </c>
      <c r="F8" s="4" t="str">
        <f aca="false">IFERROR(__xludf.dummyfunction("""COMPUTED_VALUE"""),"facebook_ads (Quảng cáo Facebook)")</f>
        <v>facebook_ads (Quảng cáo Facebook)</v>
      </c>
    </row>
    <row r="9" customFormat="false" ht="15" hidden="false" customHeight="true" outlineLevel="0" collapsed="false">
      <c r="A9" s="4"/>
      <c r="B9" s="4"/>
      <c r="C9" s="4"/>
      <c r="D9" s="4"/>
      <c r="E9" s="4"/>
      <c r="F9" s="4"/>
    </row>
    <row r="10" customFormat="false" ht="15" hidden="false" customHeight="true" outlineLevel="0" collapsed="false">
      <c r="A10" s="4"/>
      <c r="B10" s="4"/>
      <c r="C10" s="4"/>
      <c r="D10" s="4"/>
      <c r="E10" s="4"/>
      <c r="F10" s="4"/>
    </row>
    <row r="11" customFormat="false" ht="15" hidden="false" customHeight="true" outlineLevel="0" collapsed="false">
      <c r="A11" s="4"/>
      <c r="B11" s="4"/>
      <c r="C11" s="4"/>
      <c r="D11" s="4"/>
      <c r="E11" s="4"/>
      <c r="F11" s="4"/>
    </row>
    <row r="12" customFormat="false" ht="15" hidden="false" customHeight="true" outlineLevel="0" collapsed="false">
      <c r="A12" s="4"/>
      <c r="B12" s="4"/>
      <c r="C12" s="4"/>
      <c r="D12" s="4"/>
      <c r="E12" s="4"/>
      <c r="F12" s="4"/>
    </row>
    <row r="13" customFormat="false" ht="15" hidden="false" customHeight="true" outlineLevel="0" collapsed="false">
      <c r="A13" s="4"/>
      <c r="B13" s="4"/>
      <c r="C13" s="4"/>
      <c r="D13" s="4"/>
      <c r="E13" s="4"/>
      <c r="F13" s="4"/>
    </row>
    <row r="14" customFormat="false" ht="15" hidden="false" customHeight="true" outlineLevel="0" collapsed="false">
      <c r="A14" s="4"/>
      <c r="B14" s="4"/>
      <c r="C14" s="4"/>
      <c r="D14" s="4"/>
      <c r="E14" s="4"/>
      <c r="F14" s="4"/>
    </row>
    <row r="15" customFormat="false" ht="15" hidden="false" customHeight="true" outlineLevel="0" collapsed="false">
      <c r="A15" s="4"/>
      <c r="B15" s="4"/>
      <c r="C15" s="4"/>
      <c r="D15" s="4"/>
      <c r="E15" s="4"/>
      <c r="F15" s="4"/>
    </row>
    <row r="16" customFormat="false" ht="24" hidden="false" customHeight="true" outlineLevel="0" collapsed="false">
      <c r="A16" s="14" t="s">
        <v>3711</v>
      </c>
      <c r="B16" s="14"/>
      <c r="C16" s="14"/>
      <c r="D16" s="14"/>
      <c r="E16" s="14"/>
      <c r="F16" s="14"/>
    </row>
    <row r="17" customFormat="false" ht="21.75" hidden="false" customHeight="true" outlineLevel="0" collapsed="false">
      <c r="A17" s="20" t="s">
        <v>3060</v>
      </c>
      <c r="B17" s="20" t="s">
        <v>3709</v>
      </c>
      <c r="C17" s="20" t="s">
        <v>2278</v>
      </c>
      <c r="D17" s="20" t="s">
        <v>3710</v>
      </c>
      <c r="E17" s="20" t="s">
        <v>3712</v>
      </c>
      <c r="F17" s="20" t="s">
        <v>3713</v>
      </c>
    </row>
    <row r="18" customFormat="false" ht="15" hidden="false" customHeight="true" outlineLevel="0" collapsed="false">
      <c r="A18" s="130" t="str">
        <f aca="false">IFERROR(__xludf.dummyfunction("IF($B$4="""",""Nhập từ khóa vào ô vàng B4 phía trên"",IFERROR(query({'DL09. Học viên'!A4:A500,'DL09. Học viên'!B4:B500,'DL09. Học viên'!C4:C500,'DL09. Học viên'!O4:O500,'DL09. Học viên'!R4:R500,'DL09. Học viên'!S4:S500},""select * where lower(Col2) contai"&amp;"ns lower('""&amp;$B$4&amp;""') or lower(Col3) contains lower('""&amp;$B$4&amp;""')"",0),""Không tìm thấy trong Học viên""))"),"HV001")</f>
        <v>HV001</v>
      </c>
      <c r="B18" s="4" t="str">
        <f aca="false">IFERROR(__xludf.dummyfunction("""COMPUTED_VALUE"""),"Trần Minh Anh")</f>
        <v>Trần Minh Anh</v>
      </c>
      <c r="C18" s="4" t="str">
        <f aca="false">IFERROR(__xludf.dummyfunction("""COMPUTED_VALUE"""),"0902000001")</f>
        <v>0902000001</v>
      </c>
      <c r="D18" s="4" t="str">
        <f aca="false">IFERROR(__xludf.dummyfunction("""COMPUTED_VALUE"""),"active (Đang học)")</f>
        <v>active (Đang học)</v>
      </c>
      <c r="E18" s="4" t="str">
        <f aca="false">IFERROR(__xludf.dummyfunction("""COMPUTED_VALUE"""),"on_track (Đang đều đặn)")</f>
        <v>on_track (Đang đều đặn)</v>
      </c>
      <c r="F18" s="4" t="str">
        <f aca="false">IFERROR(__xludf.dummyfunction("""COMPUTED_VALUE"""),"on_track (Đang tiến bộ)")</f>
        <v>on_track (Đang tiến bộ)</v>
      </c>
    </row>
    <row r="19" customFormat="false" ht="15" hidden="false" customHeight="true" outlineLevel="0" collapsed="false">
      <c r="A19" s="4"/>
      <c r="B19" s="4"/>
      <c r="C19" s="4"/>
      <c r="D19" s="4"/>
      <c r="E19" s="4"/>
      <c r="F19" s="4"/>
    </row>
    <row r="20" customFormat="false" ht="15" hidden="false" customHeight="true" outlineLevel="0" collapsed="false">
      <c r="A20" s="4"/>
      <c r="B20" s="4"/>
      <c r="C20" s="4"/>
      <c r="D20" s="4"/>
      <c r="E20" s="4"/>
      <c r="F20" s="4"/>
    </row>
    <row r="21" customFormat="false" ht="15" hidden="false" customHeight="true" outlineLevel="0" collapsed="false">
      <c r="A21" s="4"/>
      <c r="B21" s="4"/>
      <c r="C21" s="4"/>
      <c r="D21" s="4"/>
      <c r="E21" s="4"/>
      <c r="F21" s="4"/>
    </row>
    <row r="22" customFormat="false" ht="15" hidden="false" customHeight="true" outlineLevel="0" collapsed="false">
      <c r="A22" s="4"/>
      <c r="B22" s="4"/>
      <c r="C22" s="4"/>
      <c r="D22" s="4"/>
      <c r="E22" s="4"/>
      <c r="F22" s="4"/>
    </row>
    <row r="23" customFormat="false" ht="15" hidden="false" customHeight="true" outlineLevel="0" collapsed="false">
      <c r="A23" s="4"/>
      <c r="B23" s="4"/>
      <c r="C23" s="4"/>
      <c r="D23" s="4"/>
      <c r="E23" s="4"/>
      <c r="F23" s="4"/>
    </row>
    <row r="24" customFormat="false" ht="15" hidden="false" customHeight="true" outlineLevel="0" collapsed="false">
      <c r="A24" s="4"/>
      <c r="B24" s="4"/>
      <c r="C24" s="4"/>
      <c r="D24" s="4"/>
      <c r="E24" s="4"/>
      <c r="F24" s="4"/>
    </row>
    <row r="25" customFormat="false" ht="15" hidden="false" customHeight="true" outlineLevel="0" collapsed="false">
      <c r="A25" s="4"/>
      <c r="B25" s="4"/>
      <c r="C25" s="4"/>
      <c r="D25" s="4"/>
      <c r="E25" s="4"/>
      <c r="F25" s="4"/>
    </row>
    <row r="26" customFormat="false" ht="24" hidden="false" customHeight="true" outlineLevel="0" collapsed="false">
      <c r="A26" s="277" t="s">
        <v>3714</v>
      </c>
      <c r="B26" s="277"/>
      <c r="C26" s="277"/>
      <c r="D26" s="277"/>
      <c r="E26" s="277"/>
      <c r="F26" s="277"/>
    </row>
    <row r="27" customFormat="false" ht="21.75" hidden="false" customHeight="true" outlineLevel="0" collapsed="false">
      <c r="A27" s="20" t="s">
        <v>2272</v>
      </c>
      <c r="B27" s="20" t="s">
        <v>3709</v>
      </c>
      <c r="C27" s="20" t="s">
        <v>41</v>
      </c>
      <c r="D27" s="20" t="s">
        <v>2279</v>
      </c>
      <c r="E27" s="20" t="s">
        <v>2278</v>
      </c>
      <c r="F27" s="20" t="s">
        <v>3710</v>
      </c>
    </row>
    <row r="28" customFormat="false" ht="15" hidden="false" customHeight="true" outlineLevel="0" collapsed="false">
      <c r="A28" s="130" t="str">
        <f aca="false">IFERROR(__xludf.dummyfunction("IF($B$4="""",""Nhập từ khóa vào ô vàng B4 phía trên"",IFERROR(query({'DL01. Nhân viên'!A4:A38,'DL01. Nhân viên'!B4:B38,'DL01. Nhân viên'!C4:C38,'DL01. Nhân viên'!E4:E38,'DL01. Nhân viên'!F4:F38,'DL01. Nhân viên'!H4:H38},""select * where lower(Col2) contai"&amp;"ns lower('""&amp;$B$4&amp;""') or lower(Col5) contains lower('""&amp;$B$4&amp;""')"",0),""Không tìm thấy trong Nhân viên""))"),"Không tìm thấy trong Nhân viên")</f>
        <v>Không tìm thấy trong Nhân viên</v>
      </c>
      <c r="B28" s="4"/>
      <c r="C28" s="4"/>
      <c r="D28" s="4"/>
      <c r="E28" s="4"/>
      <c r="F28" s="4"/>
    </row>
    <row r="29" customFormat="false" ht="15" hidden="false" customHeight="true" outlineLevel="0" collapsed="false">
      <c r="A29" s="4"/>
      <c r="B29" s="4"/>
      <c r="C29" s="4"/>
      <c r="D29" s="4"/>
      <c r="E29" s="4"/>
      <c r="F29" s="4"/>
    </row>
    <row r="30" customFormat="false" ht="15" hidden="false" customHeight="true" outlineLevel="0" collapsed="false">
      <c r="A30" s="4"/>
      <c r="B30" s="4"/>
      <c r="C30" s="4"/>
      <c r="D30" s="4"/>
      <c r="E30" s="4"/>
      <c r="F30" s="4"/>
    </row>
    <row r="31" customFormat="false" ht="15" hidden="false" customHeight="true" outlineLevel="0" collapsed="false">
      <c r="A31" s="4"/>
      <c r="B31" s="4"/>
      <c r="C31" s="4"/>
      <c r="D31" s="4"/>
      <c r="E31" s="4"/>
      <c r="F31" s="4"/>
    </row>
    <row r="32" customFormat="false" ht="15" hidden="false" customHeight="true" outlineLevel="0" collapsed="false">
      <c r="A32" s="4"/>
      <c r="B32" s="4"/>
      <c r="C32" s="4"/>
      <c r="D32" s="4"/>
      <c r="E32" s="4"/>
      <c r="F32" s="4"/>
    </row>
    <row r="33" customFormat="false" ht="15" hidden="false" customHeight="true" outlineLevel="0" collapsed="false">
      <c r="A33" s="4"/>
      <c r="B33" s="4"/>
      <c r="C33" s="4"/>
      <c r="D33" s="4"/>
      <c r="E33" s="4"/>
      <c r="F33" s="4"/>
    </row>
    <row r="34" customFormat="false" ht="24" hidden="false" customHeight="true" outlineLevel="0" collapsed="false">
      <c r="A34" s="278" t="str">
        <f aca="false">HYPERLINK("#'HD0. Trang chủ'!A1","Về Trang chủ")</f>
        <v>Về Trang chủ</v>
      </c>
      <c r="B34" s="278"/>
      <c r="C34" s="278"/>
      <c r="D34" s="278"/>
      <c r="E34" s="278"/>
      <c r="F34" s="278"/>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9">
    <mergeCell ref="A1:F1"/>
    <mergeCell ref="A2:F2"/>
    <mergeCell ref="A3:F3"/>
    <mergeCell ref="B4:D4"/>
    <mergeCell ref="E4:F4"/>
    <mergeCell ref="A6:F6"/>
    <mergeCell ref="A16:F16"/>
    <mergeCell ref="A26:F26"/>
    <mergeCell ref="A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H9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zeroHeight="false" outlineLevelRow="0" outlineLevelCol="0"/>
  <cols>
    <col collapsed="false" customWidth="true" hidden="false" outlineLevel="0" max="1" min="1" style="1" width="17.29"/>
    <col collapsed="false" customWidth="true" hidden="false" outlineLevel="0" max="6" min="2" style="1" width="30.29"/>
    <col collapsed="false" customWidth="true" hidden="false" outlineLevel="0" max="7" min="7" style="1" width="8.71"/>
    <col collapsed="false" customWidth="true" hidden="true" outlineLevel="0" max="8" min="8" style="1" width="13"/>
    <col collapsed="false" customWidth="true" hidden="false" outlineLevel="0" max="26" min="9" style="1" width="8.71"/>
  </cols>
  <sheetData>
    <row r="1" customFormat="false" ht="31.5" hidden="false" customHeight="true" outlineLevel="0" collapsed="false">
      <c r="A1" s="257" t="s">
        <v>3715</v>
      </c>
      <c r="B1" s="257"/>
      <c r="C1" s="257"/>
      <c r="D1" s="257"/>
      <c r="E1" s="257"/>
      <c r="F1" s="257"/>
      <c r="G1" s="179"/>
      <c r="H1" s="179"/>
    </row>
    <row r="2" customFormat="false" ht="15" hidden="false" customHeight="true" outlineLevel="0" collapsed="false">
      <c r="A2" s="179"/>
      <c r="B2" s="179"/>
      <c r="C2" s="179"/>
      <c r="D2" s="179"/>
      <c r="E2" s="179"/>
      <c r="F2" s="179"/>
      <c r="G2" s="179"/>
      <c r="H2" s="179"/>
    </row>
    <row r="3" customFormat="false" ht="34.5" hidden="false" customHeight="true" outlineLevel="0" collapsed="false">
      <c r="A3" s="279" t="s">
        <v>3716</v>
      </c>
      <c r="B3" s="279"/>
      <c r="C3" s="280"/>
      <c r="D3" s="280"/>
      <c r="E3" s="280"/>
      <c r="F3" s="281" t="s">
        <v>3717</v>
      </c>
      <c r="G3" s="179"/>
      <c r="H3" s="179"/>
    </row>
    <row r="4" customFormat="false" ht="15" hidden="false" customHeight="true" outlineLevel="0" collapsed="false">
      <c r="A4" s="179"/>
      <c r="B4" s="179"/>
      <c r="C4" s="179"/>
      <c r="D4" s="179"/>
      <c r="E4" s="179"/>
      <c r="F4" s="179"/>
      <c r="G4" s="179"/>
      <c r="H4" s="179"/>
    </row>
    <row r="5" customFormat="false" ht="21.75" hidden="false" customHeight="true" outlineLevel="0" collapsed="false">
      <c r="A5" s="282" t="s">
        <v>3718</v>
      </c>
      <c r="B5" s="282" t="s">
        <v>3167</v>
      </c>
      <c r="C5" s="282" t="s">
        <v>3168</v>
      </c>
      <c r="D5" s="282" t="s">
        <v>3170</v>
      </c>
      <c r="E5" s="282" t="s">
        <v>250</v>
      </c>
      <c r="F5" s="282" t="s">
        <v>2277</v>
      </c>
      <c r="G5" s="179"/>
      <c r="H5" s="179"/>
    </row>
    <row r="6" customFormat="false" ht="15" hidden="false" customHeight="true" outlineLevel="0" collapsed="false">
      <c r="A6" s="238" t="b">
        <f aca="false">FALSE()</f>
        <v>0</v>
      </c>
      <c r="B6" s="138" t="str">
        <f aca="false">IFERROR(__xludf.dummyfunction("IFERROR(INDEX(filter('DL10. Lớp học'!A4:A503,IF($C$3="""",'DL10. Lớp học'!A4:A503&lt;&gt;"""",(ISNUMBER(SEARCH($C$3,'DL10. Lớp học'!A4:A503&amp;""""))+ISNUMBER(SEARCH($C$3,'DL10. Lớp học'!B4:B503&amp;"""")))&gt;0)),1),"""")"),"LOP-FOUND-PLA-01")</f>
        <v>LOP-FOUND-PLA-01</v>
      </c>
      <c r="C6" s="21" t="str">
        <f aca="false">IF($B6="","",IFERROR(VLOOKUP($B6,'DL10. Lớp học'!$A:$O,2,FALSE()),""))</f>
        <v>Foundation PLA T7-CN sáng (06/2026)</v>
      </c>
      <c r="D6" s="21" t="str">
        <f aca="false">IF($B6="","",IFERROR(VLOOKUP($B6,'DL10. Lớp học'!$A:$O,5,FALSE()),""))</f>
        <v>T7 + CN, 9h-12h</v>
      </c>
      <c r="E6" s="21" t="str">
        <f aca="false">IF($B6="","",IFERROR(VLOOKUP($B6,'DL10. Lớp học'!$A:$O,11,FALSE()),""))</f>
        <v>open (Đang tuyển sinh)</v>
      </c>
      <c r="F6" s="21" t="str">
        <f aca="false">IF($B6="","",IFERROR(VLOOKUP($B6,'DL10. Lớp học'!$A:$O,13,FALSE()),""))</f>
        <v>branch_4 (Cơ sở 4)</v>
      </c>
      <c r="G6" s="179"/>
      <c r="H6" s="179"/>
    </row>
    <row r="7" customFormat="false" ht="15" hidden="false" customHeight="true" outlineLevel="0" collapsed="false">
      <c r="A7" s="238" t="b">
        <f aca="false">TRUE()</f>
        <v>1</v>
      </c>
      <c r="B7" s="138" t="str">
        <f aca="false">IFERROR(__xludf.dummyfunction("IFERROR(INDEX(filter('DL10. Lớp học'!A4:A503,IF($C$3="""",'DL10. Lớp học'!A4:A503&lt;&gt;"""",(ISNUMBER(SEARCH($C$3,'DL10. Lớp học'!A4:A503&amp;""""))+ISNUMBER(SEARCH($C$3,'DL10. Lớp học'!B4:B503&amp;"""")))&gt;0)),2),"""")"),"LOP-IELTS-6.5-04")</f>
        <v>LOP-IELTS-6.5-04</v>
      </c>
      <c r="C7" s="21" t="str">
        <f aca="false">IF($B7="","",IFERROR(VLOOKUP($B7,'DL10. Lớp học'!$A:$O,2,FALSE()),""))</f>
        <v>IELTS 6.5 Tối T2-T4-T6 (10/2025)</v>
      </c>
      <c r="D7" s="21" t="str">
        <f aca="false">IF($B7="","",IFERROR(VLOOKUP($B7,'DL10. Lớp học'!$A:$O,5,FALSE()),""))</f>
        <v>T2-T4-T6, 19h-20h30</v>
      </c>
      <c r="E7" s="21" t="str">
        <f aca="false">IF($B7="","",IFERROR(VLOOKUP($B7,'DL10. Lớp học'!$A:$O,11,FALSE()),""))</f>
        <v>in_progress (Đang học)</v>
      </c>
      <c r="F7" s="21" t="str">
        <f aca="false">IF($B7="","",IFERROR(VLOOKUP($B7,'DL10. Lớp học'!$A:$O,13,FALSE()),""))</f>
        <v>branch_1 (Cơ sở 1)</v>
      </c>
      <c r="G7" s="179"/>
      <c r="H7" s="179"/>
    </row>
    <row r="8" customFormat="false" ht="15" hidden="false" customHeight="true" outlineLevel="0" collapsed="false">
      <c r="A8" s="238" t="b">
        <f aca="false">FALSE()</f>
        <v>0</v>
      </c>
      <c r="B8" s="138" t="str">
        <f aca="false">IFERROR(__xludf.dummyfunction("IFERROR(INDEX(filter('DL10. Lớp học'!A4:A503,IF($C$3="""",'DL10. Lớp học'!A4:A503&lt;&gt;"""",(ISNUMBER(SEARCH($C$3,'DL10. Lớp học'!A4:A503&amp;""""))+ISNUMBER(SEARCH($C$3,'DL10. Lớp học'!B4:B503&amp;"""")))&gt;0)),3),"""")"),"LOP-IELTS-6.0-12")</f>
        <v>LOP-IELTS-6.0-12</v>
      </c>
      <c r="C8" s="21" t="str">
        <f aca="false">IF($B8="","",IFERROR(VLOOKUP($B8,'DL10. Lớp học'!$A:$O,2,FALSE()),""))</f>
        <v>IELTS 6.0 Cuối tuần (01/2026)</v>
      </c>
      <c r="D8" s="21" t="str">
        <f aca="false">IF($B8="","",IFERROR(VLOOKUP($B8,'DL10. Lớp học'!$A:$O,5,FALSE()),""))</f>
        <v>T7 + CN, 14h-16h30</v>
      </c>
      <c r="E8" s="21" t="str">
        <f aca="false">IF($B8="","",IFERROR(VLOOKUP($B8,'DL10. Lớp học'!$A:$O,11,FALSE()),""))</f>
        <v>in_progress (Đang học)</v>
      </c>
      <c r="F8" s="21" t="str">
        <f aca="false">IF($B8="","",IFERROR(VLOOKUP($B8,'DL10. Lớp học'!$A:$O,13,FALSE()),""))</f>
        <v>branch_2 (Cơ sở 2)</v>
      </c>
      <c r="G8" s="179"/>
      <c r="H8" s="179"/>
    </row>
    <row r="9" customFormat="false" ht="15" hidden="false" customHeight="true" outlineLevel="0" collapsed="false">
      <c r="A9" s="238" t="b">
        <f aca="false">FALSE()</f>
        <v>0</v>
      </c>
      <c r="B9" s="138" t="str">
        <f aca="false">IFERROR(__xludf.dummyfunction("IFERROR(INDEX(filter('DL10. Lớp học'!A4:A503,IF($C$3="""",'DL10. Lớp học'!A4:A503&lt;&gt;"""",(ISNUMBER(SEARCH($C$3,'DL10. Lớp học'!A4:A503&amp;""""))+ISNUMBER(SEARCH($C$3,'DL10. Lớp học'!B4:B503&amp;"""")))&gt;0)),4),"""")"),"LOP-IELTS-7.0-02")</f>
        <v>LOP-IELTS-7.0-02</v>
      </c>
      <c r="C9" s="21" t="str">
        <f aca="false">IF($B9="","",IFERROR(VLOOKUP($B9,'DL10. Lớp học'!$A:$O,2,FALSE()),""))</f>
        <v>IELTS 7.0+ Tối T3-T5 (02/2026)</v>
      </c>
      <c r="D9" s="21" t="str">
        <f aca="false">IF($B9="","",IFERROR(VLOOKUP($B9,'DL10. Lớp học'!$A:$O,5,FALSE()),""))</f>
        <v>T3-T5, 19h-20h30</v>
      </c>
      <c r="E9" s="21" t="str">
        <f aca="false">IF($B9="","",IFERROR(VLOOKUP($B9,'DL10. Lớp học'!$A:$O,11,FALSE()),""))</f>
        <v>in_progress (Đang học)</v>
      </c>
      <c r="F9" s="21" t="str">
        <f aca="false">IF($B9="","",IFERROR(VLOOKUP($B9,'DL10. Lớp học'!$A:$O,13,FALSE()),""))</f>
        <v>branch_1 (Cơ sở 1)</v>
      </c>
      <c r="G9" s="179"/>
      <c r="H9" s="179"/>
    </row>
    <row r="10" customFormat="false" ht="15" hidden="false" customHeight="true" outlineLevel="0" collapsed="false">
      <c r="A10" s="238" t="b">
        <f aca="false">FALSE()</f>
        <v>0</v>
      </c>
      <c r="B10" s="138" t="str">
        <f aca="false">IFERROR(__xludf.dummyfunction("IFERROR(INDEX(filter('DL10. Lớp học'!A4:A503,IF($C$3="""",'DL10. Lớp học'!A4:A503&lt;&gt;"""",(ISNUMBER(SEARCH($C$3,'DL10. Lớp học'!A4:A503&amp;""""))+ISNUMBER(SEARCH($C$3,'DL10. Lớp học'!B4:B503&amp;"""")))&gt;0)),5),"""")"),"LOP-PRE-06")</f>
        <v>LOP-PRE-06</v>
      </c>
      <c r="C10" s="21" t="str">
        <f aca="false">IF($B10="","",IFERROR(VLOOKUP($B10,'DL10. Lớp học'!$A:$O,2,FALSE()),""))</f>
        <v>Pre-IELTS Buổi tối (06/2026)</v>
      </c>
      <c r="D10" s="21" t="str">
        <f aca="false">IF($B10="","",IFERROR(VLOOKUP($B10,'DL10. Lớp học'!$A:$O,5,FALSE()),""))</f>
        <v>T2-T4-T6, 18h-19h30</v>
      </c>
      <c r="E10" s="21" t="str">
        <f aca="false">IF($B10="","",IFERROR(VLOOKUP($B10,'DL10. Lớp học'!$A:$O,11,FALSE()),""))</f>
        <v>in_progress (Đang học)</v>
      </c>
      <c r="F10" s="21" t="str">
        <f aca="false">IF($B10="","",IFERROR(VLOOKUP($B10,'DL10. Lớp học'!$A:$O,13,FALSE()),""))</f>
        <v>branch_3 (Cơ sở 3)</v>
      </c>
      <c r="G10" s="179"/>
      <c r="H10" s="179"/>
    </row>
    <row r="11" customFormat="false" ht="15" hidden="false" customHeight="true" outlineLevel="0" collapsed="false">
      <c r="A11" s="238" t="b">
        <f aca="false">FALSE()</f>
        <v>0</v>
      </c>
      <c r="B11" s="138" t="str">
        <f aca="false">IFERROR(__xludf.dummyfunction("IFERROR(INDEX(filter('DL10. Lớp học'!A4:A503,IF($C$3="""",'DL10. Lớp học'!A4:A503&lt;&gt;"""",(ISNUMBER(SEARCH($C$3,'DL10. Lớp học'!A4:A503&amp;""""))+ISNUMBER(SEARCH($C$3,'DL10. Lớp học'!B4:B503&amp;"""")))&gt;0)),6),"""")"),"LOP-IELTS-6.0-15")</f>
        <v>LOP-IELTS-6.0-15</v>
      </c>
      <c r="C11" s="21" t="str">
        <f aca="false">IF($B11="","",IFERROR(VLOOKUP($B11,'DL10. Lớp học'!$A:$O,2,FALSE()),""))</f>
        <v>PRIVATE Nguyễn Loan - 36H OFF CN4 (07/2026)</v>
      </c>
      <c r="D11" s="21" t="str">
        <f aca="false">IF($B11="","",IFERROR(VLOOKUP($B11,'DL10. Lớp học'!$A:$O,5,FALSE()),""))</f>
        <v>T2-T4-T6, 19h-20h30</v>
      </c>
      <c r="E11" s="21" t="str">
        <f aca="false">IF($B11="","",IFERROR(VLOOKUP($B11,'DL10. Lớp học'!$A:$O,11,FALSE()),""))</f>
        <v>open (Đang tuyển sinh)</v>
      </c>
      <c r="F11" s="21" t="str">
        <f aca="false">IF($B11="","",IFERROR(VLOOKUP($B11,'DL10. Lớp học'!$A:$O,13,FALSE()),""))</f>
        <v>online (Cơ sở Online)</v>
      </c>
      <c r="G11" s="179"/>
      <c r="H11" s="179"/>
    </row>
    <row r="12" customFormat="false" ht="15" hidden="false" customHeight="true" outlineLevel="0" collapsed="false">
      <c r="A12" s="238" t="b">
        <f aca="false">FALSE()</f>
        <v>0</v>
      </c>
      <c r="B12" s="138" t="str">
        <f aca="false">IFERROR(__xludf.dummyfunction("IFERROR(INDEX(filter('DL10. Lớp học'!A4:A503,IF($C$3="""",'DL10. Lớp học'!A4:A503&lt;&gt;"""",(ISNUMBER(SEARCH($C$3,'DL10. Lớp học'!A4:A503&amp;""""))+ISNUMBER(SEARCH($C$3,'DL10. Lớp học'!B4:B503&amp;"""")))&gt;0)),7),"""")"),"LOP-FOUND-02")</f>
        <v>LOP-FOUND-02</v>
      </c>
      <c r="C12" s="21" t="str">
        <f aca="false">IF($B12="","",IFERROR(VLOOKUP($B12,'DL10. Lớp học'!$A:$O,2,FALSE()),""))</f>
        <v>Foundation Tối T2-T4-T6 (07/2026)</v>
      </c>
      <c r="D12" s="21" t="str">
        <f aca="false">IF($B12="","",IFERROR(VLOOKUP($B12,'DL10. Lớp học'!$A:$O,5,FALSE()),""))</f>
        <v>T2-T4-T6, 19h-20h30</v>
      </c>
      <c r="E12" s="21" t="str">
        <f aca="false">IF($B12="","",IFERROR(VLOOKUP($B12,'DL10. Lớp học'!$A:$O,11,FALSE()),""))</f>
        <v>open (Đang tuyển sinh)</v>
      </c>
      <c r="F12" s="21" t="str">
        <f aca="false">IF($B12="","",IFERROR(VLOOKUP($B12,'DL10. Lớp học'!$A:$O,13,FALSE()),""))</f>
        <v>branch_2 (Cơ sở 2)</v>
      </c>
      <c r="G12" s="179"/>
      <c r="H12" s="179"/>
    </row>
    <row r="13" customFormat="false" ht="15" hidden="false" customHeight="true" outlineLevel="0" collapsed="false">
      <c r="A13" s="238" t="b">
        <f aca="false">FALSE()</f>
        <v>0</v>
      </c>
      <c r="B13" s="138" t="str">
        <f aca="false">IFERROR(__xludf.dummyfunction("IFERROR(INDEX(filter('DL10. Lớp học'!A4:A503,IF($C$3="""",'DL10. Lớp học'!A4:A503&lt;&gt;"""",(ISNUMBER(SEARCH($C$3,'DL10. Lớp học'!A4:A503&amp;""""))+ISNUMBER(SEARCH($C$3,'DL10. Lớp học'!B4:B503&amp;"""")))&gt;0)),8),"""")"),"LOP-IELTS-5.5-01")</f>
        <v>LOP-IELTS-5.5-01</v>
      </c>
      <c r="C13" s="21" t="str">
        <f aca="false">IF($B13="","",IFERROR(VLOOKUP($B13,'DL10. Lớp học'!$A:$O,2,FALSE()),""))</f>
        <v>PRIVATE Ngô Thúy Quỳnh - 48H Online (08/2026)</v>
      </c>
      <c r="D13" s="21" t="str">
        <f aca="false">IF($B13="","",IFERROR(VLOOKUP($B13,'DL10. Lớp học'!$A:$O,5,FALSE()),""))</f>
        <v>T7+CN, 9h-12h</v>
      </c>
      <c r="E13" s="21" t="str">
        <f aca="false">IF($B13="","",IFERROR(VLOOKUP($B13,'DL10. Lớp học'!$A:$O,11,FALSE()),""))</f>
        <v>planning (Đang lên kế hoạch)</v>
      </c>
      <c r="F13" s="21" t="str">
        <f aca="false">IF($B13="","",IFERROR(VLOOKUP($B13,'DL10. Lớp học'!$A:$O,13,FALSE()),""))</f>
        <v>branch_3 (Cơ sở 3)</v>
      </c>
      <c r="G13" s="179"/>
      <c r="H13" s="179"/>
    </row>
    <row r="14" customFormat="false" ht="15" hidden="false" customHeight="true" outlineLevel="0" collapsed="false">
      <c r="A14" s="238" t="b">
        <f aca="false">FALSE()</f>
        <v>0</v>
      </c>
      <c r="B14" s="138" t="str">
        <f aca="false">IFERROR(__xludf.dummyfunction("IFERROR(INDEX(filter('DL10. Lớp học'!A4:A503,IF($C$3="""",'DL10. Lớp học'!A4:A503&lt;&gt;"""",(ISNUMBER(SEARCH($C$3,'DL10. Lớp học'!A4:A503&amp;""""))+ISNUMBER(SEARCH($C$3,'DL10. Lớp học'!B4:B503&amp;"""")))&gt;0)),9),"""")"),"LOP-COMBO-A-01")</f>
        <v>LOP-COMBO-A-01</v>
      </c>
      <c r="C14" s="21" t="str">
        <f aca="false">IF($B14="","",IFERROR(VLOOKUP($B14,'DL10. Lớp học'!$A:$O,2,FALSE()),""))</f>
        <v>Combo Pre+IELTS 6.0 (09/2026)</v>
      </c>
      <c r="D14" s="21" t="str">
        <f aca="false">IF($B14="","",IFERROR(VLOOKUP($B14,'DL10. Lớp học'!$A:$O,5,FALSE()),""))</f>
        <v>T7+CN, 14h-17h</v>
      </c>
      <c r="E14" s="21" t="str">
        <f aca="false">IF($B14="","",IFERROR(VLOOKUP($B14,'DL10. Lớp học'!$A:$O,11,FALSE()),""))</f>
        <v>planning (Đang lên kế hoạch)</v>
      </c>
      <c r="F14" s="21" t="str">
        <f aca="false">IF($B14="","",IFERROR(VLOOKUP($B14,'DL10. Lớp học'!$A:$O,13,FALSE()),""))</f>
        <v>branch_1 (Cơ sở 1)</v>
      </c>
      <c r="G14" s="179"/>
      <c r="H14" s="179"/>
    </row>
    <row r="15" customFormat="false" ht="15" hidden="false" customHeight="true" outlineLevel="0" collapsed="false">
      <c r="A15" s="238" t="b">
        <f aca="false">FALSE()</f>
        <v>0</v>
      </c>
      <c r="B15" s="138" t="str">
        <f aca="false">IFERROR(__xludf.dummyfunction("IFERROR(INDEX(filter('DL10. Lớp học'!A4:A503,IF($C$3="""",'DL10. Lớp học'!A4:A503&lt;&gt;"""",(ISNUMBER(SEARCH($C$3,'DL10. Lớp học'!A4:A503&amp;""""))+ISNUMBER(SEARCH($C$3,'DL10. Lớp học'!B4:B503&amp;"""")))&gt;0)),10),"""")"),"LOP-IELTS-6.5-03")</f>
        <v>LOP-IELTS-6.5-03</v>
      </c>
      <c r="C15" s="21" t="str">
        <f aca="false">IF($B15="","",IFERROR(VLOOKUP($B15,'DL10. Lớp học'!$A:$O,2,FALSE()),""))</f>
        <v>IELTS 6.5 Tối (05/2025)</v>
      </c>
      <c r="D15" s="21" t="str">
        <f aca="false">IF($B15="","",IFERROR(VLOOKUP($B15,'DL10. Lớp học'!$A:$O,5,FALSE()),""))</f>
        <v>T2-T4-T6, 19h-20h30</v>
      </c>
      <c r="E15" s="21" t="str">
        <f aca="false">IF($B15="","",IFERROR(VLOOKUP($B15,'DL10. Lớp học'!$A:$O,11,FALSE()),""))</f>
        <v>finished (Đã kết thúc)</v>
      </c>
      <c r="F15" s="21" t="str">
        <f aca="false">IF($B15="","",IFERROR(VLOOKUP($B15,'DL10. Lớp học'!$A:$O,13,FALSE()),""))</f>
        <v>branch_1 (Cơ sở 1)</v>
      </c>
      <c r="G15" s="179"/>
      <c r="H15" s="179"/>
    </row>
    <row r="16" customFormat="false" ht="15" hidden="false" customHeight="true" outlineLevel="0" collapsed="false">
      <c r="A16" s="238" t="b">
        <f aca="false">FALSE()</f>
        <v>0</v>
      </c>
      <c r="B16" s="138" t="str">
        <f aca="false">IFERROR(__xludf.dummyfunction("IFERROR(INDEX(filter('DL10. Lớp học'!A4:A503,IF($C$3="""",'DL10. Lớp học'!A4:A503&lt;&gt;"""",(ISNUMBER(SEARCH($C$3,'DL10. Lớp học'!A4:A503&amp;""""))+ISNUMBER(SEARCH($C$3,'DL10. Lớp học'!B4:B503&amp;"""")))&gt;0)),11),"""")"),"LOP-FOUND-01")</f>
        <v>LOP-FOUND-01</v>
      </c>
      <c r="C16" s="21" t="str">
        <f aca="false">IF($B16="","",IFERROR(VLOOKUP($B16,'DL10. Lớp học'!$A:$O,2,FALSE()),""))</f>
        <v>Foundation Tối (10/2024)</v>
      </c>
      <c r="D16" s="21" t="str">
        <f aca="false">IF($B16="","",IFERROR(VLOOKUP($B16,'DL10. Lớp học'!$A:$O,5,FALSE()),""))</f>
        <v>T2-T4-T6, 18h-19h30</v>
      </c>
      <c r="E16" s="21" t="str">
        <f aca="false">IF($B16="","",IFERROR(VLOOKUP($B16,'DL10. Lớp học'!$A:$O,11,FALSE()),""))</f>
        <v>finished (Đã kết thúc)</v>
      </c>
      <c r="F16" s="21" t="str">
        <f aca="false">IF($B16="","",IFERROR(VLOOKUP($B16,'DL10. Lớp học'!$A:$O,13,FALSE()),""))</f>
        <v>branch_2 (Cơ sở 2)</v>
      </c>
      <c r="G16" s="179"/>
      <c r="H16" s="179"/>
    </row>
    <row r="17" customFormat="false" ht="15" hidden="false" customHeight="true" outlineLevel="0" collapsed="false">
      <c r="A17" s="238" t="b">
        <f aca="false">FALSE()</f>
        <v>0</v>
      </c>
      <c r="B17" s="138" t="str">
        <f aca="false">IFERROR(__xludf.dummyfunction("IFERROR(INDEX(filter('DL10. Lớp học'!A4:A503,IF($C$3="""",'DL10. Lớp học'!A4:A503&lt;&gt;"""",(ISNUMBER(SEARCH($C$3,'DL10. Lớp học'!A4:A503&amp;""""))+ISNUMBER(SEARCH($C$3,'DL10. Lớp học'!B4:B503&amp;"""")))&gt;0)),12),"""")"),"LOP-IELTS-7.0-01")</f>
        <v>LOP-IELTS-7.0-01</v>
      </c>
      <c r="C17" s="21" t="str">
        <f aca="false">IF($B17="","",IFERROR(VLOOKUP($B17,'DL10. Lớp học'!$A:$O,2,FALSE()),""))</f>
        <v>IELTS 7.0+ Sáng T7-CN (04/2026)</v>
      </c>
      <c r="D17" s="21" t="str">
        <f aca="false">IF($B17="","",IFERROR(VLOOKUP($B17,'DL10. Lớp học'!$A:$O,5,FALSE()),""))</f>
        <v>T7+CN, 9h-12h</v>
      </c>
      <c r="E17" s="21" t="str">
        <f aca="false">IF($B17="","",IFERROR(VLOOKUP($B17,'DL10. Lớp học'!$A:$O,11,FALSE()),""))</f>
        <v>cancelled (Đã hủy)</v>
      </c>
      <c r="F17" s="21" t="str">
        <f aca="false">IF($B17="","",IFERROR(VLOOKUP($B17,'DL10. Lớp học'!$A:$O,13,FALSE()),""))</f>
        <v>branch_4 (Cơ sở 4)</v>
      </c>
      <c r="G17" s="179"/>
      <c r="H17" s="179"/>
    </row>
    <row r="18" customFormat="false" ht="15" hidden="false" customHeight="true" outlineLevel="0" collapsed="false">
      <c r="A18" s="238" t="b">
        <f aca="false">FALSE()</f>
        <v>0</v>
      </c>
      <c r="B18" s="138" t="str">
        <f aca="false">IFERROR(__xludf.dummyfunction("IFERROR(INDEX(filter('DL10. Lớp học'!A4:A503,IF($C$3="""",'DL10. Lớp học'!A4:A503&lt;&gt;"""",(ISNUMBER(SEARCH($C$3,'DL10. Lớp học'!A4:A503&amp;""""))+ISNUMBER(SEARCH($C$3,'DL10. Lớp học'!B4:B503&amp;"""")))&gt;0)),13),"""")"),"")</f>
        <v/>
      </c>
      <c r="C18" s="21" t="str">
        <f aca="false">IF($B18="","",IFERROR(VLOOKUP($B18,'DL10. Lớp học'!$A:$O,2,FALSE()),""))</f>
        <v/>
      </c>
      <c r="D18" s="21" t="str">
        <f aca="false">IF($B18="","",IFERROR(VLOOKUP($B18,'DL10. Lớp học'!$A:$O,5,FALSE()),""))</f>
        <v/>
      </c>
      <c r="E18" s="21" t="str">
        <f aca="false">IF($B18="","",IFERROR(VLOOKUP($B18,'DL10. Lớp học'!$A:$O,11,FALSE()),""))</f>
        <v/>
      </c>
      <c r="F18" s="21" t="str">
        <f aca="false">IF($B18="","",IFERROR(VLOOKUP($B18,'DL10. Lớp học'!$A:$O,13,FALSE()),""))</f>
        <v/>
      </c>
      <c r="G18" s="179"/>
      <c r="H18" s="179"/>
    </row>
    <row r="19" customFormat="false" ht="15" hidden="false" customHeight="true" outlineLevel="0" collapsed="false">
      <c r="A19" s="238" t="b">
        <f aca="false">FALSE()</f>
        <v>0</v>
      </c>
      <c r="B19" s="138" t="str">
        <f aca="false">IFERROR(__xludf.dummyfunction("IFERROR(INDEX(filter('DL10. Lớp học'!A4:A503,IF($C$3="""",'DL10. Lớp học'!A4:A503&lt;&gt;"""",(ISNUMBER(SEARCH($C$3,'DL10. Lớp học'!A4:A503&amp;""""))+ISNUMBER(SEARCH($C$3,'DL10. Lớp học'!B4:B503&amp;"""")))&gt;0)),14),"""")"),"")</f>
        <v/>
      </c>
      <c r="C19" s="21" t="str">
        <f aca="false">IF($B19="","",IFERROR(VLOOKUP($B19,'DL10. Lớp học'!$A:$O,2,FALSE()),""))</f>
        <v/>
      </c>
      <c r="D19" s="21" t="str">
        <f aca="false">IF($B19="","",IFERROR(VLOOKUP($B19,'DL10. Lớp học'!$A:$O,5,FALSE()),""))</f>
        <v/>
      </c>
      <c r="E19" s="21" t="str">
        <f aca="false">IF($B19="","",IFERROR(VLOOKUP($B19,'DL10. Lớp học'!$A:$O,11,FALSE()),""))</f>
        <v/>
      </c>
      <c r="F19" s="21" t="str">
        <f aca="false">IF($B19="","",IFERROR(VLOOKUP($B19,'DL10. Lớp học'!$A:$O,13,FALSE()),""))</f>
        <v/>
      </c>
      <c r="G19" s="179"/>
      <c r="H19" s="179"/>
    </row>
    <row r="20" customFormat="false" ht="15" hidden="false" customHeight="true" outlineLevel="0" collapsed="false">
      <c r="A20" s="238" t="b">
        <f aca="false">FALSE()</f>
        <v>0</v>
      </c>
      <c r="B20" s="138" t="str">
        <f aca="false">IFERROR(__xludf.dummyfunction("IFERROR(INDEX(filter('DL10. Lớp học'!A4:A503,IF($C$3="""",'DL10. Lớp học'!A4:A503&lt;&gt;"""",(ISNUMBER(SEARCH($C$3,'DL10. Lớp học'!A4:A503&amp;""""))+ISNUMBER(SEARCH($C$3,'DL10. Lớp học'!B4:B503&amp;"""")))&gt;0)),15),"""")"),"")</f>
        <v/>
      </c>
      <c r="C20" s="21" t="str">
        <f aca="false">IF($B20="","",IFERROR(VLOOKUP($B20,'DL10. Lớp học'!$A:$O,2,FALSE()),""))</f>
        <v/>
      </c>
      <c r="D20" s="21" t="str">
        <f aca="false">IF($B20="","",IFERROR(VLOOKUP($B20,'DL10. Lớp học'!$A:$O,5,FALSE()),""))</f>
        <v/>
      </c>
      <c r="E20" s="21" t="str">
        <f aca="false">IF($B20="","",IFERROR(VLOOKUP($B20,'DL10. Lớp học'!$A:$O,11,FALSE()),""))</f>
        <v/>
      </c>
      <c r="F20" s="21" t="str">
        <f aca="false">IF($B20="","",IFERROR(VLOOKUP($B20,'DL10. Lớp học'!$A:$O,13,FALSE()),""))</f>
        <v/>
      </c>
      <c r="G20" s="179"/>
      <c r="H20" s="179"/>
    </row>
    <row r="21" customFormat="false" ht="15" hidden="false" customHeight="true" outlineLevel="0" collapsed="false">
      <c r="A21" s="179"/>
      <c r="B21" s="179"/>
      <c r="C21" s="179"/>
      <c r="D21" s="179"/>
      <c r="E21" s="179"/>
      <c r="F21" s="179"/>
      <c r="G21" s="179"/>
      <c r="H21" s="179"/>
    </row>
    <row r="22" customFormat="false" ht="15" hidden="false" customHeight="true" outlineLevel="0" collapsed="false">
      <c r="A22" s="156" t="s">
        <v>3719</v>
      </c>
      <c r="B22" s="156"/>
      <c r="C22" s="283" t="str">
        <f aca="false" t="array" ref="C22:C22">IF((IFERROR(INDEX(B6:B20,MATCH(TRUE(),A6:A20,0)),""))="","",(IFERROR(INDEX(B6:B20,MATCH(TRUE(),A6:A20,0)),""))&amp;" - "&amp;IFERROR(VLOOKUP((IFERROR(INDEX(B6:B20,MATCH(TRUE(),A6:A20,0)),"")),'DL10. Lớp học'!$A:$O,2,FALSE()),""))</f>
        <v>LOP-IELTS-6.5-04 - IELTS 6.5 Tối T2-T4-T6 (10/2025)</v>
      </c>
      <c r="D22" s="283"/>
      <c r="E22" s="283"/>
      <c r="F22" s="283"/>
      <c r="G22" s="179"/>
      <c r="H22" s="179" t="str">
        <f aca="false" t="array" ref="H22:H22">IFERROR(INDEX(B6:B20,MATCH(TRUE(),A6:A20,0)),"")</f>
        <v>LOP-IELTS-6.5-04</v>
      </c>
    </row>
    <row r="23" customFormat="false" ht="15" hidden="false" customHeight="true" outlineLevel="0" collapsed="false">
      <c r="A23" s="179"/>
      <c r="B23" s="179"/>
      <c r="C23" s="179"/>
      <c r="D23" s="179"/>
      <c r="E23" s="179"/>
      <c r="F23" s="179"/>
      <c r="G23" s="179"/>
      <c r="H23" s="179"/>
    </row>
    <row r="24" customFormat="false" ht="35.25" hidden="false" customHeight="true" outlineLevel="0" collapsed="false">
      <c r="A24" s="284" t="s">
        <v>3720</v>
      </c>
      <c r="B24" s="284"/>
      <c r="C24" s="284"/>
      <c r="D24" s="284"/>
      <c r="E24" s="284"/>
      <c r="F24" s="284"/>
      <c r="G24" s="179"/>
      <c r="H24" s="179"/>
    </row>
    <row r="25" customFormat="false" ht="19.5" hidden="false" customHeight="true" outlineLevel="0" collapsed="false">
      <c r="A25" s="79" t="s">
        <v>3167</v>
      </c>
      <c r="B25" s="21" t="str">
        <f aca="false">IF($H$22="","(chưa chọn)",IFERROR(VLOOKUP($H$22,'DL10. Lớp học'!$A:$O,1,FALSE()),""))</f>
        <v>LOP-IELTS-6.5-04</v>
      </c>
      <c r="C25" s="21"/>
      <c r="D25" s="21"/>
      <c r="E25" s="21"/>
      <c r="F25" s="21"/>
      <c r="G25" s="179"/>
      <c r="H25" s="179"/>
    </row>
    <row r="26" customFormat="false" ht="19.5" hidden="false" customHeight="true" outlineLevel="0" collapsed="false">
      <c r="A26" s="79" t="s">
        <v>3168</v>
      </c>
      <c r="B26" s="21" t="str">
        <f aca="false">IF($H$22="","(chưa chọn)",IFERROR(VLOOKUP($H$22,'DL10. Lớp học'!$A:$O,2,FALSE()),""))</f>
        <v>IELTS 6.5 Tối T2-T4-T6 (10/2025)</v>
      </c>
      <c r="C26" s="21"/>
      <c r="D26" s="21"/>
      <c r="E26" s="21"/>
      <c r="F26" s="21"/>
      <c r="G26" s="179"/>
      <c r="H26" s="179"/>
    </row>
    <row r="27" customFormat="false" ht="19.5" hidden="false" customHeight="true" outlineLevel="0" collapsed="false">
      <c r="A27" s="79" t="s">
        <v>2780</v>
      </c>
      <c r="B27" s="80" t="str">
        <f aca="false">IF($H$22="","(chưa chọn)",IFERROR(VLOOKUP($H$22,'DL10. Lớp học'!$A:$O,3,FALSE()),""))</f>
        <v>CRS-IELTS-6.5</v>
      </c>
      <c r="C27" s="80"/>
      <c r="D27" s="80"/>
      <c r="E27" s="80"/>
      <c r="F27" s="80"/>
      <c r="G27" s="179"/>
      <c r="H27" s="179"/>
    </row>
    <row r="28" customFormat="false" ht="19.5" hidden="false" customHeight="true" outlineLevel="0" collapsed="false">
      <c r="A28" s="79" t="s">
        <v>3169</v>
      </c>
      <c r="B28" s="21" t="str">
        <f aca="false">IF($H$22="","(chưa chọn)",IFERROR(VLOOKUP($H$22,'DL10. Lớp học'!$A:$O,4,FALSE()),""))</f>
        <v>IELTS_6.5 (Mục tiêu 6.5)</v>
      </c>
      <c r="C28" s="21"/>
      <c r="D28" s="21"/>
      <c r="E28" s="21"/>
      <c r="F28" s="21"/>
      <c r="G28" s="179"/>
      <c r="H28" s="179"/>
    </row>
    <row r="29" customFormat="false" ht="19.5" hidden="false" customHeight="true" outlineLevel="0" collapsed="false">
      <c r="A29" s="79" t="s">
        <v>3170</v>
      </c>
      <c r="B29" s="21" t="str">
        <f aca="false">IF($H$22="","(chưa chọn)",IFERROR(VLOOKUP($H$22,'DL10. Lớp học'!$A:$O,5,FALSE()),""))</f>
        <v>T2-T4-T6, 19h-20h30</v>
      </c>
      <c r="C29" s="21"/>
      <c r="D29" s="21"/>
      <c r="E29" s="21"/>
      <c r="F29" s="21"/>
      <c r="G29" s="179"/>
      <c r="H29" s="179"/>
    </row>
    <row r="30" customFormat="false" ht="19.5" hidden="false" customHeight="true" outlineLevel="0" collapsed="false">
      <c r="A30" s="79" t="s">
        <v>3171</v>
      </c>
      <c r="B30" s="21" t="n">
        <f aca="false">IF($H$22="","(chưa chọn)",IFERROR(VLOOKUP($H$22,'DL10. Lớp học'!$A:$O,6,FALSE()),""))</f>
        <v>45945</v>
      </c>
      <c r="C30" s="21"/>
      <c r="D30" s="21"/>
      <c r="E30" s="21"/>
      <c r="F30" s="21"/>
      <c r="G30" s="179"/>
      <c r="H30" s="179"/>
    </row>
    <row r="31" customFormat="false" ht="19.5" hidden="false" customHeight="true" outlineLevel="0" collapsed="false">
      <c r="A31" s="79" t="s">
        <v>3172</v>
      </c>
      <c r="B31" s="21" t="n">
        <f aca="false">IF($H$22="","(chưa chọn)",IFERROR(VLOOKUP($H$22,'DL10. Lớp học'!$A:$O,7,FALSE()),""))</f>
        <v>46068</v>
      </c>
      <c r="C31" s="21"/>
      <c r="D31" s="21"/>
      <c r="E31" s="21"/>
      <c r="F31" s="21"/>
      <c r="G31" s="179"/>
      <c r="H31" s="179"/>
    </row>
    <row r="32" customFormat="false" ht="19.5" hidden="false" customHeight="true" outlineLevel="0" collapsed="false">
      <c r="A32" s="79" t="s">
        <v>3721</v>
      </c>
      <c r="B32" s="80" t="str">
        <f aca="false">IF($H$22="","(chưa chọn)",IFERROR(VLOOKUP($H$22,'DL10. Lớp học'!$A:$O,8,FALSE()),""))</f>
        <v>NV006</v>
      </c>
      <c r="C32" s="80"/>
      <c r="D32" s="80"/>
      <c r="E32" s="80"/>
      <c r="F32" s="80"/>
      <c r="G32" s="179"/>
      <c r="H32" s="179"/>
    </row>
    <row r="33" customFormat="false" ht="19.5" hidden="false" customHeight="true" outlineLevel="0" collapsed="false">
      <c r="A33" s="285" t="s">
        <v>3722</v>
      </c>
      <c r="B33" s="286" t="n">
        <f aca="false">IF($H$22="","(chưa chọn)",IFERROR(VLOOKUP($H$22,'DL10. Lớp học'!$A:$O,9,FALSE()),""))</f>
        <v>15</v>
      </c>
      <c r="C33" s="179"/>
      <c r="D33" s="179"/>
      <c r="E33" s="179"/>
      <c r="F33" s="179"/>
      <c r="G33" s="179"/>
      <c r="H33" s="179"/>
    </row>
    <row r="34" customFormat="false" ht="35.25" hidden="false" customHeight="true" outlineLevel="0" collapsed="false">
      <c r="A34" s="284" t="s">
        <v>3723</v>
      </c>
      <c r="B34" s="284"/>
      <c r="C34" s="284"/>
      <c r="D34" s="284"/>
      <c r="E34" s="284"/>
      <c r="F34" s="284"/>
      <c r="G34" s="179"/>
      <c r="H34" s="179"/>
    </row>
    <row r="35" customFormat="false" ht="19.5" hidden="false" customHeight="true" outlineLevel="0" collapsed="false">
      <c r="A35" s="287" t="s">
        <v>3060</v>
      </c>
      <c r="B35" s="287" t="s">
        <v>3724</v>
      </c>
      <c r="C35" s="287" t="s">
        <v>3005</v>
      </c>
      <c r="D35" s="179"/>
      <c r="E35" s="179"/>
      <c r="F35" s="179"/>
      <c r="G35" s="179"/>
      <c r="H35" s="179"/>
    </row>
    <row r="36" customFormat="false" ht="24" hidden="false" customHeight="true" outlineLevel="0" collapsed="false">
      <c r="A36" s="288" t="str">
        <f aca="false">IFERROR(__xludf.dummyfunction("IFERROR(INDEX(filter('DL08. Xếp lớp &amp; Nhập học'!C4:C500,'DL08. Xếp lớp &amp; Nhập học'!H4:H500=$H$22),1),"""")"),"HV002")</f>
        <v>HV002</v>
      </c>
      <c r="B36" s="21" t="str">
        <f aca="false">IF($A36="","",IFERROR(VLOOKUP($A36,'DL09. Học viên'!A:B,2,FALSE()),""))</f>
        <v>Lê Thị Bích Ngọc</v>
      </c>
      <c r="C36" s="21" t="str">
        <f aca="false">IFERROR(__xludf.dummyfunction("IFERROR(INDEX(filter('DL08. Xếp lớp &amp; Nhập học'!K4:K500,'DL08. Xếp lớp &amp; Nhập học'!H4:H500=$H$22),1),"""")"),"completed (Hoàn thành)")</f>
        <v>completed (Hoàn thành)</v>
      </c>
      <c r="D36" s="179"/>
      <c r="E36" s="179"/>
      <c r="F36" s="179"/>
      <c r="G36" s="179"/>
      <c r="H36" s="179"/>
    </row>
    <row r="37" customFormat="false" ht="24" hidden="false" customHeight="true" outlineLevel="0" collapsed="false">
      <c r="A37" s="288" t="str">
        <f aca="false">IFERROR(__xludf.dummyfunction("IFERROR(INDEX(filter('DL08. Xếp lớp &amp; Nhập học'!C4:C500,'DL08. Xếp lớp &amp; Nhập học'!H4:H500=$H$22),2),"""")"),"HV011")</f>
        <v>HV011</v>
      </c>
      <c r="B37" s="21" t="str">
        <f aca="false">IF($A37="","",IFERROR(VLOOKUP($A37,'DL09. Học viên'!A:B,2,FALSE()),""))</f>
        <v>Phan Đức Minh</v>
      </c>
      <c r="C37" s="21" t="str">
        <f aca="false">IFERROR(__xludf.dummyfunction("IFERROR(INDEX(filter('DL08. Xếp lớp &amp; Nhập học'!K4:K500,'DL08. Xếp lớp &amp; Nhập học'!H4:H500=$H$22),2),"""")"),"completed (Hoàn thành)")</f>
        <v>completed (Hoàn thành)</v>
      </c>
      <c r="D37" s="179"/>
      <c r="E37" s="179"/>
      <c r="F37" s="179"/>
      <c r="G37" s="179"/>
      <c r="H37" s="179"/>
    </row>
    <row r="38" customFormat="false" ht="24" hidden="false" customHeight="true" outlineLevel="0" collapsed="false">
      <c r="A38" s="138" t="str">
        <f aca="false">IFERROR(__xludf.dummyfunction("IFERROR(INDEX(filter('DL08. Xếp lớp &amp; Nhập học'!C4:C500,'DL08. Xếp lớp &amp; Nhập học'!H4:H500=$H$22),3),"""")"),"")</f>
        <v/>
      </c>
      <c r="B38" s="21" t="str">
        <f aca="false">IF($A38="","",IFERROR(VLOOKUP($A38,'DL09. Học viên'!A:B,2,FALSE()),""))</f>
        <v/>
      </c>
      <c r="C38" s="21" t="str">
        <f aca="false">IFERROR(__xludf.dummyfunction("IFERROR(INDEX(filter('DL08. Xếp lớp &amp; Nhập học'!K4:K500,'DL08. Xếp lớp &amp; Nhập học'!H4:H500=$H$22),3),"""")"),"")</f>
        <v/>
      </c>
      <c r="D38" s="179"/>
      <c r="E38" s="179"/>
      <c r="F38" s="179"/>
      <c r="G38" s="179"/>
      <c r="H38" s="179"/>
    </row>
    <row r="39" customFormat="false" ht="24" hidden="false" customHeight="true" outlineLevel="0" collapsed="false">
      <c r="A39" s="138" t="str">
        <f aca="false">IFERROR(__xludf.dummyfunction("IFERROR(INDEX(filter('DL08. Xếp lớp &amp; Nhập học'!C4:C500,'DL08. Xếp lớp &amp; Nhập học'!H4:H500=$H$22),4),"""")"),"")</f>
        <v/>
      </c>
      <c r="B39" s="21" t="str">
        <f aca="false">IF($A39="","",IFERROR(VLOOKUP($A39,'DL09. Học viên'!A:B,2,FALSE()),""))</f>
        <v/>
      </c>
      <c r="C39" s="21" t="str">
        <f aca="false">IFERROR(__xludf.dummyfunction("IFERROR(INDEX(filter('DL08. Xếp lớp &amp; Nhập học'!K4:K500,'DL08. Xếp lớp &amp; Nhập học'!H4:H500=$H$22),4),"""")"),"")</f>
        <v/>
      </c>
      <c r="D39" s="179"/>
      <c r="E39" s="179"/>
      <c r="F39" s="179"/>
      <c r="G39" s="179"/>
      <c r="H39" s="179"/>
    </row>
    <row r="40" customFormat="false" ht="24" hidden="false" customHeight="true" outlineLevel="0" collapsed="false">
      <c r="A40" s="138" t="str">
        <f aca="false">IFERROR(__xludf.dummyfunction("IFERROR(INDEX(filter('DL08. Xếp lớp &amp; Nhập học'!C4:C500,'DL08. Xếp lớp &amp; Nhập học'!H4:H500=$H$22),5),"""")"),"")</f>
        <v/>
      </c>
      <c r="B40" s="21" t="str">
        <f aca="false">IF($A40="","",IFERROR(VLOOKUP($A40,'DL09. Học viên'!A:B,2,FALSE()),""))</f>
        <v/>
      </c>
      <c r="C40" s="21" t="str">
        <f aca="false">IFERROR(__xludf.dummyfunction("IFERROR(INDEX(filter('DL08. Xếp lớp &amp; Nhập học'!K4:K500,'DL08. Xếp lớp &amp; Nhập học'!H4:H500=$H$22),5),"""")"),"")</f>
        <v/>
      </c>
      <c r="D40" s="179"/>
      <c r="E40" s="179"/>
      <c r="F40" s="179"/>
      <c r="G40" s="179"/>
      <c r="H40" s="179"/>
    </row>
    <row r="41" customFormat="false" ht="24" hidden="false" customHeight="true" outlineLevel="0" collapsed="false">
      <c r="A41" s="138" t="str">
        <f aca="false">IFERROR(__xludf.dummyfunction("IFERROR(INDEX(filter('DL08. Xếp lớp &amp; Nhập học'!C4:C500,'DL08. Xếp lớp &amp; Nhập học'!H4:H500=$H$22),6),"""")"),"")</f>
        <v/>
      </c>
      <c r="B41" s="21" t="str">
        <f aca="false">IF($A41="","",IFERROR(VLOOKUP($A41,'DL09. Học viên'!A:B,2,FALSE()),""))</f>
        <v/>
      </c>
      <c r="C41" s="21" t="str">
        <f aca="false">IFERROR(__xludf.dummyfunction("IFERROR(INDEX(filter('DL08. Xếp lớp &amp; Nhập học'!K4:K500,'DL08. Xếp lớp &amp; Nhập học'!H4:H500=$H$22),6),"""")"),"")</f>
        <v/>
      </c>
      <c r="D41" s="179"/>
      <c r="E41" s="179"/>
      <c r="F41" s="179"/>
      <c r="G41" s="179"/>
      <c r="H41" s="179"/>
    </row>
    <row r="42" customFormat="false" ht="24" hidden="false" customHeight="true" outlineLevel="0" collapsed="false">
      <c r="A42" s="138" t="str">
        <f aca="false">IFERROR(__xludf.dummyfunction("IFERROR(INDEX(filter('DL08. Xếp lớp &amp; Nhập học'!C4:C500,'DL08. Xếp lớp &amp; Nhập học'!H4:H500=$H$22),7),"""")"),"")</f>
        <v/>
      </c>
      <c r="B42" s="21" t="str">
        <f aca="false">IF($A42="","",IFERROR(VLOOKUP($A42,'DL09. Học viên'!A:B,2,FALSE()),""))</f>
        <v/>
      </c>
      <c r="C42" s="21" t="str">
        <f aca="false">IFERROR(__xludf.dummyfunction("IFERROR(INDEX(filter('DL08. Xếp lớp &amp; Nhập học'!K4:K500,'DL08. Xếp lớp &amp; Nhập học'!H4:H500=$H$22),7),"""")"),"")</f>
        <v/>
      </c>
      <c r="D42" s="179"/>
      <c r="E42" s="179"/>
      <c r="F42" s="179"/>
      <c r="G42" s="179"/>
      <c r="H42" s="179"/>
    </row>
    <row r="43" customFormat="false" ht="24" hidden="false" customHeight="true" outlineLevel="0" collapsed="false">
      <c r="A43" s="138" t="str">
        <f aca="false">IFERROR(__xludf.dummyfunction("IFERROR(INDEX(filter('DL08. Xếp lớp &amp; Nhập học'!C4:C500,'DL08. Xếp lớp &amp; Nhập học'!H4:H500=$H$22),8),"""")"),"")</f>
        <v/>
      </c>
      <c r="B43" s="21" t="str">
        <f aca="false">IF($A43="","",IFERROR(VLOOKUP($A43,'DL09. Học viên'!A:B,2,FALSE()),""))</f>
        <v/>
      </c>
      <c r="C43" s="21" t="str">
        <f aca="false">IFERROR(__xludf.dummyfunction("IFERROR(INDEX(filter('DL08. Xếp lớp &amp; Nhập học'!K4:K500,'DL08. Xếp lớp &amp; Nhập học'!H4:H500=$H$22),8),"""")"),"")</f>
        <v/>
      </c>
      <c r="D43" s="179"/>
      <c r="E43" s="179"/>
      <c r="F43" s="179"/>
      <c r="G43" s="179"/>
      <c r="H43" s="179"/>
    </row>
    <row r="44" customFormat="false" ht="24" hidden="false" customHeight="true" outlineLevel="0" collapsed="false">
      <c r="A44" s="138" t="str">
        <f aca="false">IFERROR(__xludf.dummyfunction("IFERROR(INDEX(filter('DL08. Xếp lớp &amp; Nhập học'!C4:C500,'DL08. Xếp lớp &amp; Nhập học'!H4:H500=$H$22),9),"""")"),"")</f>
        <v/>
      </c>
      <c r="B44" s="21" t="str">
        <f aca="false">IF($A44="","",IFERROR(VLOOKUP($A44,'DL09. Học viên'!A:B,2,FALSE()),""))</f>
        <v/>
      </c>
      <c r="C44" s="21" t="str">
        <f aca="false">IFERROR(__xludf.dummyfunction("IFERROR(INDEX(filter('DL08. Xếp lớp &amp; Nhập học'!K4:K500,'DL08. Xếp lớp &amp; Nhập học'!H4:H500=$H$22),9),"""")"),"")</f>
        <v/>
      </c>
      <c r="D44" s="179"/>
      <c r="E44" s="179"/>
      <c r="F44" s="179"/>
      <c r="G44" s="179"/>
      <c r="H44" s="179"/>
    </row>
    <row r="45" customFormat="false" ht="24" hidden="false" customHeight="true" outlineLevel="0" collapsed="false">
      <c r="A45" s="138" t="str">
        <f aca="false">IFERROR(__xludf.dummyfunction("IFERROR(INDEX(filter('DL08. Xếp lớp &amp; Nhập học'!C4:C500,'DL08. Xếp lớp &amp; Nhập học'!H4:H500=$H$22),10),"""")"),"")</f>
        <v/>
      </c>
      <c r="B45" s="21" t="str">
        <f aca="false">IF($A45="","",IFERROR(VLOOKUP($A45,'DL09. Học viên'!A:B,2,FALSE()),""))</f>
        <v/>
      </c>
      <c r="C45" s="21" t="str">
        <f aca="false">IFERROR(__xludf.dummyfunction("IFERROR(INDEX(filter('DL08. Xếp lớp &amp; Nhập học'!K4:K500,'DL08. Xếp lớp &amp; Nhập học'!H4:H500=$H$22),10),"""")"),"")</f>
        <v/>
      </c>
      <c r="D45" s="179"/>
      <c r="E45" s="179"/>
      <c r="F45" s="179"/>
      <c r="G45" s="179"/>
      <c r="H45" s="179"/>
    </row>
    <row r="46" customFormat="false" ht="24" hidden="false" customHeight="true" outlineLevel="0" collapsed="false">
      <c r="A46" s="138" t="str">
        <f aca="false">IFERROR(__xludf.dummyfunction("IFERROR(INDEX(filter('DL08. Xếp lớp &amp; Nhập học'!C4:C500,'DL08. Xếp lớp &amp; Nhập học'!H4:H500=$H$22),11),"""")"),"")</f>
        <v/>
      </c>
      <c r="B46" s="21" t="str">
        <f aca="false">IF($A46="","",IFERROR(VLOOKUP($A46,'DL09. Học viên'!A:B,2,FALSE()),""))</f>
        <v/>
      </c>
      <c r="C46" s="21" t="str">
        <f aca="false">IFERROR(__xludf.dummyfunction("IFERROR(INDEX(filter('DL08. Xếp lớp &amp; Nhập học'!K4:K500,'DL08. Xếp lớp &amp; Nhập học'!H4:H500=$H$22),11),"""")"),"")</f>
        <v/>
      </c>
      <c r="D46" s="179"/>
      <c r="E46" s="179"/>
      <c r="F46" s="179"/>
      <c r="G46" s="179"/>
      <c r="H46" s="179"/>
    </row>
    <row r="47" customFormat="false" ht="24" hidden="false" customHeight="true" outlineLevel="0" collapsed="false">
      <c r="A47" s="138" t="str">
        <f aca="false">IFERROR(__xludf.dummyfunction("IFERROR(INDEX(filter('DL08. Xếp lớp &amp; Nhập học'!C4:C500,'DL08. Xếp lớp &amp; Nhập học'!H4:H500=$H$22),12),"""")"),"")</f>
        <v/>
      </c>
      <c r="B47" s="21" t="str">
        <f aca="false">IF($A47="","",IFERROR(VLOOKUP($A47,'DL09. Học viên'!A:B,2,FALSE()),""))</f>
        <v/>
      </c>
      <c r="C47" s="21" t="str">
        <f aca="false">IFERROR(__xludf.dummyfunction("IFERROR(INDEX(filter('DL08. Xếp lớp &amp; Nhập học'!K4:K500,'DL08. Xếp lớp &amp; Nhập học'!H4:H500=$H$22),12),"""")"),"")</f>
        <v/>
      </c>
      <c r="D47" s="179"/>
      <c r="E47" s="79" t="s">
        <v>3725</v>
      </c>
      <c r="F47" s="289" t="n">
        <f aca="false">IF($H$22="","",COUNTIF('DL11. Buổi học'!B:B,$H$22))</f>
        <v>3</v>
      </c>
      <c r="G47" s="179"/>
      <c r="H47" s="179"/>
    </row>
    <row r="48" customFormat="false" ht="24" hidden="false" customHeight="true" outlineLevel="0" collapsed="false">
      <c r="A48" s="179"/>
      <c r="B48" s="179"/>
      <c r="C48" s="179"/>
      <c r="D48" s="179"/>
      <c r="E48" s="79" t="s">
        <v>3726</v>
      </c>
      <c r="F48" s="289" t="n">
        <f aca="false">IF($H$22="","",COUNTIF('DL18. Kết thúc khóa'!D:D,$H$22))</f>
        <v>1</v>
      </c>
      <c r="G48" s="179"/>
      <c r="H48" s="179"/>
    </row>
    <row r="49" customFormat="false" ht="35.25" hidden="false" customHeight="true" outlineLevel="0" collapsed="false">
      <c r="A49" s="290" t="s">
        <v>3727</v>
      </c>
      <c r="B49" s="290"/>
      <c r="C49" s="290"/>
      <c r="D49" s="290"/>
      <c r="E49" s="290"/>
      <c r="F49" s="290"/>
      <c r="G49" s="179"/>
      <c r="H49" s="179"/>
    </row>
    <row r="50" customFormat="false" ht="19.5" hidden="false" customHeight="true" outlineLevel="0" collapsed="false">
      <c r="A50" s="282" t="s">
        <v>3247</v>
      </c>
      <c r="B50" s="282" t="s">
        <v>3249</v>
      </c>
      <c r="C50" s="282" t="s">
        <v>3250</v>
      </c>
      <c r="D50" s="282" t="s">
        <v>313</v>
      </c>
      <c r="E50" s="282" t="s">
        <v>250</v>
      </c>
      <c r="F50" s="282" t="s">
        <v>3256</v>
      </c>
      <c r="G50" s="179"/>
      <c r="H50" s="179"/>
    </row>
    <row r="51" customFormat="false" ht="18" hidden="false" customHeight="true" outlineLevel="0" collapsed="false">
      <c r="A51" s="21" t="str">
        <f aca="false">IFERROR(__xludf.dummyfunction("IF($H$22="""","""",IFERROR(INDEX(filter('DL11. Buổi học'!A4:A503,'DL11. Buổi học'!B4:B503=$H$22),1),""""))"),"SES-008")</f>
        <v>SES-008</v>
      </c>
      <c r="B51" s="138" t="n">
        <f aca="false">IFERROR(__xludf.dummyfunction("IF($H$22="""","""",IFERROR(INDEX(filter('DL11. Buổi học'!C4:C503,'DL11. Buổi học'!B4:B503=$H$22),1),""""))"),12)</f>
        <v>12</v>
      </c>
      <c r="C51" s="291" t="n">
        <f aca="false">IFERROR(__xludf.dummyfunction("IF($H$22="""","""",IFERROR(INDEX(filter('DL11. Buổi học'!D4:D503,'DL11. Buổi học'!B4:B503=$H$22),1),""""))"),46194.75)</f>
        <v>46194.75</v>
      </c>
      <c r="D51" s="288" t="str">
        <f aca="false">IFERROR(__xludf.dummyfunction("IF($H$22="""","""",IFERROR(INDEX(filter('DL11. Buổi học'!I4:I503,'DL11. Buổi học'!B4:B503=$H$22),1),""""))"),"NV006")</f>
        <v>NV006</v>
      </c>
      <c r="E51" s="21" t="str">
        <f aca="false">IFERROR(__xludf.dummyfunction("IF($H$22="""","""",IFERROR(INDEX(filter('DL11. Buổi học'!J4:J503,'DL11. Buổi học'!B4:B503=$H$22),1),""""))"),"completed (Đã hoàn thành)")</f>
        <v>completed (Đã hoàn thành)</v>
      </c>
      <c r="F51" s="238" t="b">
        <f aca="false">IFERROR(__xludf.dummyfunction("IF($H$22="""","""",IFERROR(INDEX(filter('DL11. Buổi học'!K4:K503,'DL11. Buổi học'!B4:B503=$H$22),1),""""))"),TRUE())</f>
        <v>1</v>
      </c>
      <c r="G51" s="179"/>
      <c r="H51" s="179"/>
    </row>
    <row r="52" customFormat="false" ht="18" hidden="false" customHeight="true" outlineLevel="0" collapsed="false">
      <c r="A52" s="21" t="str">
        <f aca="false">IFERROR(__xludf.dummyfunction("IF($H$22="""","""",IFERROR(INDEX(filter('DL11. Buổi học'!A4:A503,'DL11. Buổi học'!B4:B503=$H$22),2),""""))"),"SES-018")</f>
        <v>SES-018</v>
      </c>
      <c r="B52" s="138" t="n">
        <f aca="false">IFERROR(__xludf.dummyfunction("IF($H$22="""","""",IFERROR(INDEX(filter('DL11. Buổi học'!C4:C503,'DL11. Buổi học'!B4:B503=$H$22),2),""""))"),13)</f>
        <v>13</v>
      </c>
      <c r="C52" s="291" t="n">
        <f aca="false">IFERROR(__xludf.dummyfunction("IF($H$22="""","""",IFERROR(INDEX(filter('DL11. Buổi học'!D4:D503,'DL11. Buổi học'!B4:B503=$H$22),2),""""))"),46201.75)</f>
        <v>46201.75</v>
      </c>
      <c r="D52" s="288" t="str">
        <f aca="false">IFERROR(__xludf.dummyfunction("IF($H$22="""","""",IFERROR(INDEX(filter('DL11. Buổi học'!I4:I503,'DL11. Buổi học'!B4:B503=$H$22),2),""""))"),"NV006")</f>
        <v>NV006</v>
      </c>
      <c r="E52" s="21" t="str">
        <f aca="false">IFERROR(__xludf.dummyfunction("IF($H$22="""","""",IFERROR(INDEX(filter('DL11. Buổi học'!J4:J503,'DL11. Buổi học'!B4:B503=$H$22),2),""""))"),"completed (Đã hoàn thành)")</f>
        <v>completed (Đã hoàn thành)</v>
      </c>
      <c r="F52" s="238" t="b">
        <f aca="false">IFERROR(__xludf.dummyfunction("IF($H$22="""","""",IFERROR(INDEX(filter('DL11. Buổi học'!K4:K503,'DL11. Buổi học'!B4:B503=$H$22),2),""""))"),TRUE())</f>
        <v>1</v>
      </c>
      <c r="G52" s="179"/>
      <c r="H52" s="179"/>
    </row>
    <row r="53" customFormat="false" ht="18" hidden="false" customHeight="true" outlineLevel="0" collapsed="false">
      <c r="A53" s="21" t="str">
        <f aca="false">IFERROR(__xludf.dummyfunction("IF($H$22="""","""",IFERROR(INDEX(filter('DL11. Buổi học'!A4:A503,'DL11. Buổi học'!B4:B503=$H$22),3),""""))"),"SES-019")</f>
        <v>SES-019</v>
      </c>
      <c r="B53" s="138" t="n">
        <f aca="false">IFERROR(__xludf.dummyfunction("IF($H$22="""","""",IFERROR(INDEX(filter('DL11. Buổi học'!C4:C503,'DL11. Buổi học'!B4:B503=$H$22),3),""""))"),14)</f>
        <v>14</v>
      </c>
      <c r="C53" s="291" t="n">
        <f aca="false">IFERROR(__xludf.dummyfunction("IF($H$22="""","""",IFERROR(INDEX(filter('DL11. Buổi học'!D4:D503,'DL11. Buổi học'!B4:B503=$H$22),3),""""))"),46205.75)</f>
        <v>46205.75</v>
      </c>
      <c r="D53" s="288" t="str">
        <f aca="false">IFERROR(__xludf.dummyfunction("IF($H$22="""","""",IFERROR(INDEX(filter('DL11. Buổi học'!I4:I503,'DL11. Buổi học'!B4:B503=$H$22),3),""""))"),"NV006")</f>
        <v>NV006</v>
      </c>
      <c r="E53" s="21" t="str">
        <f aca="false">IFERROR(__xludf.dummyfunction("IF($H$22="""","""",IFERROR(INDEX(filter('DL11. Buổi học'!J4:J503,'DL11. Buổi học'!B4:B503=$H$22),3),""""))"),"completed (Đã hoàn thành)")</f>
        <v>completed (Đã hoàn thành)</v>
      </c>
      <c r="F53" s="238" t="b">
        <f aca="false">IFERROR(__xludf.dummyfunction("IF($H$22="""","""",IFERROR(INDEX(filter('DL11. Buổi học'!K4:K503,'DL11. Buổi học'!B4:B503=$H$22),3),""""))"),TRUE())</f>
        <v>1</v>
      </c>
      <c r="G53" s="179"/>
      <c r="H53" s="179"/>
    </row>
    <row r="54" customFormat="false" ht="18" hidden="false" customHeight="true" outlineLevel="0" collapsed="false">
      <c r="A54" s="21" t="str">
        <f aca="false">IFERROR(__xludf.dummyfunction("IF($H$22="""","""",IFERROR(INDEX(filter('DL11. Buổi học'!A4:A503,'DL11. Buổi học'!B4:B503=$H$22),4),""""))"),"")</f>
        <v/>
      </c>
      <c r="B54" s="138" t="str">
        <f aca="false">IFERROR(__xludf.dummyfunction("IF($H$22="""","""",IFERROR(INDEX(filter('DL11. Buổi học'!C4:C503,'DL11. Buổi học'!B4:B503=$H$22),4),""""))"),"")</f>
        <v/>
      </c>
      <c r="C54" s="291" t="str">
        <f aca="false">IFERROR(__xludf.dummyfunction("IF($H$22="""","""",IFERROR(INDEX(filter('DL11. Buổi học'!D4:D503,'DL11. Buổi học'!B4:B503=$H$22),4),""""))"),"")</f>
        <v/>
      </c>
      <c r="D54" s="138" t="str">
        <f aca="false">IFERROR(__xludf.dummyfunction("IF($H$22="""","""",IFERROR(INDEX(filter('DL11. Buổi học'!I4:I503,'DL11. Buổi học'!B4:B503=$H$22),4),""""))"),"")</f>
        <v/>
      </c>
      <c r="E54" s="21" t="str">
        <f aca="false">IFERROR(__xludf.dummyfunction("IF($H$22="""","""",IFERROR(INDEX(filter('DL11. Buổi học'!J4:J503,'DL11. Buổi học'!B4:B503=$H$22),4),""""))"),"")</f>
        <v/>
      </c>
      <c r="F54" s="138" t="str">
        <f aca="false">IFERROR(__xludf.dummyfunction("IF($H$22="""","""",IFERROR(INDEX(filter('DL11. Buổi học'!K4:K503,'DL11. Buổi học'!B4:B503=$H$22),4),""""))"),"")</f>
        <v/>
      </c>
      <c r="G54" s="179"/>
      <c r="H54" s="179"/>
    </row>
    <row r="55" customFormat="false" ht="18" hidden="false" customHeight="true" outlineLevel="0" collapsed="false">
      <c r="A55" s="21" t="str">
        <f aca="false">IFERROR(__xludf.dummyfunction("IF($H$22="""","""",IFERROR(INDEX(filter('DL11. Buổi học'!A4:A503,'DL11. Buổi học'!B4:B503=$H$22),5),""""))"),"")</f>
        <v/>
      </c>
      <c r="B55" s="138" t="str">
        <f aca="false">IFERROR(__xludf.dummyfunction("IF($H$22="""","""",IFERROR(INDEX(filter('DL11. Buổi học'!C4:C503,'DL11. Buổi học'!B4:B503=$H$22),5),""""))"),"")</f>
        <v/>
      </c>
      <c r="C55" s="291" t="str">
        <f aca="false">IFERROR(__xludf.dummyfunction("IF($H$22="""","""",IFERROR(INDEX(filter('DL11. Buổi học'!D4:D503,'DL11. Buổi học'!B4:B503=$H$22),5),""""))"),"")</f>
        <v/>
      </c>
      <c r="D55" s="138" t="str">
        <f aca="false">IFERROR(__xludf.dummyfunction("IF($H$22="""","""",IFERROR(INDEX(filter('DL11. Buổi học'!I4:I503,'DL11. Buổi học'!B4:B503=$H$22),5),""""))"),"")</f>
        <v/>
      </c>
      <c r="E55" s="21" t="str">
        <f aca="false">IFERROR(__xludf.dummyfunction("IF($H$22="""","""",IFERROR(INDEX(filter('DL11. Buổi học'!J4:J503,'DL11. Buổi học'!B4:B503=$H$22),5),""""))"),"")</f>
        <v/>
      </c>
      <c r="F55" s="138" t="str">
        <f aca="false">IFERROR(__xludf.dummyfunction("IF($H$22="""","""",IFERROR(INDEX(filter('DL11. Buổi học'!K4:K503,'DL11. Buổi học'!B4:B503=$H$22),5),""""))"),"")</f>
        <v/>
      </c>
      <c r="G55" s="179"/>
      <c r="H55" s="179"/>
    </row>
    <row r="56" customFormat="false" ht="18" hidden="false" customHeight="true" outlineLevel="0" collapsed="false">
      <c r="A56" s="21" t="str">
        <f aca="false">IFERROR(__xludf.dummyfunction("IF($H$22="""","""",IFERROR(INDEX(filter('DL11. Buổi học'!A4:A503,'DL11. Buổi học'!B4:B503=$H$22),6),""""))"),"")</f>
        <v/>
      </c>
      <c r="B56" s="138" t="str">
        <f aca="false">IFERROR(__xludf.dummyfunction("IF($H$22="""","""",IFERROR(INDEX(filter('DL11. Buổi học'!C4:C503,'DL11. Buổi học'!B4:B503=$H$22),6),""""))"),"")</f>
        <v/>
      </c>
      <c r="C56" s="291" t="str">
        <f aca="false">IFERROR(__xludf.dummyfunction("IF($H$22="""","""",IFERROR(INDEX(filter('DL11. Buổi học'!D4:D503,'DL11. Buổi học'!B4:B503=$H$22),6),""""))"),"")</f>
        <v/>
      </c>
      <c r="D56" s="138" t="str">
        <f aca="false">IFERROR(__xludf.dummyfunction("IF($H$22="""","""",IFERROR(INDEX(filter('DL11. Buổi học'!I4:I503,'DL11. Buổi học'!B4:B503=$H$22),6),""""))"),"")</f>
        <v/>
      </c>
      <c r="E56" s="21" t="str">
        <f aca="false">IFERROR(__xludf.dummyfunction("IF($H$22="""","""",IFERROR(INDEX(filter('DL11. Buổi học'!J4:J503,'DL11. Buổi học'!B4:B503=$H$22),6),""""))"),"")</f>
        <v/>
      </c>
      <c r="F56" s="138" t="str">
        <f aca="false">IFERROR(__xludf.dummyfunction("IF($H$22="""","""",IFERROR(INDEX(filter('DL11. Buổi học'!K4:K503,'DL11. Buổi học'!B4:B503=$H$22),6),""""))"),"")</f>
        <v/>
      </c>
      <c r="G56" s="179"/>
      <c r="H56" s="179"/>
    </row>
    <row r="57" customFormat="false" ht="18" hidden="false" customHeight="true" outlineLevel="0" collapsed="false">
      <c r="A57" s="21" t="str">
        <f aca="false">IFERROR(__xludf.dummyfunction("IF($H$22="""","""",IFERROR(INDEX(filter('DL11. Buổi học'!A4:A503,'DL11. Buổi học'!B4:B503=$H$22),7),""""))"),"")</f>
        <v/>
      </c>
      <c r="B57" s="138" t="str">
        <f aca="false">IFERROR(__xludf.dummyfunction("IF($H$22="""","""",IFERROR(INDEX(filter('DL11. Buổi học'!C4:C503,'DL11. Buổi học'!B4:B503=$H$22),7),""""))"),"")</f>
        <v/>
      </c>
      <c r="C57" s="291" t="str">
        <f aca="false">IFERROR(__xludf.dummyfunction("IF($H$22="""","""",IFERROR(INDEX(filter('DL11. Buổi học'!D4:D503,'DL11. Buổi học'!B4:B503=$H$22),7),""""))"),"")</f>
        <v/>
      </c>
      <c r="D57" s="138" t="str">
        <f aca="false">IFERROR(__xludf.dummyfunction("IF($H$22="""","""",IFERROR(INDEX(filter('DL11. Buổi học'!I4:I503,'DL11. Buổi học'!B4:B503=$H$22),7),""""))"),"")</f>
        <v/>
      </c>
      <c r="E57" s="21" t="str">
        <f aca="false">IFERROR(__xludf.dummyfunction("IF($H$22="""","""",IFERROR(INDEX(filter('DL11. Buổi học'!J4:J503,'DL11. Buổi học'!B4:B503=$H$22),7),""""))"),"")</f>
        <v/>
      </c>
      <c r="F57" s="138" t="str">
        <f aca="false">IFERROR(__xludf.dummyfunction("IF($H$22="""","""",IFERROR(INDEX(filter('DL11. Buổi học'!K4:K503,'DL11. Buổi học'!B4:B503=$H$22),7),""""))"),"")</f>
        <v/>
      </c>
      <c r="G57" s="179"/>
      <c r="H57" s="179"/>
    </row>
    <row r="58" customFormat="false" ht="18" hidden="false" customHeight="true" outlineLevel="0" collapsed="false">
      <c r="A58" s="21" t="str">
        <f aca="false">IFERROR(__xludf.dummyfunction("IF($H$22="""","""",IFERROR(INDEX(filter('DL11. Buổi học'!A4:A503,'DL11. Buổi học'!B4:B503=$H$22),8),""""))"),"")</f>
        <v/>
      </c>
      <c r="B58" s="138" t="str">
        <f aca="false">IFERROR(__xludf.dummyfunction("IF($H$22="""","""",IFERROR(INDEX(filter('DL11. Buổi học'!C4:C503,'DL11. Buổi học'!B4:B503=$H$22),8),""""))"),"")</f>
        <v/>
      </c>
      <c r="C58" s="291" t="str">
        <f aca="false">IFERROR(__xludf.dummyfunction("IF($H$22="""","""",IFERROR(INDEX(filter('DL11. Buổi học'!D4:D503,'DL11. Buổi học'!B4:B503=$H$22),8),""""))"),"")</f>
        <v/>
      </c>
      <c r="D58" s="138" t="str">
        <f aca="false">IFERROR(__xludf.dummyfunction("IF($H$22="""","""",IFERROR(INDEX(filter('DL11. Buổi học'!I4:I503,'DL11. Buổi học'!B4:B503=$H$22),8),""""))"),"")</f>
        <v/>
      </c>
      <c r="E58" s="21" t="str">
        <f aca="false">IFERROR(__xludf.dummyfunction("IF($H$22="""","""",IFERROR(INDEX(filter('DL11. Buổi học'!J4:J503,'DL11. Buổi học'!B4:B503=$H$22),8),""""))"),"")</f>
        <v/>
      </c>
      <c r="F58" s="138" t="str">
        <f aca="false">IFERROR(__xludf.dummyfunction("IF($H$22="""","""",IFERROR(INDEX(filter('DL11. Buổi học'!K4:K503,'DL11. Buổi học'!B4:B503=$H$22),8),""""))"),"")</f>
        <v/>
      </c>
      <c r="G58" s="179"/>
      <c r="H58" s="179"/>
    </row>
    <row r="59" customFormat="false" ht="18" hidden="false" customHeight="true" outlineLevel="0" collapsed="false">
      <c r="A59" s="21" t="str">
        <f aca="false">IFERROR(__xludf.dummyfunction("IF($H$22="""","""",IFERROR(INDEX(filter('DL11. Buổi học'!A4:A503,'DL11. Buổi học'!B4:B503=$H$22),9),""""))"),"")</f>
        <v/>
      </c>
      <c r="B59" s="138" t="str">
        <f aca="false">IFERROR(__xludf.dummyfunction("IF($H$22="""","""",IFERROR(INDEX(filter('DL11. Buổi học'!C4:C503,'DL11. Buổi học'!B4:B503=$H$22),9),""""))"),"")</f>
        <v/>
      </c>
      <c r="C59" s="291" t="str">
        <f aca="false">IFERROR(__xludf.dummyfunction("IF($H$22="""","""",IFERROR(INDEX(filter('DL11. Buổi học'!D4:D503,'DL11. Buổi học'!B4:B503=$H$22),9),""""))"),"")</f>
        <v/>
      </c>
      <c r="D59" s="138" t="str">
        <f aca="false">IFERROR(__xludf.dummyfunction("IF($H$22="""","""",IFERROR(INDEX(filter('DL11. Buổi học'!I4:I503,'DL11. Buổi học'!B4:B503=$H$22),9),""""))"),"")</f>
        <v/>
      </c>
      <c r="E59" s="21" t="str">
        <f aca="false">IFERROR(__xludf.dummyfunction("IF($H$22="""","""",IFERROR(INDEX(filter('DL11. Buổi học'!J4:J503,'DL11. Buổi học'!B4:B503=$H$22),9),""""))"),"")</f>
        <v/>
      </c>
      <c r="F59" s="138" t="str">
        <f aca="false">IFERROR(__xludf.dummyfunction("IF($H$22="""","""",IFERROR(INDEX(filter('DL11. Buổi học'!K4:K503,'DL11. Buổi học'!B4:B503=$H$22),9),""""))"),"")</f>
        <v/>
      </c>
      <c r="G59" s="179"/>
      <c r="H59" s="179"/>
    </row>
    <row r="60" customFormat="false" ht="18" hidden="false" customHeight="true" outlineLevel="0" collapsed="false">
      <c r="A60" s="21" t="str">
        <f aca="false">IFERROR(__xludf.dummyfunction("IF($H$22="""","""",IFERROR(INDEX(filter('DL11. Buổi học'!A4:A503,'DL11. Buổi học'!B4:B503=$H$22),10),""""))"),"")</f>
        <v/>
      </c>
      <c r="B60" s="138" t="str">
        <f aca="false">IFERROR(__xludf.dummyfunction("IF($H$22="""","""",IFERROR(INDEX(filter('DL11. Buổi học'!C4:C503,'DL11. Buổi học'!B4:B503=$H$22),10),""""))"),"")</f>
        <v/>
      </c>
      <c r="C60" s="291" t="str">
        <f aca="false">IFERROR(__xludf.dummyfunction("IF($H$22="""","""",IFERROR(INDEX(filter('DL11. Buổi học'!D4:D503,'DL11. Buổi học'!B4:B503=$H$22),10),""""))"),"")</f>
        <v/>
      </c>
      <c r="D60" s="138" t="str">
        <f aca="false">IFERROR(__xludf.dummyfunction("IF($H$22="""","""",IFERROR(INDEX(filter('DL11. Buổi học'!I4:I503,'DL11. Buổi học'!B4:B503=$H$22),10),""""))"),"")</f>
        <v/>
      </c>
      <c r="E60" s="21" t="str">
        <f aca="false">IFERROR(__xludf.dummyfunction("IF($H$22="""","""",IFERROR(INDEX(filter('DL11. Buổi học'!J4:J503,'DL11. Buổi học'!B4:B503=$H$22),10),""""))"),"")</f>
        <v/>
      </c>
      <c r="F60" s="138" t="str">
        <f aca="false">IFERROR(__xludf.dummyfunction("IF($H$22="""","""",IFERROR(INDEX(filter('DL11. Buổi học'!K4:K503,'DL11. Buổi học'!B4:B503=$H$22),10),""""))"),"")</f>
        <v/>
      </c>
      <c r="G60" s="179"/>
      <c r="H60" s="179"/>
    </row>
    <row r="61" customFormat="false" ht="15" hidden="false" customHeight="true" outlineLevel="0" collapsed="false">
      <c r="A61" s="179"/>
      <c r="B61" s="179"/>
      <c r="C61" s="179"/>
      <c r="D61" s="179"/>
      <c r="E61" s="179"/>
      <c r="F61" s="179"/>
      <c r="G61" s="179"/>
      <c r="H61" s="179"/>
    </row>
    <row r="62" customFormat="false" ht="35.25" hidden="false" customHeight="true" outlineLevel="0" collapsed="false">
      <c r="A62" s="290" t="s">
        <v>3728</v>
      </c>
      <c r="B62" s="290"/>
      <c r="C62" s="290"/>
      <c r="D62" s="290"/>
      <c r="E62" s="290"/>
      <c r="F62" s="290"/>
      <c r="G62" s="179"/>
      <c r="H62" s="179"/>
    </row>
    <row r="63" customFormat="false" ht="19.5" hidden="false" customHeight="true" outlineLevel="0" collapsed="false">
      <c r="A63" s="287" t="s">
        <v>3060</v>
      </c>
      <c r="B63" s="287" t="s">
        <v>3729</v>
      </c>
      <c r="C63" s="287" t="s">
        <v>3730</v>
      </c>
      <c r="D63" s="287" t="s">
        <v>3731</v>
      </c>
      <c r="E63" s="179"/>
      <c r="F63" s="179"/>
      <c r="G63" s="179"/>
      <c r="H63" s="179"/>
    </row>
    <row r="64" customFormat="false" ht="18" hidden="false" customHeight="true" outlineLevel="0" collapsed="false">
      <c r="A64" s="80" t="str">
        <f aca="false">IFERROR(__xludf.dummyfunction("IF($H$22="""","""",IFERROR(INDEX(filter('DL18. Kết thúc khóa'!B4:B503,'DL18. Kết thúc khóa'!D4:D503=$H$22),1),""""))"),"HV002")</f>
        <v>HV002</v>
      </c>
      <c r="B64" s="255" t="n">
        <f aca="false">IFERROR(__xludf.dummyfunction("IF($H$22="""","""",IFERROR(INDEX(filter('DL18. Kết thúc khóa'!G4:G503,'DL18. Kết thúc khóa'!D4:D503=$H$22),1),""""))"),1)</f>
        <v>1</v>
      </c>
      <c r="C64" s="21" t="str">
        <f aca="false">IFERROR(__xludf.dummyfunction("IF($H$22="""","""",IFERROR(INDEX(filter('DL18. Kết thúc khóa'!I4:I503,'DL18. Kết thúc khóa'!D4:D503=$H$22),1),""""))"),"")</f>
        <v/>
      </c>
      <c r="D64" s="21" t="str">
        <f aca="false">IFERROR(__xludf.dummyfunction("IF($H$22="""","""",IFERROR(INDEX(filter('DL18. Kết thúc khóa'!O4:O503,'DL18. Kết thúc khóa'!D4:D503=$H$22),1),""""))"),"")</f>
        <v/>
      </c>
      <c r="E64" s="179"/>
      <c r="F64" s="179"/>
      <c r="G64" s="179"/>
      <c r="H64" s="179"/>
    </row>
    <row r="65" customFormat="false" ht="18" hidden="false" customHeight="true" outlineLevel="0" collapsed="false">
      <c r="A65" s="21" t="str">
        <f aca="false">IFERROR(__xludf.dummyfunction("IF($H$22="""","""",IFERROR(INDEX(filter('DL18. Kết thúc khóa'!B4:B503,'DL18. Kết thúc khóa'!D4:D503=$H$22),2),""""))"),"")</f>
        <v/>
      </c>
      <c r="B65" s="255" t="str">
        <f aca="false">IFERROR(__xludf.dummyfunction("IF($H$22="""","""",IFERROR(INDEX(filter('DL18. Kết thúc khóa'!G4:G503,'DL18. Kết thúc khóa'!D4:D503=$H$22),2),""""))"),"")</f>
        <v/>
      </c>
      <c r="C65" s="21" t="str">
        <f aca="false">IFERROR(__xludf.dummyfunction("IF($H$22="""","""",IFERROR(INDEX(filter('DL18. Kết thúc khóa'!I4:I503,'DL18. Kết thúc khóa'!D4:D503=$H$22),2),""""))"),"")</f>
        <v/>
      </c>
      <c r="D65" s="21" t="str">
        <f aca="false">IFERROR(__xludf.dummyfunction("IF($H$22="""","""",IFERROR(INDEX(filter('DL18. Kết thúc khóa'!O4:O503,'DL18. Kết thúc khóa'!D4:D503=$H$22),2),""""))"),"")</f>
        <v/>
      </c>
      <c r="E65" s="179"/>
      <c r="F65" s="179"/>
      <c r="G65" s="179"/>
      <c r="H65" s="179"/>
    </row>
    <row r="66" customFormat="false" ht="18" hidden="false" customHeight="true" outlineLevel="0" collapsed="false">
      <c r="A66" s="21" t="str">
        <f aca="false">IFERROR(__xludf.dummyfunction("IF($H$22="""","""",IFERROR(INDEX(filter('DL18. Kết thúc khóa'!B4:B503,'DL18. Kết thúc khóa'!D4:D503=$H$22),3),""""))"),"")</f>
        <v/>
      </c>
      <c r="B66" s="255" t="str">
        <f aca="false">IFERROR(__xludf.dummyfunction("IF($H$22="""","""",IFERROR(INDEX(filter('DL18. Kết thúc khóa'!G4:G503,'DL18. Kết thúc khóa'!D4:D503=$H$22),3),""""))"),"")</f>
        <v/>
      </c>
      <c r="C66" s="21" t="str">
        <f aca="false">IFERROR(__xludf.dummyfunction("IF($H$22="""","""",IFERROR(INDEX(filter('DL18. Kết thúc khóa'!I4:I503,'DL18. Kết thúc khóa'!D4:D503=$H$22),3),""""))"),"")</f>
        <v/>
      </c>
      <c r="D66" s="21" t="str">
        <f aca="false">IFERROR(__xludf.dummyfunction("IF($H$22="""","""",IFERROR(INDEX(filter('DL18. Kết thúc khóa'!O4:O503,'DL18. Kết thúc khóa'!D4:D503=$H$22),3),""""))"),"")</f>
        <v/>
      </c>
      <c r="E66" s="179"/>
      <c r="F66" s="179"/>
      <c r="G66" s="179"/>
      <c r="H66" s="179"/>
    </row>
    <row r="67" customFormat="false" ht="18" hidden="false" customHeight="true" outlineLevel="0" collapsed="false">
      <c r="A67" s="21" t="str">
        <f aca="false">IFERROR(__xludf.dummyfunction("IF($H$22="""","""",IFERROR(INDEX(filter('DL18. Kết thúc khóa'!B4:B503,'DL18. Kết thúc khóa'!D4:D503=$H$22),4),""""))"),"")</f>
        <v/>
      </c>
      <c r="B67" s="255" t="str">
        <f aca="false">IFERROR(__xludf.dummyfunction("IF($H$22="""","""",IFERROR(INDEX(filter('DL18. Kết thúc khóa'!G4:G503,'DL18. Kết thúc khóa'!D4:D503=$H$22),4),""""))"),"")</f>
        <v/>
      </c>
      <c r="C67" s="21" t="str">
        <f aca="false">IFERROR(__xludf.dummyfunction("IF($H$22="""","""",IFERROR(INDEX(filter('DL18. Kết thúc khóa'!I4:I503,'DL18. Kết thúc khóa'!D4:D503=$H$22),4),""""))"),"")</f>
        <v/>
      </c>
      <c r="D67" s="21" t="str">
        <f aca="false">IFERROR(__xludf.dummyfunction("IF($H$22="""","""",IFERROR(INDEX(filter('DL18. Kết thúc khóa'!O4:O503,'DL18. Kết thúc khóa'!D4:D503=$H$22),4),""""))"),"")</f>
        <v/>
      </c>
      <c r="E67" s="179"/>
      <c r="F67" s="179"/>
      <c r="G67" s="179"/>
      <c r="H67" s="179"/>
    </row>
    <row r="68" customFormat="false" ht="18" hidden="false" customHeight="true" outlineLevel="0" collapsed="false">
      <c r="A68" s="21" t="str">
        <f aca="false">IFERROR(__xludf.dummyfunction("IF($H$22="""","""",IFERROR(INDEX(filter('DL18. Kết thúc khóa'!B4:B503,'DL18. Kết thúc khóa'!D4:D503=$H$22),5),""""))"),"")</f>
        <v/>
      </c>
      <c r="B68" s="255" t="str">
        <f aca="false">IFERROR(__xludf.dummyfunction("IF($H$22="""","""",IFERROR(INDEX(filter('DL18. Kết thúc khóa'!G4:G503,'DL18. Kết thúc khóa'!D4:D503=$H$22),5),""""))"),"")</f>
        <v/>
      </c>
      <c r="C68" s="21" t="str">
        <f aca="false">IFERROR(__xludf.dummyfunction("IF($H$22="""","""",IFERROR(INDEX(filter('DL18. Kết thúc khóa'!I4:I503,'DL18. Kết thúc khóa'!D4:D503=$H$22),5),""""))"),"")</f>
        <v/>
      </c>
      <c r="D68" s="21" t="str">
        <f aca="false">IFERROR(__xludf.dummyfunction("IF($H$22="""","""",IFERROR(INDEX(filter('DL18. Kết thúc khóa'!O4:O503,'DL18. Kết thúc khóa'!D4:D503=$H$22),5),""""))"),"")</f>
        <v/>
      </c>
      <c r="E68" s="179"/>
      <c r="F68" s="179"/>
      <c r="G68" s="179"/>
      <c r="H68" s="179"/>
    </row>
    <row r="69" customFormat="false" ht="18" hidden="false" customHeight="true" outlineLevel="0" collapsed="false">
      <c r="A69" s="21" t="str">
        <f aca="false">IFERROR(__xludf.dummyfunction("IF($H$22="""","""",IFERROR(INDEX(filter('DL18. Kết thúc khóa'!B4:B503,'DL18. Kết thúc khóa'!D4:D503=$H$22),6),""""))"),"")</f>
        <v/>
      </c>
      <c r="B69" s="255" t="str">
        <f aca="false">IFERROR(__xludf.dummyfunction("IF($H$22="""","""",IFERROR(INDEX(filter('DL18. Kết thúc khóa'!G4:G503,'DL18. Kết thúc khóa'!D4:D503=$H$22),6),""""))"),"")</f>
        <v/>
      </c>
      <c r="C69" s="21" t="str">
        <f aca="false">IFERROR(__xludf.dummyfunction("IF($H$22="""","""",IFERROR(INDEX(filter('DL18. Kết thúc khóa'!I4:I503,'DL18. Kết thúc khóa'!D4:D503=$H$22),6),""""))"),"")</f>
        <v/>
      </c>
      <c r="D69" s="21" t="str">
        <f aca="false">IFERROR(__xludf.dummyfunction("IF($H$22="""","""",IFERROR(INDEX(filter('DL18. Kết thúc khóa'!O4:O503,'DL18. Kết thúc khóa'!D4:D503=$H$22),6),""""))"),"")</f>
        <v/>
      </c>
      <c r="E69" s="179"/>
      <c r="F69" s="179"/>
      <c r="G69" s="179"/>
      <c r="H69" s="179"/>
    </row>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sheetData>
  <mergeCells count="17">
    <mergeCell ref="A1:F1"/>
    <mergeCell ref="A3:B3"/>
    <mergeCell ref="C3:E3"/>
    <mergeCell ref="A22:B22"/>
    <mergeCell ref="C22:F22"/>
    <mergeCell ref="A24:F24"/>
    <mergeCell ref="B25:F25"/>
    <mergeCell ref="B26:F26"/>
    <mergeCell ref="B27:F27"/>
    <mergeCell ref="B28:F28"/>
    <mergeCell ref="B29:F29"/>
    <mergeCell ref="B30:F30"/>
    <mergeCell ref="B31:F31"/>
    <mergeCell ref="B32:F32"/>
    <mergeCell ref="A34:F34"/>
    <mergeCell ref="A49:F49"/>
    <mergeCell ref="A62:F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zeroHeight="false" outlineLevelRow="0" outlineLevelCol="0"/>
  <cols>
    <col collapsed="false" customWidth="true" hidden="false" outlineLevel="0" max="2" min="1" style="1" width="28.43"/>
    <col collapsed="false" customWidth="true" hidden="false" outlineLevel="0" max="6" min="3" style="1" width="27.29"/>
    <col collapsed="false" customWidth="true" hidden="false" outlineLevel="0" max="7" min="7" style="1" width="8.71"/>
    <col collapsed="false" customWidth="true" hidden="true" outlineLevel="0" max="8" min="8" style="1" width="13"/>
    <col collapsed="false" customWidth="true" hidden="false" outlineLevel="0" max="26" min="9" style="1" width="8.71"/>
  </cols>
  <sheetData>
    <row r="1" customFormat="false" ht="31.5" hidden="false" customHeight="true" outlineLevel="0" collapsed="false">
      <c r="A1" s="257" t="s">
        <v>3732</v>
      </c>
      <c r="B1" s="257"/>
      <c r="C1" s="257"/>
      <c r="D1" s="257"/>
      <c r="E1" s="257"/>
      <c r="F1" s="257"/>
      <c r="G1" s="179"/>
      <c r="H1" s="179"/>
    </row>
    <row r="2" customFormat="false" ht="15" hidden="false" customHeight="true" outlineLevel="0" collapsed="false">
      <c r="A2" s="179"/>
      <c r="B2" s="179"/>
      <c r="C2" s="179"/>
      <c r="D2" s="179"/>
      <c r="E2" s="179"/>
      <c r="F2" s="179"/>
      <c r="G2" s="179"/>
      <c r="H2" s="179"/>
    </row>
    <row r="3" customFormat="false" ht="34.5" hidden="false" customHeight="true" outlineLevel="0" collapsed="false">
      <c r="A3" s="279" t="s">
        <v>3733</v>
      </c>
      <c r="B3" s="279"/>
      <c r="C3" s="280"/>
      <c r="D3" s="280"/>
      <c r="E3" s="280"/>
      <c r="F3" s="281" t="s">
        <v>3717</v>
      </c>
      <c r="G3" s="179"/>
      <c r="H3" s="179"/>
    </row>
    <row r="4" customFormat="false" ht="15" hidden="false" customHeight="true" outlineLevel="0" collapsed="false">
      <c r="A4" s="179"/>
      <c r="B4" s="179"/>
      <c r="C4" s="179"/>
      <c r="D4" s="179"/>
      <c r="E4" s="179"/>
      <c r="F4" s="179"/>
      <c r="G4" s="179"/>
      <c r="H4" s="179"/>
    </row>
    <row r="5" customFormat="false" ht="21.75" hidden="false" customHeight="true" outlineLevel="0" collapsed="false">
      <c r="A5" s="282" t="s">
        <v>3718</v>
      </c>
      <c r="B5" s="282" t="s">
        <v>3060</v>
      </c>
      <c r="C5" s="282" t="s">
        <v>2490</v>
      </c>
      <c r="D5" s="282" t="s">
        <v>2278</v>
      </c>
      <c r="E5" s="282" t="s">
        <v>250</v>
      </c>
      <c r="F5" s="282" t="s">
        <v>2277</v>
      </c>
      <c r="G5" s="179"/>
      <c r="H5" s="179"/>
    </row>
    <row r="6" customFormat="false" ht="15" hidden="false" customHeight="true" outlineLevel="0" collapsed="false">
      <c r="A6" s="238" t="b">
        <f aca="false">TRUE()</f>
        <v>1</v>
      </c>
      <c r="B6" s="138" t="str">
        <f aca="false">IFERROR(__xludf.dummyfunction("IFERROR(INDEX(filter('DL09. Học viên'!A4:A503,IF($C$3="""",'DL09. Học viên'!A4:A503&lt;&gt;"""",(ISNUMBER(SEARCH($C$3,'DL09. Học viên'!A4:A503&amp;""""))+ISNUMBER(SEARCH($C$3,'DL09. Học viên'!B4:B503&amp;""""))+ISNUMBER(SEARCH($C$3,'DL09. Học viên'!C4:C503&amp;"""")))&gt;0)),"&amp;"1),"""")"),"HV001")</f>
        <v>HV001</v>
      </c>
      <c r="C6" s="21" t="str">
        <f aca="false">IF($B6="","",IFERROR(VLOOKUP($B6,'DL09. Học viên'!$A:$AD,2,FALSE()),""))</f>
        <v>Trần Minh Anh</v>
      </c>
      <c r="D6" s="21" t="str">
        <f aca="false">IF($B6="","",IFERROR(VLOOKUP($B6,'DL09. Học viên'!$A:$AD,3,FALSE()),""))</f>
        <v>0902000001</v>
      </c>
      <c r="E6" s="21" t="str">
        <f aca="false">IF($B6="","",IFERROR(VLOOKUP($B6,'DL09. Học viên'!$A:$AD,15,FALSE()),""))</f>
        <v>active (Đang học)</v>
      </c>
      <c r="F6" s="21" t="n">
        <f aca="false">IF($B6="","",IFERROR(VLOOKUP($B6,'DL09. Học viên'!$A:$AD,17,FALSE()),""))</f>
        <v>0</v>
      </c>
      <c r="G6" s="179"/>
      <c r="H6" s="179"/>
    </row>
    <row r="7" customFormat="false" ht="15" hidden="false" customHeight="true" outlineLevel="0" collapsed="false">
      <c r="A7" s="238" t="b">
        <f aca="false">FALSE()</f>
        <v>0</v>
      </c>
      <c r="B7" s="138" t="str">
        <f aca="false">IFERROR(__xludf.dummyfunction("IFERROR(INDEX(filter('DL09. Học viên'!A4:A503,IF($C$3="""",'DL09. Học viên'!A4:A503&lt;&gt;"""",(ISNUMBER(SEARCH($C$3,'DL09. Học viên'!A4:A503&amp;""""))+ISNUMBER(SEARCH($C$3,'DL09. Học viên'!B4:B503&amp;""""))+ISNUMBER(SEARCH($C$3,'DL09. Học viên'!C4:C503&amp;"""")))&gt;0)),"&amp;"2),"""")"),"HV002")</f>
        <v>HV002</v>
      </c>
      <c r="C7" s="21" t="str">
        <f aca="false">IF($B7="","",IFERROR(VLOOKUP($B7,'DL09. Học viên'!$A:$AD,2,FALSE()),""))</f>
        <v>Lê Thị Bích Ngọc</v>
      </c>
      <c r="D7" s="21" t="str">
        <f aca="false">IF($B7="","",IFERROR(VLOOKUP($B7,'DL09. Học viên'!$A:$AD,3,FALSE()),""))</f>
        <v>0902000002</v>
      </c>
      <c r="E7" s="21" t="str">
        <f aca="false">IF($B7="","",IFERROR(VLOOKUP($B7,'DL09. Học viên'!$A:$AD,15,FALSE()),""))</f>
        <v>completed (Hoàn thành khóa)</v>
      </c>
      <c r="F7" s="21" t="n">
        <f aca="false">IF($B7="","",IFERROR(VLOOKUP($B7,'DL09. Học viên'!$A:$AD,17,FALSE()),""))</f>
        <v>0</v>
      </c>
      <c r="G7" s="179"/>
      <c r="H7" s="179"/>
    </row>
    <row r="8" customFormat="false" ht="15" hidden="false" customHeight="true" outlineLevel="0" collapsed="false">
      <c r="A8" s="238" t="b">
        <f aca="false">FALSE()</f>
        <v>0</v>
      </c>
      <c r="B8" s="138" t="str">
        <f aca="false">IFERROR(__xludf.dummyfunction("IFERROR(INDEX(filter('DL09. Học viên'!A4:A503,IF($C$3="""",'DL09. Học viên'!A4:A503&lt;&gt;"""",(ISNUMBER(SEARCH($C$3,'DL09. Học viên'!A4:A503&amp;""""))+ISNUMBER(SEARCH($C$3,'DL09. Học viên'!B4:B503&amp;""""))+ISNUMBER(SEARCH($C$3,'DL09. Học viên'!C4:C503&amp;"""")))&gt;0)),"&amp;"3),"""")"),"HV003")</f>
        <v>HV003</v>
      </c>
      <c r="C8" s="21" t="str">
        <f aca="false">IF($B8="","",IFERROR(VLOOKUP($B8,'DL09. Học viên'!$A:$AD,2,FALSE()),""))</f>
        <v>Phạm Quốc Cường</v>
      </c>
      <c r="D8" s="21" t="str">
        <f aca="false">IF($B8="","",IFERROR(VLOOKUP($B8,'DL09. Học viên'!$A:$AD,3,FALSE()),""))</f>
        <v>0902000003</v>
      </c>
      <c r="E8" s="21" t="str">
        <f aca="false">IF($B8="","",IFERROR(VLOOKUP($B8,'DL09. Học viên'!$A:$AD,15,FALSE()),""))</f>
        <v>active (Đang học)</v>
      </c>
      <c r="F8" s="21" t="n">
        <f aca="false">IF($B8="","",IFERROR(VLOOKUP($B8,'DL09. Học viên'!$A:$AD,17,FALSE()),""))</f>
        <v>0</v>
      </c>
      <c r="G8" s="179"/>
      <c r="H8" s="179"/>
    </row>
    <row r="9" customFormat="false" ht="15" hidden="false" customHeight="true" outlineLevel="0" collapsed="false">
      <c r="A9" s="238" t="b">
        <f aca="false">FALSE()</f>
        <v>0</v>
      </c>
      <c r="B9" s="138" t="str">
        <f aca="false">IFERROR(__xludf.dummyfunction("IFERROR(INDEX(filter('DL09. Học viên'!A4:A503,IF($C$3="""",'DL09. Học viên'!A4:A503&lt;&gt;"""",(ISNUMBER(SEARCH($C$3,'DL09. Học viên'!A4:A503&amp;""""))+ISNUMBER(SEARCH($C$3,'DL09. Học viên'!B4:B503&amp;""""))+ISNUMBER(SEARCH($C$3,'DL09. Học viên'!C4:C503&amp;"""")))&gt;0)),"&amp;"4),"""")"),"HV004")</f>
        <v>HV004</v>
      </c>
      <c r="C9" s="21" t="str">
        <f aca="false">IF($B9="","",IFERROR(VLOOKUP($B9,'DL09. Học viên'!$A:$AD,2,FALSE()),""))</f>
        <v>Nguyễn Thị Dung</v>
      </c>
      <c r="D9" s="21" t="str">
        <f aca="false">IF($B9="","",IFERROR(VLOOKUP($B9,'DL09. Học viên'!$A:$AD,3,FALSE()),""))</f>
        <v>0902000004</v>
      </c>
      <c r="E9" s="21" t="str">
        <f aca="false">IF($B9="","",IFERROR(VLOOKUP($B9,'DL09. Học viên'!$A:$AD,15,FALSE()),""))</f>
        <v>active (Đang học)</v>
      </c>
      <c r="F9" s="21" t="n">
        <f aca="false">IF($B9="","",IFERROR(VLOOKUP($B9,'DL09. Học viên'!$A:$AD,17,FALSE()),""))</f>
        <v>0</v>
      </c>
      <c r="G9" s="179"/>
      <c r="H9" s="179"/>
    </row>
    <row r="10" customFormat="false" ht="15" hidden="false" customHeight="true" outlineLevel="0" collapsed="false">
      <c r="A10" s="238" t="b">
        <f aca="false">FALSE()</f>
        <v>0</v>
      </c>
      <c r="B10" s="138" t="str">
        <f aca="false">IFERROR(__xludf.dummyfunction("IFERROR(INDEX(filter('DL09. Học viên'!A4:A503,IF($C$3="""",'DL09. Học viên'!A4:A503&lt;&gt;"""",(ISNUMBER(SEARCH($C$3,'DL09. Học viên'!A4:A503&amp;""""))+ISNUMBER(SEARCH($C$3,'DL09. Học viên'!B4:B503&amp;""""))+ISNUMBER(SEARCH($C$3,'DL09. Học viên'!C4:C503&amp;"""")))&gt;0)),"&amp;"5),"""")"),"HV005")</f>
        <v>HV005</v>
      </c>
      <c r="C10" s="21" t="str">
        <f aca="false">IF($B10="","",IFERROR(VLOOKUP($B10,'DL09. Học viên'!$A:$AD,2,FALSE()),""))</f>
        <v>Võ Hoàng Em</v>
      </c>
      <c r="D10" s="21" t="str">
        <f aca="false">IF($B10="","",IFERROR(VLOOKUP($B10,'DL09. Học viên'!$A:$AD,3,FALSE()),""))</f>
        <v>0902000005</v>
      </c>
      <c r="E10" s="21" t="str">
        <f aca="false">IF($B10="","",IFERROR(VLOOKUP($B10,'DL09. Học viên'!$A:$AD,15,FALSE()),""))</f>
        <v>active (Đang học)</v>
      </c>
      <c r="F10" s="21" t="n">
        <f aca="false">IF($B10="","",IFERROR(VLOOKUP($B10,'DL09. Học viên'!$A:$AD,17,FALSE()),""))</f>
        <v>0</v>
      </c>
      <c r="G10" s="179"/>
      <c r="H10" s="179"/>
    </row>
    <row r="11" customFormat="false" ht="15" hidden="false" customHeight="true" outlineLevel="0" collapsed="false">
      <c r="A11" s="238" t="b">
        <f aca="false">FALSE()</f>
        <v>0</v>
      </c>
      <c r="B11" s="138" t="str">
        <f aca="false">IFERROR(__xludf.dummyfunction("IFERROR(INDEX(filter('DL09. Học viên'!A4:A503,IF($C$3="""",'DL09. Học viên'!A4:A503&lt;&gt;"""",(ISNUMBER(SEARCH($C$3,'DL09. Học viên'!A4:A503&amp;""""))+ISNUMBER(SEARCH($C$3,'DL09. Học viên'!B4:B503&amp;""""))+ISNUMBER(SEARCH($C$3,'DL09. Học viên'!C4:C503&amp;"""")))&gt;0)),"&amp;"6),"""")"),"HV006")</f>
        <v>HV006</v>
      </c>
      <c r="C11" s="21" t="str">
        <f aca="false">IF($B11="","",IFERROR(VLOOKUP($B11,'DL09. Học viên'!$A:$AD,2,FALSE()),""))</f>
        <v>Đặng Thu Hà</v>
      </c>
      <c r="D11" s="21" t="str">
        <f aca="false">IF($B11="","",IFERROR(VLOOKUP($B11,'DL09. Học viên'!$A:$AD,3,FALSE()),""))</f>
        <v>0902000006</v>
      </c>
      <c r="E11" s="21" t="str">
        <f aca="false">IF($B11="","",IFERROR(VLOOKUP($B11,'DL09. Học viên'!$A:$AD,15,FALSE()),""))</f>
        <v>active (Đang học)</v>
      </c>
      <c r="F11" s="21" t="n">
        <f aca="false">IF($B11="","",IFERROR(VLOOKUP($B11,'DL09. Học viên'!$A:$AD,17,FALSE()),""))</f>
        <v>0</v>
      </c>
      <c r="G11" s="179"/>
      <c r="H11" s="179"/>
    </row>
    <row r="12" customFormat="false" ht="15" hidden="false" customHeight="true" outlineLevel="0" collapsed="false">
      <c r="A12" s="238" t="b">
        <f aca="false">FALSE()</f>
        <v>0</v>
      </c>
      <c r="B12" s="138" t="str">
        <f aca="false">IFERROR(__xludf.dummyfunction("IFERROR(INDEX(filter('DL09. Học viên'!A4:A503,IF($C$3="""",'DL09. Học viên'!A4:A503&lt;&gt;"""",(ISNUMBER(SEARCH($C$3,'DL09. Học viên'!A4:A503&amp;""""))+ISNUMBER(SEARCH($C$3,'DL09. Học viên'!B4:B503&amp;""""))+ISNUMBER(SEARCH($C$3,'DL09. Học viên'!C4:C503&amp;"""")))&gt;0)),"&amp;"7),"""")"),"HV007")</f>
        <v>HV007</v>
      </c>
      <c r="C12" s="21" t="str">
        <f aca="false">IF($B12="","",IFERROR(VLOOKUP($B12,'DL09. Học viên'!$A:$AD,2,FALSE()),""))</f>
        <v>Bùi Văn Giang</v>
      </c>
      <c r="D12" s="21" t="str">
        <f aca="false">IF($B12="","",IFERROR(VLOOKUP($B12,'DL09. Học viên'!$A:$AD,3,FALSE()),""))</f>
        <v>0902000007</v>
      </c>
      <c r="E12" s="21" t="str">
        <f aca="false">IF($B12="","",IFERROR(VLOOKUP($B12,'DL09. Học viên'!$A:$AD,15,FALSE()),""))</f>
        <v>dropped (Bỏ học giữa chừng)</v>
      </c>
      <c r="F12" s="21" t="n">
        <f aca="false">IF($B12="","",IFERROR(VLOOKUP($B12,'DL09. Học viên'!$A:$AD,17,FALSE()),""))</f>
        <v>0</v>
      </c>
      <c r="G12" s="179"/>
      <c r="H12" s="179"/>
    </row>
    <row r="13" customFormat="false" ht="15" hidden="false" customHeight="true" outlineLevel="0" collapsed="false">
      <c r="A13" s="238" t="b">
        <f aca="false">FALSE()</f>
        <v>0</v>
      </c>
      <c r="B13" s="138" t="str">
        <f aca="false">IFERROR(__xludf.dummyfunction("IFERROR(INDEX(filter('DL09. Học viên'!A4:A503,IF($C$3="""",'DL09. Học viên'!A4:A503&lt;&gt;"""",(ISNUMBER(SEARCH($C$3,'DL09. Học viên'!A4:A503&amp;""""))+ISNUMBER(SEARCH($C$3,'DL09. Học viên'!B4:B503&amp;""""))+ISNUMBER(SEARCH($C$3,'DL09. Học viên'!C4:C503&amp;"""")))&gt;0)),"&amp;"8),"""")"),"HV008")</f>
        <v>HV008</v>
      </c>
      <c r="C13" s="21" t="str">
        <f aca="false">IF($B13="","",IFERROR(VLOOKUP($B13,'DL09. Học viên'!$A:$AD,2,FALSE()),""))</f>
        <v>Hồ Thị Hoa</v>
      </c>
      <c r="D13" s="21" t="str">
        <f aca="false">IF($B13="","",IFERROR(VLOOKUP($B13,'DL09. Học viên'!$A:$AD,3,FALSE()),""))</f>
        <v>0902000008</v>
      </c>
      <c r="E13" s="21" t="str">
        <f aca="false">IF($B13="","",IFERROR(VLOOKUP($B13,'DL09. Học viên'!$A:$AD,15,FALSE()),""))</f>
        <v>completed (Hoàn thành khóa)</v>
      </c>
      <c r="F13" s="21" t="n">
        <f aca="false">IF($B13="","",IFERROR(VLOOKUP($B13,'DL09. Học viên'!$A:$AD,17,FALSE()),""))</f>
        <v>0</v>
      </c>
      <c r="G13" s="179"/>
      <c r="H13" s="179"/>
    </row>
    <row r="14" customFormat="false" ht="15" hidden="false" customHeight="true" outlineLevel="0" collapsed="false">
      <c r="A14" s="238" t="b">
        <f aca="false">FALSE()</f>
        <v>0</v>
      </c>
      <c r="B14" s="138" t="str">
        <f aca="false">IFERROR(__xludf.dummyfunction("IFERROR(INDEX(filter('DL09. Học viên'!A4:A503,IF($C$3="""",'DL09. Học viên'!A4:A503&lt;&gt;"""",(ISNUMBER(SEARCH($C$3,'DL09. Học viên'!A4:A503&amp;""""))+ISNUMBER(SEARCH($C$3,'DL09. Học viên'!B4:B503&amp;""""))+ISNUMBER(SEARCH($C$3,'DL09. Học viên'!C4:C503&amp;"""")))&gt;0)),"&amp;"9),"""")"),"HV009")</f>
        <v>HV009</v>
      </c>
      <c r="C14" s="21" t="str">
        <f aca="false">IF($B14="","",IFERROR(VLOOKUP($B14,'DL09. Học viên'!$A:$AD,2,FALSE()),""))</f>
        <v>Lý Gia Khang</v>
      </c>
      <c r="D14" s="21" t="str">
        <f aca="false">IF($B14="","",IFERROR(VLOOKUP($B14,'DL09. Học viên'!$A:$AD,3,FALSE()),""))</f>
        <v>0903000012</v>
      </c>
      <c r="E14" s="21" t="str">
        <f aca="false">IF($B14="","",IFERROR(VLOOKUP($B14,'DL09. Học viên'!$A:$AD,15,FALSE()),""))</f>
        <v>active (Đang học)</v>
      </c>
      <c r="F14" s="21" t="n">
        <f aca="false">IF($B14="","",IFERROR(VLOOKUP($B14,'DL09. Học viên'!$A:$AD,17,FALSE()),""))</f>
        <v>0</v>
      </c>
      <c r="G14" s="179"/>
      <c r="H14" s="179"/>
    </row>
    <row r="15" customFormat="false" ht="15" hidden="false" customHeight="true" outlineLevel="0" collapsed="false">
      <c r="A15" s="238" t="b">
        <f aca="false">FALSE()</f>
        <v>0</v>
      </c>
      <c r="B15" s="138" t="str">
        <f aca="false">IFERROR(__xludf.dummyfunction("IFERROR(INDEX(filter('DL09. Học viên'!A4:A503,IF($C$3="""",'DL09. Học viên'!A4:A503&lt;&gt;"""",(ISNUMBER(SEARCH($C$3,'DL09. Học viên'!A4:A503&amp;""""))+ISNUMBER(SEARCH($C$3,'DL09. Học viên'!B4:B503&amp;""""))+ISNUMBER(SEARCH($C$3,'DL09. Học viên'!C4:C503&amp;"""")))&gt;0)),"&amp;"10),"""")"),"HV010")</f>
        <v>HV010</v>
      </c>
      <c r="C15" s="21" t="str">
        <f aca="false">IF($B15="","",IFERROR(VLOOKUP($B15,'DL09. Học viên'!$A:$AD,2,FALSE()),""))</f>
        <v>Trương Mỹ Lan</v>
      </c>
      <c r="D15" s="21" t="str">
        <f aca="false">IF($B15="","",IFERROR(VLOOKUP($B15,'DL09. Học viên'!$A:$AD,3,FALSE()),""))</f>
        <v>0903000013</v>
      </c>
      <c r="E15" s="21" t="str">
        <f aca="false">IF($B15="","",IFERROR(VLOOKUP($B15,'DL09. Học viên'!$A:$AD,15,FALSE()),""))</f>
        <v>active (Đang học)</v>
      </c>
      <c r="F15" s="21" t="n">
        <f aca="false">IF($B15="","",IFERROR(VLOOKUP($B15,'DL09. Học viên'!$A:$AD,17,FALSE()),""))</f>
        <v>0</v>
      </c>
      <c r="G15" s="179"/>
      <c r="H15" s="179"/>
    </row>
    <row r="16" customFormat="false" ht="15" hidden="false" customHeight="true" outlineLevel="0" collapsed="false">
      <c r="A16" s="238" t="b">
        <f aca="false">FALSE()</f>
        <v>0</v>
      </c>
      <c r="B16" s="138" t="str">
        <f aca="false">IFERROR(__xludf.dummyfunction("IFERROR(INDEX(filter('DL09. Học viên'!A4:A503,IF($C$3="""",'DL09. Học viên'!A4:A503&lt;&gt;"""",(ISNUMBER(SEARCH($C$3,'DL09. Học viên'!A4:A503&amp;""""))+ISNUMBER(SEARCH($C$3,'DL09. Học viên'!B4:B503&amp;""""))+ISNUMBER(SEARCH($C$3,'DL09. Học viên'!C4:C503&amp;"""")))&gt;0)),"&amp;"11),"""")"),"HV011")</f>
        <v>HV011</v>
      </c>
      <c r="C16" s="21" t="str">
        <f aca="false">IF($B16="","",IFERROR(VLOOKUP($B16,'DL09. Học viên'!$A:$AD,2,FALSE()),""))</f>
        <v>Phan Đức Minh</v>
      </c>
      <c r="D16" s="21" t="str">
        <f aca="false">IF($B16="","",IFERROR(VLOOKUP($B16,'DL09. Học viên'!$A:$AD,3,FALSE()),""))</f>
        <v>0903000014</v>
      </c>
      <c r="E16" s="21" t="str">
        <f aca="false">IF($B16="","",IFERROR(VLOOKUP($B16,'DL09. Học viên'!$A:$AD,15,FALSE()),""))</f>
        <v>active (Đang học)</v>
      </c>
      <c r="F16" s="21" t="n">
        <f aca="false">IF($B16="","",IFERROR(VLOOKUP($B16,'DL09. Học viên'!$A:$AD,17,FALSE()),""))</f>
        <v>0</v>
      </c>
      <c r="G16" s="179"/>
      <c r="H16" s="179"/>
    </row>
    <row r="17" customFormat="false" ht="15" hidden="false" customHeight="true" outlineLevel="0" collapsed="false">
      <c r="A17" s="238" t="b">
        <f aca="false">FALSE()</f>
        <v>0</v>
      </c>
      <c r="B17" s="138" t="str">
        <f aca="false">IFERROR(__xludf.dummyfunction("IFERROR(INDEX(filter('DL09. Học viên'!A4:A503,IF($C$3="""",'DL09. Học viên'!A4:A503&lt;&gt;"""",(ISNUMBER(SEARCH($C$3,'DL09. Học viên'!A4:A503&amp;""""))+ISNUMBER(SEARCH($C$3,'DL09. Học viên'!B4:B503&amp;""""))+ISNUMBER(SEARCH($C$3,'DL09. Học viên'!C4:C503&amp;"""")))&gt;0)),"&amp;"12),"""")"),"HV012")</f>
        <v>HV012</v>
      </c>
      <c r="C17" s="21" t="str">
        <f aca="false">IF($B17="","",IFERROR(VLOOKUP($B17,'DL09. Học viên'!$A:$AD,2,FALSE()),""))</f>
        <v>Vũ Thảo Nhi</v>
      </c>
      <c r="D17" s="21" t="str">
        <f aca="false">IF($B17="","",IFERROR(VLOOKUP($B17,'DL09. Học viên'!$A:$AD,3,FALSE()),""))</f>
        <v>0903000015</v>
      </c>
      <c r="E17" s="21" t="str">
        <f aca="false">IF($B17="","",IFERROR(VLOOKUP($B17,'DL09. Học viên'!$A:$AD,15,FALSE()),""))</f>
        <v>active (Đang học)</v>
      </c>
      <c r="F17" s="21" t="n">
        <f aca="false">IF($B17="","",IFERROR(VLOOKUP($B17,'DL09. Học viên'!$A:$AD,17,FALSE()),""))</f>
        <v>0</v>
      </c>
      <c r="G17" s="179"/>
      <c r="H17" s="179"/>
    </row>
    <row r="18" customFormat="false" ht="15" hidden="false" customHeight="true" outlineLevel="0" collapsed="false">
      <c r="A18" s="238" t="b">
        <f aca="false">FALSE()</f>
        <v>0</v>
      </c>
      <c r="B18" s="138" t="str">
        <f aca="false">IFERROR(__xludf.dummyfunction("IFERROR(INDEX(filter('DL09. Học viên'!A4:A503,IF($C$3="""",'DL09. Học viên'!A4:A503&lt;&gt;"""",(ISNUMBER(SEARCH($C$3,'DL09. Học viên'!A4:A503&amp;""""))+ISNUMBER(SEARCH($C$3,'DL09. Học viên'!B4:B503&amp;""""))+ISNUMBER(SEARCH($C$3,'DL09. Học viên'!C4:C503&amp;"""")))&gt;0)),"&amp;"13),"""")"),"HV013")</f>
        <v>HV013</v>
      </c>
      <c r="C18" s="21" t="str">
        <f aca="false">IF($B18="","",IFERROR(VLOOKUP($B18,'DL09. Học viên'!$A:$AD,2,FALSE()),""))</f>
        <v>Đinh Công Phú</v>
      </c>
      <c r="D18" s="21" t="str">
        <f aca="false">IF($B18="","",IFERROR(VLOOKUP($B18,'DL09. Học viên'!$A:$AD,3,FALSE()),""))</f>
        <v>0903000016</v>
      </c>
      <c r="E18" s="21" t="str">
        <f aca="false">IF($B18="","",IFERROR(VLOOKUP($B18,'DL09. Học viên'!$A:$AD,15,FALSE()),""))</f>
        <v>active (Đang học)</v>
      </c>
      <c r="F18" s="21" t="n">
        <f aca="false">IF($B18="","",IFERROR(VLOOKUP($B18,'DL09. Học viên'!$A:$AD,17,FALSE()),""))</f>
        <v>0</v>
      </c>
      <c r="G18" s="179"/>
      <c r="H18" s="179"/>
    </row>
    <row r="19" customFormat="false" ht="15" hidden="false" customHeight="true" outlineLevel="0" collapsed="false">
      <c r="A19" s="238" t="b">
        <f aca="false">FALSE()</f>
        <v>0</v>
      </c>
      <c r="B19" s="138" t="str">
        <f aca="false">IFERROR(__xludf.dummyfunction("IFERROR(INDEX(filter('DL09. Học viên'!A4:A503,IF($C$3="""",'DL09. Học viên'!A4:A503&lt;&gt;"""",(ISNUMBER(SEARCH($C$3,'DL09. Học viên'!A4:A503&amp;""""))+ISNUMBER(SEARCH($C$3,'DL09. Học viên'!B4:B503&amp;""""))+ISNUMBER(SEARCH($C$3,'DL09. Học viên'!C4:C503&amp;"""")))&gt;0)),"&amp;"14),"""")"),"HV014")</f>
        <v>HV014</v>
      </c>
      <c r="C19" s="21" t="str">
        <f aca="false">IF($B19="","",IFERROR(VLOOKUP($B19,'DL09. Học viên'!$A:$AD,2,FALSE()),""))</f>
        <v>Mai Xuân Quỳnh</v>
      </c>
      <c r="D19" s="21" t="str">
        <f aca="false">IF($B19="","",IFERROR(VLOOKUP($B19,'DL09. Học viên'!$A:$AD,3,FALSE()),""))</f>
        <v>0903000017</v>
      </c>
      <c r="E19" s="21" t="str">
        <f aca="false">IF($B19="","",IFERROR(VLOOKUP($B19,'DL09. Học viên'!$A:$AD,15,FALSE()),""))</f>
        <v>active (Đang học)</v>
      </c>
      <c r="F19" s="21" t="n">
        <f aca="false">IF($B19="","",IFERROR(VLOOKUP($B19,'DL09. Học viên'!$A:$AD,17,FALSE()),""))</f>
        <v>0</v>
      </c>
      <c r="G19" s="179"/>
      <c r="H19" s="179"/>
    </row>
    <row r="20" customFormat="false" ht="15" hidden="false" customHeight="true" outlineLevel="0" collapsed="false">
      <c r="A20" s="238" t="b">
        <f aca="false">FALSE()</f>
        <v>0</v>
      </c>
      <c r="B20" s="138" t="str">
        <f aca="false">IFERROR(__xludf.dummyfunction("IFERROR(INDEX(filter('DL09. Học viên'!A4:A503,IF($C$3="""",'DL09. Học viên'!A4:A503&lt;&gt;"""",(ISNUMBER(SEARCH($C$3,'DL09. Học viên'!A4:A503&amp;""""))+ISNUMBER(SEARCH($C$3,'DL09. Học viên'!B4:B503&amp;""""))+ISNUMBER(SEARCH($C$3,'DL09. Học viên'!C4:C503&amp;"""")))&gt;0)),"&amp;"15),"""")"),"")</f>
        <v/>
      </c>
      <c r="C20" s="21" t="str">
        <f aca="false">IF($B20="","",IFERROR(VLOOKUP($B20,'DL09. Học viên'!$A:$AD,2,FALSE()),""))</f>
        <v/>
      </c>
      <c r="D20" s="21" t="str">
        <f aca="false">IF($B20="","",IFERROR(VLOOKUP($B20,'DL09. Học viên'!$A:$AD,3,FALSE()),""))</f>
        <v/>
      </c>
      <c r="E20" s="21" t="str">
        <f aca="false">IF($B20="","",IFERROR(VLOOKUP($B20,'DL09. Học viên'!$A:$AD,15,FALSE()),""))</f>
        <v/>
      </c>
      <c r="F20" s="21" t="str">
        <f aca="false">IF($B20="","",IFERROR(VLOOKUP($B20,'DL09. Học viên'!$A:$AD,17,FALSE()),""))</f>
        <v/>
      </c>
      <c r="G20" s="179"/>
      <c r="H20" s="179"/>
    </row>
    <row r="21" customFormat="false" ht="15" hidden="false" customHeight="true" outlineLevel="0" collapsed="false">
      <c r="A21" s="179"/>
      <c r="B21" s="179"/>
      <c r="C21" s="179"/>
      <c r="D21" s="179"/>
      <c r="E21" s="179"/>
      <c r="F21" s="179"/>
      <c r="G21" s="179"/>
      <c r="H21" s="179"/>
    </row>
    <row r="22" customFormat="false" ht="15" hidden="false" customHeight="true" outlineLevel="0" collapsed="false">
      <c r="A22" s="156" t="s">
        <v>3719</v>
      </c>
      <c r="B22" s="156"/>
      <c r="C22" s="283" t="str">
        <f aca="false" t="array" ref="C22:C22">IF((IFERROR(INDEX(B6:B20,MATCH(TRUE(),A6:A20,0)),""))="","",(IFERROR(INDEX(B6:B20,MATCH(TRUE(),A6:A20,0)),""))&amp;" - "&amp;IFERROR(VLOOKUP((IFERROR(INDEX(B6:B20,MATCH(TRUE(),A6:A20,0)),"")),'DL09. Học viên'!$A:$AD,2,FALSE()),""))</f>
        <v>HV001 - Trần Minh Anh</v>
      </c>
      <c r="D22" s="283"/>
      <c r="E22" s="283"/>
      <c r="F22" s="283"/>
      <c r="G22" s="179"/>
      <c r="H22" s="179" t="str">
        <f aca="false" t="array" ref="H22:H22">IFERROR(INDEX(B6:B20,MATCH(TRUE(),A6:A20,0)),"")</f>
        <v>HV001</v>
      </c>
    </row>
    <row r="23" customFormat="false" ht="15" hidden="false" customHeight="true" outlineLevel="0" collapsed="false">
      <c r="A23" s="179"/>
      <c r="B23" s="179"/>
      <c r="C23" s="179"/>
      <c r="D23" s="179"/>
      <c r="E23" s="179"/>
      <c r="F23" s="179"/>
      <c r="G23" s="179"/>
      <c r="H23" s="179"/>
    </row>
    <row r="24" customFormat="false" ht="26.25" hidden="false" customHeight="true" outlineLevel="0" collapsed="false">
      <c r="A24" s="284" t="s">
        <v>3720</v>
      </c>
      <c r="B24" s="284"/>
      <c r="C24" s="284"/>
      <c r="D24" s="284"/>
      <c r="E24" s="284"/>
      <c r="F24" s="284"/>
      <c r="G24" s="179"/>
      <c r="H24" s="179"/>
    </row>
    <row r="25" customFormat="false" ht="19.5" hidden="false" customHeight="true" outlineLevel="0" collapsed="false">
      <c r="A25" s="79" t="s">
        <v>3060</v>
      </c>
      <c r="B25" s="21" t="str">
        <f aca="false">IF($H$22="","(chưa chọn)",IFERROR(VLOOKUP($H$22,'DL09. Học viên'!$A:$AD,1,FALSE()),""))</f>
        <v>HV001</v>
      </c>
      <c r="C25" s="21"/>
      <c r="D25" s="21"/>
      <c r="E25" s="21"/>
      <c r="F25" s="21"/>
      <c r="G25" s="179"/>
      <c r="H25" s="179"/>
    </row>
    <row r="26" customFormat="false" ht="19.5" hidden="false" customHeight="true" outlineLevel="0" collapsed="false">
      <c r="A26" s="79" t="s">
        <v>2490</v>
      </c>
      <c r="B26" s="21" t="str">
        <f aca="false">IF($H$22="","(chưa chọn)",IFERROR(VLOOKUP($H$22,'DL09. Học viên'!$A:$AD,2,FALSE()),""))</f>
        <v>Trần Minh Anh</v>
      </c>
      <c r="C26" s="21"/>
      <c r="D26" s="21"/>
      <c r="E26" s="21"/>
      <c r="F26" s="21"/>
      <c r="G26" s="179"/>
      <c r="H26" s="179"/>
    </row>
    <row r="27" customFormat="false" ht="19.5" hidden="false" customHeight="true" outlineLevel="0" collapsed="false">
      <c r="A27" s="79" t="s">
        <v>2278</v>
      </c>
      <c r="B27" s="21" t="str">
        <f aca="false">IF($H$22="","(chưa chọn)",IFERROR(VLOOKUP($H$22,'DL09. Học viên'!$A:$AD,3,FALSE()),""))</f>
        <v>0902000001</v>
      </c>
      <c r="C27" s="21"/>
      <c r="D27" s="21"/>
      <c r="E27" s="21"/>
      <c r="F27" s="21"/>
      <c r="G27" s="179"/>
      <c r="H27" s="179"/>
    </row>
    <row r="28" customFormat="false" ht="19.5" hidden="false" customHeight="true" outlineLevel="0" collapsed="false">
      <c r="A28" s="79" t="s">
        <v>2279</v>
      </c>
      <c r="B28" s="21" t="str">
        <f aca="false">IF($H$22="","(chưa chọn)",IFERROR(VLOOKUP($H$22,'DL09. Học viên'!$A:$AD,4,FALSE()),""))</f>
        <v>hv001@gmail.com</v>
      </c>
      <c r="C28" s="21"/>
      <c r="D28" s="21"/>
      <c r="E28" s="21"/>
      <c r="F28" s="21"/>
      <c r="G28" s="179"/>
      <c r="H28" s="179"/>
    </row>
    <row r="29" customFormat="false" ht="19.5" hidden="false" customHeight="true" outlineLevel="0" collapsed="false">
      <c r="A29" s="79" t="s">
        <v>3061</v>
      </c>
      <c r="B29" s="178" t="n">
        <f aca="false">IF($H$22="","(chưa chọn)",IFERROR(VLOOKUP($H$22,'DL09. Học viên'!$A:$AD,5,FALSE()),""))</f>
        <v>39208.375</v>
      </c>
      <c r="C29" s="178"/>
      <c r="D29" s="178"/>
      <c r="E29" s="178"/>
      <c r="F29" s="178"/>
      <c r="G29" s="179"/>
      <c r="H29" s="179"/>
    </row>
    <row r="30" customFormat="false" ht="19.5" hidden="false" customHeight="true" outlineLevel="0" collapsed="false">
      <c r="A30" s="79" t="s">
        <v>3062</v>
      </c>
      <c r="B30" s="21" t="str">
        <f aca="false">IF($H$22="","(chưa chọn)",IFERROR(VLOOKUP($H$22,'DL09. Học viên'!$A:$AD,6,FALSE()),""))</f>
        <v>Nam</v>
      </c>
      <c r="C30" s="21"/>
      <c r="D30" s="21"/>
      <c r="E30" s="21"/>
      <c r="F30" s="21"/>
      <c r="G30" s="179"/>
      <c r="H30" s="179"/>
    </row>
    <row r="31" customFormat="false" ht="19.5" hidden="false" customHeight="true" outlineLevel="0" collapsed="false">
      <c r="A31" s="79" t="s">
        <v>2492</v>
      </c>
      <c r="B31" s="21" t="str">
        <f aca="false">IF($H$22="","(chưa chọn)",IFERROR(VLOOKUP($H$22,'DL09. Học viên'!$A:$AD,7,FALSE()),""))</f>
        <v>school_student (Học sinh)</v>
      </c>
      <c r="C31" s="21"/>
      <c r="D31" s="21"/>
      <c r="E31" s="21"/>
      <c r="F31" s="21"/>
      <c r="G31" s="179"/>
      <c r="H31" s="179"/>
    </row>
    <row r="32" customFormat="false" ht="19.5" hidden="false" customHeight="true" outlineLevel="0" collapsed="false">
      <c r="A32" s="79" t="s">
        <v>3063</v>
      </c>
      <c r="B32" s="21" t="str">
        <f aca="false">IF($H$22="","(chưa chọn)",IFERROR(VLOOKUP($H$22,'DL09. Học viên'!$A:$AD,8,FALSE()),""))</f>
        <v>TP.HCM</v>
      </c>
      <c r="C32" s="21"/>
      <c r="D32" s="21"/>
      <c r="E32" s="21"/>
      <c r="F32" s="21"/>
      <c r="G32" s="179"/>
      <c r="H32" s="179"/>
    </row>
    <row r="33" customFormat="false" ht="19.5" hidden="false" customHeight="true" outlineLevel="0" collapsed="false">
      <c r="A33" s="79" t="s">
        <v>3734</v>
      </c>
      <c r="B33" s="21" t="str">
        <f aca="false">IF($H$22="","(chưa chọn)",IFERROR(VLOOKUP($H$22,'DL09. Học viên'!$A:$AD,9,FALSE()),""))</f>
        <v>PH Anh</v>
      </c>
      <c r="C33" s="21"/>
      <c r="D33" s="21"/>
      <c r="E33" s="21"/>
      <c r="F33" s="21"/>
      <c r="G33" s="179"/>
      <c r="H33" s="179"/>
    </row>
    <row r="34" customFormat="false" ht="19.5" hidden="false" customHeight="true" outlineLevel="0" collapsed="false">
      <c r="A34" s="79" t="s">
        <v>3735</v>
      </c>
      <c r="B34" s="21" t="str">
        <f aca="false">IF($H$22="","(chưa chọn)",IFERROR(VLOOKUP($H$22,'DL09. Học viên'!$A:$AD,10,FALSE()),""))</f>
        <v>0901110001</v>
      </c>
      <c r="C34" s="21"/>
      <c r="D34" s="21"/>
      <c r="E34" s="21"/>
      <c r="F34" s="21"/>
      <c r="G34" s="179"/>
      <c r="H34" s="179"/>
    </row>
    <row r="35" customFormat="false" ht="19.5" hidden="false" customHeight="true" outlineLevel="0" collapsed="false">
      <c r="A35" s="79" t="s">
        <v>3066</v>
      </c>
      <c r="B35" s="21" t="str">
        <f aca="false">IF($H$22="","(chưa chọn)",IFERROR(VLOOKUP($H$22,'DL09. Học viên'!$A:$AD,11,FALSE()),""))</f>
        <v>Phụ huynh</v>
      </c>
      <c r="C35" s="21"/>
      <c r="D35" s="21"/>
      <c r="E35" s="21"/>
      <c r="F35" s="21"/>
      <c r="G35" s="179"/>
      <c r="H35" s="179"/>
    </row>
    <row r="36" customFormat="false" ht="19.5" hidden="false" customHeight="true" outlineLevel="0" collapsed="false">
      <c r="A36" s="79" t="s">
        <v>3736</v>
      </c>
      <c r="B36" s="80" t="str">
        <f aca="false">IF($H$22="","(chưa chọn)",IFERROR(VLOOKUP($H$22,'DL09. Học viên'!$A:$AD,12,FALSE()),""))</f>
        <v>ENR-2026-001</v>
      </c>
      <c r="C36" s="80"/>
      <c r="D36" s="80"/>
      <c r="E36" s="80"/>
      <c r="F36" s="80"/>
      <c r="G36" s="179"/>
      <c r="H36" s="179"/>
    </row>
    <row r="37" customFormat="false" ht="19.5" hidden="false" customHeight="true" outlineLevel="0" collapsed="false">
      <c r="A37" s="79" t="s">
        <v>3069</v>
      </c>
      <c r="B37" s="21" t="n">
        <f aca="false">IF($H$22="","(chưa chọn)",IFERROR(VLOOKUP($H$22,'DL09. Học viên'!$A:$AD,14,FALSE()),""))</f>
        <v>1</v>
      </c>
      <c r="C37" s="21"/>
      <c r="D37" s="21"/>
      <c r="E37" s="21"/>
      <c r="F37" s="21"/>
      <c r="G37" s="179"/>
      <c r="H37" s="179"/>
    </row>
    <row r="38" customFormat="false" ht="19.5" hidden="false" customHeight="true" outlineLevel="0" collapsed="false">
      <c r="A38" s="79" t="s">
        <v>3636</v>
      </c>
      <c r="B38" s="21" t="str">
        <f aca="false">IF($H$22="","(chưa chọn)",IFERROR(VLOOKUP($H$22,'DL09. Học viên'!$A:$AD,15,FALSE()),""))</f>
        <v>active (Đang học)</v>
      </c>
      <c r="C38" s="21"/>
      <c r="D38" s="21"/>
      <c r="E38" s="21"/>
      <c r="F38" s="21"/>
      <c r="G38" s="179"/>
      <c r="H38" s="179"/>
    </row>
    <row r="39" customFormat="false" ht="19.5" hidden="false" customHeight="true" outlineLevel="0" collapsed="false">
      <c r="A39" s="79" t="s">
        <v>2277</v>
      </c>
      <c r="B39" s="21" t="n">
        <f aca="false">IF($H$22="","(chưa chọn)",IFERROR(VLOOKUP($H$22,'DL09. Học viên'!$A:$AD,17,FALSE()),""))</f>
        <v>0</v>
      </c>
      <c r="C39" s="21"/>
      <c r="D39" s="21"/>
      <c r="E39" s="21"/>
      <c r="F39" s="21"/>
      <c r="G39" s="179"/>
      <c r="H39" s="179"/>
    </row>
    <row r="40" customFormat="false" ht="19.5" hidden="false" customHeight="true" outlineLevel="0" collapsed="false">
      <c r="A40" s="79" t="s">
        <v>3072</v>
      </c>
      <c r="B40" s="21" t="str">
        <f aca="false">IF($H$22="","(chưa chọn)",IFERROR(VLOOKUP($H$22,'DL09. Học viên'!$A:$AD,18,FALSE()),""))</f>
        <v>on_track (Đang đều đặn)</v>
      </c>
      <c r="C40" s="21"/>
      <c r="D40" s="21"/>
      <c r="E40" s="21"/>
      <c r="F40" s="21"/>
      <c r="G40" s="179"/>
      <c r="H40" s="179"/>
    </row>
    <row r="41" customFormat="false" ht="19.5" hidden="false" customHeight="true" outlineLevel="0" collapsed="false">
      <c r="A41" s="79" t="s">
        <v>3074</v>
      </c>
      <c r="B41" s="21" t="n">
        <f aca="false">IF($H$22="","(chưa chọn)",IFERROR(VLOOKUP($H$22,'DL09. Học viên'!$A:$AD,20,FALSE()),""))</f>
        <v>0</v>
      </c>
      <c r="C41" s="21"/>
      <c r="D41" s="21"/>
      <c r="E41" s="21"/>
      <c r="F41" s="21"/>
      <c r="G41" s="179"/>
      <c r="H41" s="179"/>
    </row>
    <row r="42" customFormat="false" ht="19.5" hidden="false" customHeight="true" outlineLevel="0" collapsed="false">
      <c r="A42" s="79" t="s">
        <v>3073</v>
      </c>
      <c r="B42" s="21" t="str">
        <f aca="false">IF($H$22="","(chưa chọn)",IFERROR(VLOOKUP($H$22,'DL09. Học viên'!$A:$AD,19,FALSE()),""))</f>
        <v>on_track (Đang tiến bộ)</v>
      </c>
      <c r="C42" s="21"/>
      <c r="D42" s="21"/>
      <c r="E42" s="21"/>
      <c r="F42" s="21"/>
      <c r="G42" s="179"/>
      <c r="H42" s="179"/>
    </row>
    <row r="43" customFormat="false" ht="19.5" hidden="false" customHeight="true" outlineLevel="0" collapsed="false">
      <c r="A43" s="79" t="s">
        <v>3075</v>
      </c>
      <c r="B43" s="21" t="n">
        <f aca="false">IF($H$22="","(chưa chọn)",IFERROR(VLOOKUP($H$22,'DL09. Học viên'!$A:$AD,21,FALSE()),""))</f>
        <v>0</v>
      </c>
      <c r="C43" s="21"/>
      <c r="D43" s="21"/>
      <c r="E43" s="21"/>
      <c r="F43" s="21"/>
      <c r="G43" s="179"/>
      <c r="H43" s="179"/>
    </row>
    <row r="44" customFormat="false" ht="19.5" hidden="false" customHeight="true" outlineLevel="0" collapsed="false">
      <c r="A44" s="79" t="s">
        <v>3737</v>
      </c>
      <c r="B44" s="292" t="n">
        <f aca="false">IF($H$22="","(chưa chọn)",IFERROR(VLOOKUP($H$22,'DL09. Học viên'!$A:$AD,22,FALSE()),""))</f>
        <v>46209.375</v>
      </c>
      <c r="C44" s="292"/>
      <c r="D44" s="292"/>
      <c r="E44" s="292"/>
      <c r="F44" s="292"/>
      <c r="G44" s="179"/>
      <c r="H44" s="179"/>
    </row>
    <row r="45" customFormat="false" ht="19.5" hidden="false" customHeight="true" outlineLevel="0" collapsed="false">
      <c r="A45" s="79" t="s">
        <v>3077</v>
      </c>
      <c r="B45" s="21" t="n">
        <f aca="false">IF($H$22="","(chưa chọn)",IFERROR(VLOOKUP($H$22,'DL09. Học viên'!$A:$AD,23,FALSE()),""))</f>
        <v>0</v>
      </c>
      <c r="C45" s="21"/>
      <c r="D45" s="21"/>
      <c r="E45" s="21"/>
      <c r="F45" s="21"/>
      <c r="G45" s="179"/>
      <c r="H45" s="179"/>
    </row>
    <row r="46" customFormat="false" ht="19.5" hidden="false" customHeight="true" outlineLevel="0" collapsed="false">
      <c r="A46" s="79" t="s">
        <v>3082</v>
      </c>
      <c r="B46" s="21" t="n">
        <f aca="false">IF($H$22="","(chưa chọn)",IFERROR(VLOOKUP($H$22,'DL09. Học viên'!$A:$AD,29,FALSE()),""))</f>
        <v>5</v>
      </c>
      <c r="C46" s="21"/>
      <c r="D46" s="21"/>
      <c r="E46" s="21"/>
      <c r="F46" s="21"/>
      <c r="G46" s="179"/>
      <c r="H46" s="179"/>
    </row>
    <row r="47" customFormat="false" ht="19.5" hidden="false" customHeight="true" outlineLevel="0" collapsed="false">
      <c r="A47" s="79" t="s">
        <v>3738</v>
      </c>
      <c r="B47" s="21" t="str">
        <f aca="false">IF($H$22="","(chưa chọn)",IFERROR(VLOOKUP($H$22,'DL09. Học viên'!$A:$AD,30,FALSE()),""))</f>
        <v>HV đang học đều và ổn định. Không cần làm gì thêm.</v>
      </c>
      <c r="C47" s="21"/>
      <c r="D47" s="21"/>
      <c r="E47" s="21"/>
      <c r="F47" s="21"/>
      <c r="G47" s="179"/>
      <c r="H47" s="179"/>
    </row>
    <row r="48" customFormat="false" ht="15" hidden="false" customHeight="true" outlineLevel="0" collapsed="false">
      <c r="A48" s="179"/>
      <c r="B48" s="179"/>
      <c r="C48" s="179"/>
      <c r="D48" s="179"/>
      <c r="E48" s="179"/>
      <c r="F48" s="179"/>
      <c r="G48" s="179"/>
      <c r="H48" s="179"/>
    </row>
    <row r="49" customFormat="false" ht="26.25" hidden="false" customHeight="true" outlineLevel="0" collapsed="false">
      <c r="A49" s="290" t="s">
        <v>3739</v>
      </c>
      <c r="B49" s="290"/>
      <c r="C49" s="290"/>
      <c r="D49" s="290"/>
      <c r="E49" s="290"/>
      <c r="F49" s="290"/>
      <c r="G49" s="179"/>
      <c r="H49" s="179"/>
    </row>
    <row r="50" customFormat="false" ht="25.5" hidden="false" customHeight="true" outlineLevel="0" collapsed="false">
      <c r="A50" s="79" t="s">
        <v>3740</v>
      </c>
      <c r="B50" s="79"/>
      <c r="C50" s="289" t="n">
        <f aca="false">IF($H$22="","",COUNTIF('DL07. Thanh toán'!C:C,$H$22))</f>
        <v>1</v>
      </c>
      <c r="D50" s="79" t="s">
        <v>3741</v>
      </c>
      <c r="E50" s="79"/>
      <c r="F50" s="289" t="n">
        <f aca="false">IF($H$22="","",SUMIF('DL07. Thanh toán'!C:C,$H$22,'DL07. Thanh toán'!F:F))</f>
        <v>12000000</v>
      </c>
      <c r="G50" s="179"/>
      <c r="H50" s="179"/>
    </row>
    <row r="51" customFormat="false" ht="25.5" hidden="false" customHeight="true" outlineLevel="0" collapsed="false">
      <c r="A51" s="79" t="s">
        <v>3742</v>
      </c>
      <c r="B51" s="79"/>
      <c r="C51" s="289" t="n">
        <f aca="false">IF($H$22="","",COUNTIF('DL12. Điểm danh'!C:C,$H$22))</f>
        <v>3</v>
      </c>
      <c r="D51" s="79" t="s">
        <v>3743</v>
      </c>
      <c r="E51" s="79"/>
      <c r="F51" s="289" t="n">
        <f aca="false">IF($H$22="","",IFERROR(COUNTIFS('DL12. Điểm danh'!C:C,$H$22,'DL12. Điểm danh'!E:E,"on_time*")/COUNTIF('DL12. Điểm danh'!C:C,$H$22),0))</f>
        <v>0.666666666666667</v>
      </c>
      <c r="G51" s="179"/>
      <c r="H51" s="179"/>
    </row>
    <row r="52" customFormat="false" ht="25.5" hidden="false" customHeight="true" outlineLevel="0" collapsed="false">
      <c r="A52" s="79" t="s">
        <v>3744</v>
      </c>
      <c r="B52" s="79"/>
      <c r="C52" s="289" t="n">
        <f aca="false">IF($H$22="","",COUNTIFS('DL12. Điểm danh'!C:C,$H$22,'DL12. Điểm danh'!E:E,"no_show*"))</f>
        <v>0</v>
      </c>
      <c r="D52" s="79" t="s">
        <v>3745</v>
      </c>
      <c r="E52" s="79"/>
      <c r="F52" s="289" t="n">
        <f aca="false">IF($H$22="","",IFERROR(ROUND(AVERAGEIF('DL13. Bài tập'!D:D,$H$22,'DL13. Bài tập'!M:M),1),"-"))</f>
        <v>6.3</v>
      </c>
      <c r="G52" s="179"/>
      <c r="H52" s="179"/>
    </row>
    <row r="53" customFormat="false" ht="15" hidden="false" customHeight="true" outlineLevel="0" collapsed="false">
      <c r="A53" s="179"/>
      <c r="B53" s="179"/>
      <c r="C53" s="179"/>
      <c r="D53" s="179"/>
      <c r="E53" s="179"/>
      <c r="F53" s="179"/>
      <c r="G53" s="179"/>
      <c r="H53" s="179"/>
    </row>
    <row r="54" customFormat="false" ht="26.25" hidden="false" customHeight="true" outlineLevel="0" collapsed="false">
      <c r="A54" s="290" t="s">
        <v>3746</v>
      </c>
      <c r="B54" s="290"/>
      <c r="C54" s="290"/>
      <c r="D54" s="290"/>
      <c r="E54" s="290"/>
      <c r="F54" s="290"/>
      <c r="G54" s="179"/>
      <c r="H54" s="179"/>
    </row>
    <row r="55" customFormat="false" ht="19.5" hidden="false" customHeight="true" outlineLevel="0" collapsed="false">
      <c r="A55" s="282" t="s">
        <v>3747</v>
      </c>
      <c r="B55" s="282" t="s">
        <v>2780</v>
      </c>
      <c r="C55" s="282" t="s">
        <v>250</v>
      </c>
      <c r="D55" s="282" t="s">
        <v>3748</v>
      </c>
      <c r="E55" s="282" t="s">
        <v>2869</v>
      </c>
      <c r="F55" s="282" t="s">
        <v>3749</v>
      </c>
      <c r="G55" s="179"/>
      <c r="H55" s="179"/>
    </row>
    <row r="56" customFormat="false" ht="18" hidden="false" customHeight="true" outlineLevel="0" collapsed="false">
      <c r="A56" s="21" t="str">
        <f aca="false">IFERROR(__xludf.dummyfunction("IF($H$22="""","""",IFERROR(INDEX(filter('DL06. Đăng ký'!A4:A503,'DL06. Đăng ký'!B4:B503=$H$22),1),""""))"),"ENR-2026-001")</f>
        <v>ENR-2026-001</v>
      </c>
      <c r="B56" s="80" t="str">
        <f aca="false">IFERROR(__xludf.dummyfunction("IF($H$22="""","""",IFERROR(INDEX(filter('DL06. Đăng ký'!E4:E503,'DL06. Đăng ký'!B4:B503=$H$22),1),""""))"),"CRS-FOUND-PLA")</f>
        <v>CRS-FOUND-PLA</v>
      </c>
      <c r="C56" s="21" t="str">
        <f aca="false">IFERROR(__xludf.dummyfunction("IF($H$22="""","""",IFERROR(INDEX(filter('DL06. Đăng ký'!F4:F503,'DL06. Đăng ký'!B4:B503=$H$22),1),""""))"),"confirmed (Đã xác nhận)")</f>
        <v>confirmed (Đã xác nhận)</v>
      </c>
      <c r="D56" s="240" t="n">
        <f aca="false">IFERROR(__xludf.dummyfunction("IF($H$22="""","""",IFERROR(INDEX(filter('DL06. Đăng ký'!N4:N503,'DL06. Đăng ký'!B4:B503=$H$22),1),""""))"),12000000)</f>
        <v>12000000</v>
      </c>
      <c r="E56" s="240" t="n">
        <f aca="false">IFERROR(__xludf.dummyfunction("IF($H$22="""","""",IFERROR(INDEX(filter('DL06. Đăng ký'!O4:O503,'DL06. Đăng ký'!B4:B503=$H$22),1),""""))"),0)</f>
        <v>0</v>
      </c>
      <c r="F56" s="21" t="str">
        <f aca="false">IFERROR(__xludf.dummyfunction("IF($H$22="""","""",IFERROR(INDEX(filter('DL06. Đăng ký'!P4:P503,'DL06. Đăng ký'!B4:B503=$H$22),1),""""))"),"paid (Đã thanh toán đủ)")</f>
        <v>paid (Đã thanh toán đủ)</v>
      </c>
      <c r="G56" s="179"/>
      <c r="H56" s="179"/>
    </row>
    <row r="57" customFormat="false" ht="18" hidden="false" customHeight="true" outlineLevel="0" collapsed="false">
      <c r="A57" s="21" t="str">
        <f aca="false">IFERROR(__xludf.dummyfunction("IF($H$22="""","""",IFERROR(INDEX(filter('DL06. Đăng ký'!A4:A503,'DL06. Đăng ký'!B4:B503=$H$22),2),""""))"),"")</f>
        <v/>
      </c>
      <c r="B57" s="21" t="str">
        <f aca="false">IFERROR(__xludf.dummyfunction("IF($H$22="""","""",IFERROR(INDEX(filter('DL06. Đăng ký'!E4:E503,'DL06. Đăng ký'!B4:B503=$H$22),2),""""))"),"")</f>
        <v/>
      </c>
      <c r="C57" s="21" t="str">
        <f aca="false">IFERROR(__xludf.dummyfunction("IF($H$22="""","""",IFERROR(INDEX(filter('DL06. Đăng ký'!F4:F503,'DL06. Đăng ký'!B4:B503=$H$22),2),""""))"),"")</f>
        <v/>
      </c>
      <c r="D57" s="240" t="str">
        <f aca="false">IFERROR(__xludf.dummyfunction("IF($H$22="""","""",IFERROR(INDEX(filter('DL06. Đăng ký'!N4:N503,'DL06. Đăng ký'!B4:B503=$H$22),2),""""))"),"")</f>
        <v/>
      </c>
      <c r="E57" s="240" t="str">
        <f aca="false">IFERROR(__xludf.dummyfunction("IF($H$22="""","""",IFERROR(INDEX(filter('DL06. Đăng ký'!O4:O503,'DL06. Đăng ký'!B4:B503=$H$22),2),""""))"),"")</f>
        <v/>
      </c>
      <c r="F57" s="21" t="str">
        <f aca="false">IFERROR(__xludf.dummyfunction("IF($H$22="""","""",IFERROR(INDEX(filter('DL06. Đăng ký'!P4:P503,'DL06. Đăng ký'!B4:B503=$H$22),2),""""))"),"")</f>
        <v/>
      </c>
      <c r="G57" s="179"/>
      <c r="H57" s="179"/>
    </row>
    <row r="58" customFormat="false" ht="18" hidden="false" customHeight="true" outlineLevel="0" collapsed="false">
      <c r="A58" s="21" t="str">
        <f aca="false">IFERROR(__xludf.dummyfunction("IF($H$22="""","""",IFERROR(INDEX(filter('DL06. Đăng ký'!A4:A503,'DL06. Đăng ký'!B4:B503=$H$22),3),""""))"),"")</f>
        <v/>
      </c>
      <c r="B58" s="21" t="str">
        <f aca="false">IFERROR(__xludf.dummyfunction("IF($H$22="""","""",IFERROR(INDEX(filter('DL06. Đăng ký'!E4:E503,'DL06. Đăng ký'!B4:B503=$H$22),3),""""))"),"")</f>
        <v/>
      </c>
      <c r="C58" s="21" t="str">
        <f aca="false">IFERROR(__xludf.dummyfunction("IF($H$22="""","""",IFERROR(INDEX(filter('DL06. Đăng ký'!F4:F503,'DL06. Đăng ký'!B4:B503=$H$22),3),""""))"),"")</f>
        <v/>
      </c>
      <c r="D58" s="240" t="str">
        <f aca="false">IFERROR(__xludf.dummyfunction("IF($H$22="""","""",IFERROR(INDEX(filter('DL06. Đăng ký'!N4:N503,'DL06. Đăng ký'!B4:B503=$H$22),3),""""))"),"")</f>
        <v/>
      </c>
      <c r="E58" s="240" t="str">
        <f aca="false">IFERROR(__xludf.dummyfunction("IF($H$22="""","""",IFERROR(INDEX(filter('DL06. Đăng ký'!O4:O503,'DL06. Đăng ký'!B4:B503=$H$22),3),""""))"),"")</f>
        <v/>
      </c>
      <c r="F58" s="21" t="str">
        <f aca="false">IFERROR(__xludf.dummyfunction("IF($H$22="""","""",IFERROR(INDEX(filter('DL06. Đăng ký'!P4:P503,'DL06. Đăng ký'!B4:B503=$H$22),3),""""))"),"")</f>
        <v/>
      </c>
      <c r="G58" s="179"/>
      <c r="H58" s="179"/>
    </row>
    <row r="59" customFormat="false" ht="18" hidden="false" customHeight="true" outlineLevel="0" collapsed="false">
      <c r="A59" s="21" t="str">
        <f aca="false">IFERROR(__xludf.dummyfunction("IF($H$22="""","""",IFERROR(INDEX(filter('DL06. Đăng ký'!A4:A503,'DL06. Đăng ký'!B4:B503=$H$22),4),""""))"),"")</f>
        <v/>
      </c>
      <c r="B59" s="21" t="str">
        <f aca="false">IFERROR(__xludf.dummyfunction("IF($H$22="""","""",IFERROR(INDEX(filter('DL06. Đăng ký'!E4:E503,'DL06. Đăng ký'!B4:B503=$H$22),4),""""))"),"")</f>
        <v/>
      </c>
      <c r="C59" s="21" t="str">
        <f aca="false">IFERROR(__xludf.dummyfunction("IF($H$22="""","""",IFERROR(INDEX(filter('DL06. Đăng ký'!F4:F503,'DL06. Đăng ký'!B4:B503=$H$22),4),""""))"),"")</f>
        <v/>
      </c>
      <c r="D59" s="240" t="str">
        <f aca="false">IFERROR(__xludf.dummyfunction("IF($H$22="""","""",IFERROR(INDEX(filter('DL06. Đăng ký'!N4:N503,'DL06. Đăng ký'!B4:B503=$H$22),4),""""))"),"")</f>
        <v/>
      </c>
      <c r="E59" s="240" t="str">
        <f aca="false">IFERROR(__xludf.dummyfunction("IF($H$22="""","""",IFERROR(INDEX(filter('DL06. Đăng ký'!O4:O503,'DL06. Đăng ký'!B4:B503=$H$22),4),""""))"),"")</f>
        <v/>
      </c>
      <c r="F59" s="21" t="str">
        <f aca="false">IFERROR(__xludf.dummyfunction("IF($H$22="""","""",IFERROR(INDEX(filter('DL06. Đăng ký'!P4:P503,'DL06. Đăng ký'!B4:B503=$H$22),4),""""))"),"")</f>
        <v/>
      </c>
      <c r="G59" s="179"/>
      <c r="H59" s="179"/>
    </row>
    <row r="60" customFormat="false" ht="15" hidden="false" customHeight="true" outlineLevel="0" collapsed="false">
      <c r="A60" s="179"/>
      <c r="B60" s="179"/>
      <c r="C60" s="179"/>
      <c r="D60" s="179"/>
      <c r="E60" s="179"/>
      <c r="F60" s="179"/>
      <c r="G60" s="179"/>
      <c r="H60" s="179"/>
    </row>
    <row r="61" customFormat="false" ht="26.25" hidden="false" customHeight="true" outlineLevel="0" collapsed="false">
      <c r="A61" s="290" t="s">
        <v>3750</v>
      </c>
      <c r="B61" s="290"/>
      <c r="C61" s="290"/>
      <c r="D61" s="290"/>
      <c r="E61" s="290"/>
      <c r="F61" s="290"/>
      <c r="G61" s="179"/>
      <c r="H61" s="179"/>
    </row>
    <row r="62" customFormat="false" ht="19.5" hidden="false" customHeight="true" outlineLevel="0" collapsed="false">
      <c r="A62" s="282" t="s">
        <v>3751</v>
      </c>
      <c r="B62" s="282" t="s">
        <v>3747</v>
      </c>
      <c r="C62" s="282" t="s">
        <v>2925</v>
      </c>
      <c r="D62" s="179"/>
      <c r="E62" s="179"/>
      <c r="F62" s="179"/>
      <c r="G62" s="179"/>
      <c r="H62" s="179"/>
    </row>
    <row r="63" customFormat="false" ht="18" hidden="false" customHeight="true" outlineLevel="0" collapsed="false">
      <c r="A63" s="21" t="str">
        <f aca="false">IFERROR(__xludf.dummyfunction("IF($H$22="""","""",IFERROR(INDEX(filter('DL07. Thanh toán'!A4:A503,'DL07. Thanh toán'!C4:C503=$H$22),1),""""))"),"PAY-2026-001")</f>
        <v>PAY-2026-001</v>
      </c>
      <c r="B63" s="80" t="str">
        <f aca="false">IFERROR(__xludf.dummyfunction("IF($H$22="""","""",IFERROR(INDEX(filter('DL07. Thanh toán'!B4:B503,'DL07. Thanh toán'!C4:C503=$H$22),1),""""))"),"ENR-2026-001")</f>
        <v>ENR-2026-001</v>
      </c>
      <c r="C63" s="240" t="n">
        <f aca="false">IFERROR(__xludf.dummyfunction("IF($H$22="""","""",IFERROR(INDEX(filter('DL07. Thanh toán'!F4:F503,'DL07. Thanh toán'!C4:C503=$H$22),1),""""))"),12000000)</f>
        <v>12000000</v>
      </c>
      <c r="D63" s="179"/>
      <c r="E63" s="179"/>
      <c r="F63" s="179"/>
      <c r="G63" s="179"/>
      <c r="H63" s="179"/>
    </row>
    <row r="64" customFormat="false" ht="18" hidden="false" customHeight="true" outlineLevel="0" collapsed="false">
      <c r="A64" s="21" t="str">
        <f aca="false">IFERROR(__xludf.dummyfunction("IF($H$22="""","""",IFERROR(INDEX(filter('DL07. Thanh toán'!A4:A503,'DL07. Thanh toán'!C4:C503=$H$22),2),""""))"),"")</f>
        <v/>
      </c>
      <c r="B64" s="21" t="str">
        <f aca="false">IFERROR(__xludf.dummyfunction("IF($H$22="""","""",IFERROR(INDEX(filter('DL07. Thanh toán'!B4:B503,'DL07. Thanh toán'!C4:C503=$H$22),2),""""))"),"")</f>
        <v/>
      </c>
      <c r="C64" s="240" t="str">
        <f aca="false">IFERROR(__xludf.dummyfunction("IF($H$22="""","""",IFERROR(INDEX(filter('DL07. Thanh toán'!F4:F503,'DL07. Thanh toán'!C4:C503=$H$22),2),""""))"),"")</f>
        <v/>
      </c>
      <c r="D64" s="179"/>
      <c r="E64" s="179"/>
      <c r="F64" s="179"/>
      <c r="G64" s="179"/>
      <c r="H64" s="179"/>
    </row>
    <row r="65" customFormat="false" ht="18" hidden="false" customHeight="true" outlineLevel="0" collapsed="false">
      <c r="A65" s="21" t="str">
        <f aca="false">IFERROR(__xludf.dummyfunction("IF($H$22="""","""",IFERROR(INDEX(filter('DL07. Thanh toán'!A4:A503,'DL07. Thanh toán'!C4:C503=$H$22),3),""""))"),"")</f>
        <v/>
      </c>
      <c r="B65" s="21" t="str">
        <f aca="false">IFERROR(__xludf.dummyfunction("IF($H$22="""","""",IFERROR(INDEX(filter('DL07. Thanh toán'!B4:B503,'DL07. Thanh toán'!C4:C503=$H$22),3),""""))"),"")</f>
        <v/>
      </c>
      <c r="C65" s="240" t="str">
        <f aca="false">IFERROR(__xludf.dummyfunction("IF($H$22="""","""",IFERROR(INDEX(filter('DL07. Thanh toán'!F4:F503,'DL07. Thanh toán'!C4:C503=$H$22),3),""""))"),"")</f>
        <v/>
      </c>
      <c r="D65" s="179"/>
      <c r="E65" s="179"/>
      <c r="F65" s="179"/>
      <c r="G65" s="179"/>
      <c r="H65" s="179"/>
    </row>
    <row r="66" customFormat="false" ht="18" hidden="false" customHeight="true" outlineLevel="0" collapsed="false">
      <c r="A66" s="21" t="str">
        <f aca="false">IFERROR(__xludf.dummyfunction("IF($H$22="""","""",IFERROR(INDEX(filter('DL07. Thanh toán'!A4:A503,'DL07. Thanh toán'!C4:C503=$H$22),4),""""))"),"")</f>
        <v/>
      </c>
      <c r="B66" s="21" t="str">
        <f aca="false">IFERROR(__xludf.dummyfunction("IF($H$22="""","""",IFERROR(INDEX(filter('DL07. Thanh toán'!B4:B503,'DL07. Thanh toán'!C4:C503=$H$22),4),""""))"),"")</f>
        <v/>
      </c>
      <c r="C66" s="240" t="str">
        <f aca="false">IFERROR(__xludf.dummyfunction("IF($H$22="""","""",IFERROR(INDEX(filter('DL07. Thanh toán'!F4:F503,'DL07. Thanh toán'!C4:C503=$H$22),4),""""))"),"")</f>
        <v/>
      </c>
      <c r="D66" s="179"/>
      <c r="E66" s="179"/>
      <c r="F66" s="179"/>
      <c r="G66" s="179"/>
      <c r="H66" s="179"/>
    </row>
    <row r="67" customFormat="false" ht="18" hidden="false" customHeight="true" outlineLevel="0" collapsed="false">
      <c r="A67" s="21" t="str">
        <f aca="false">IFERROR(__xludf.dummyfunction("IF($H$22="""","""",IFERROR(INDEX(filter('DL07. Thanh toán'!A4:A503,'DL07. Thanh toán'!C4:C503=$H$22),5),""""))"),"")</f>
        <v/>
      </c>
      <c r="B67" s="21" t="str">
        <f aca="false">IFERROR(__xludf.dummyfunction("IF($H$22="""","""",IFERROR(INDEX(filter('DL07. Thanh toán'!B4:B503,'DL07. Thanh toán'!C4:C503=$H$22),5),""""))"),"")</f>
        <v/>
      </c>
      <c r="C67" s="240" t="str">
        <f aca="false">IFERROR(__xludf.dummyfunction("IF($H$22="""","""",IFERROR(INDEX(filter('DL07. Thanh toán'!F4:F503,'DL07. Thanh toán'!C4:C503=$H$22),5),""""))"),"")</f>
        <v/>
      </c>
      <c r="D67" s="179"/>
      <c r="E67" s="179"/>
      <c r="F67" s="179"/>
      <c r="G67" s="179"/>
      <c r="H67" s="179"/>
    </row>
    <row r="68" customFormat="false" ht="15" hidden="false" customHeight="true" outlineLevel="0" collapsed="false">
      <c r="A68" s="179"/>
      <c r="B68" s="179"/>
      <c r="C68" s="179"/>
      <c r="D68" s="179"/>
      <c r="E68" s="179"/>
      <c r="F68" s="179"/>
      <c r="G68" s="179"/>
      <c r="H68" s="179"/>
    </row>
    <row r="69" customFormat="false" ht="26.25" hidden="false" customHeight="true" outlineLevel="0" collapsed="false">
      <c r="A69" s="290" t="s">
        <v>3752</v>
      </c>
      <c r="B69" s="290"/>
      <c r="C69" s="290"/>
      <c r="D69" s="290"/>
      <c r="E69" s="290"/>
      <c r="F69" s="290"/>
      <c r="G69" s="179"/>
      <c r="H69" s="179"/>
    </row>
    <row r="70" customFormat="false" ht="19.5" hidden="false" customHeight="true" outlineLevel="0" collapsed="false">
      <c r="A70" s="282" t="s">
        <v>3167</v>
      </c>
      <c r="B70" s="282" t="s">
        <v>3753</v>
      </c>
      <c r="C70" s="282" t="s">
        <v>3754</v>
      </c>
      <c r="D70" s="179"/>
      <c r="E70" s="179"/>
      <c r="F70" s="179"/>
      <c r="G70" s="179"/>
      <c r="H70" s="179"/>
    </row>
    <row r="71" customFormat="false" ht="18" hidden="false" customHeight="true" outlineLevel="0" collapsed="false">
      <c r="A71" s="80" t="str">
        <f aca="false">IFERROR(__xludf.dummyfunction("IF($H$22="""","""",IFERROR(INDEX(filter('DL08. Xếp lớp &amp; Nhập học'!H4:H503,'DL08. Xếp lớp &amp; Nhập học'!C4:C503=$H$22),1),""""))"),"LOP-FOUND-PLA-01")</f>
        <v>LOP-FOUND-PLA-01</v>
      </c>
      <c r="B71" s="21" t="str">
        <f aca="false">IFERROR(__xludf.dummyfunction("IF($H$22="""","""",IFERROR(INDEX(filter('DL08. Xếp lớp &amp; Nhập học'!I4:I503,'DL08. Xếp lớp &amp; Nhập học'!C4:C503=$H$22),1),""""))"),"confirmed (Đồng ý)")</f>
        <v>confirmed (Đồng ý)</v>
      </c>
      <c r="C71" s="21" t="str">
        <f aca="false">IFERROR(__xludf.dummyfunction("IF($H$22="""","""",IFERROR(INDEX(filter('DL08. Xếp lớp &amp; Nhập học'!K4:K503,'DL08. Xếp lớp &amp; Nhập học'!C4:C503=$H$22),1),""""))"),"completed (Hoàn thành)")</f>
        <v>completed (Hoàn thành)</v>
      </c>
      <c r="D71" s="179"/>
      <c r="E71" s="179"/>
      <c r="F71" s="179"/>
      <c r="G71" s="179"/>
      <c r="H71" s="179"/>
    </row>
    <row r="72" customFormat="false" ht="18" hidden="false" customHeight="true" outlineLevel="0" collapsed="false">
      <c r="A72" s="21" t="str">
        <f aca="false">IFERROR(__xludf.dummyfunction("IF($H$22="""","""",IFERROR(INDEX(filter('DL08. Xếp lớp &amp; Nhập học'!H4:H503,'DL08. Xếp lớp &amp; Nhập học'!C4:C503=$H$22),2),""""))"),"")</f>
        <v/>
      </c>
      <c r="B72" s="21" t="str">
        <f aca="false">IFERROR(__xludf.dummyfunction("IF($H$22="""","""",IFERROR(INDEX(filter('DL08. Xếp lớp &amp; Nhập học'!I4:I503,'DL08. Xếp lớp &amp; Nhập học'!C4:C503=$H$22),2),""""))"),"")</f>
        <v/>
      </c>
      <c r="C72" s="21" t="str">
        <f aca="false">IFERROR(__xludf.dummyfunction("IF($H$22="""","""",IFERROR(INDEX(filter('DL08. Xếp lớp &amp; Nhập học'!K4:K503,'DL08. Xếp lớp &amp; Nhập học'!C4:C503=$H$22),2),""""))"),"")</f>
        <v/>
      </c>
      <c r="D72" s="179"/>
      <c r="E72" s="179"/>
      <c r="F72" s="179"/>
      <c r="G72" s="179"/>
      <c r="H72" s="179"/>
    </row>
    <row r="73" customFormat="false" ht="18" hidden="false" customHeight="true" outlineLevel="0" collapsed="false">
      <c r="A73" s="21" t="str">
        <f aca="false">IFERROR(__xludf.dummyfunction("IF($H$22="""","""",IFERROR(INDEX(filter('DL08. Xếp lớp &amp; Nhập học'!H4:H503,'DL08. Xếp lớp &amp; Nhập học'!C4:C503=$H$22),3),""""))"),"")</f>
        <v/>
      </c>
      <c r="B73" s="21" t="str">
        <f aca="false">IFERROR(__xludf.dummyfunction("IF($H$22="""","""",IFERROR(INDEX(filter('DL08. Xếp lớp &amp; Nhập học'!I4:I503,'DL08. Xếp lớp &amp; Nhập học'!C4:C503=$H$22),3),""""))"),"")</f>
        <v/>
      </c>
      <c r="C73" s="21" t="str">
        <f aca="false">IFERROR(__xludf.dummyfunction("IF($H$22="""","""",IFERROR(INDEX(filter('DL08. Xếp lớp &amp; Nhập học'!K4:K503,'DL08. Xếp lớp &amp; Nhập học'!C4:C503=$H$22),3),""""))"),"")</f>
        <v/>
      </c>
      <c r="D73" s="179"/>
      <c r="E73" s="179"/>
      <c r="F73" s="179"/>
      <c r="G73" s="179"/>
      <c r="H73" s="179"/>
    </row>
    <row r="74" customFormat="false" ht="15" hidden="false" customHeight="true" outlineLevel="0" collapsed="false">
      <c r="A74" s="179"/>
      <c r="B74" s="179"/>
      <c r="C74" s="179"/>
      <c r="D74" s="179"/>
      <c r="E74" s="179"/>
      <c r="F74" s="179"/>
      <c r="G74" s="179"/>
      <c r="H74" s="179"/>
    </row>
    <row r="75" customFormat="false" ht="26.25" hidden="false" customHeight="true" outlineLevel="0" collapsed="false">
      <c r="A75" s="290" t="s">
        <v>3755</v>
      </c>
      <c r="B75" s="290"/>
      <c r="C75" s="290"/>
      <c r="D75" s="290"/>
      <c r="E75" s="290"/>
      <c r="F75" s="290"/>
      <c r="G75" s="179"/>
      <c r="H75" s="179"/>
    </row>
    <row r="76" customFormat="false" ht="19.5" hidden="false" customHeight="true" outlineLevel="0" collapsed="false">
      <c r="A76" s="282" t="s">
        <v>3359</v>
      </c>
      <c r="B76" s="282" t="s">
        <v>3360</v>
      </c>
      <c r="C76" s="282" t="s">
        <v>250</v>
      </c>
      <c r="D76" s="282" t="s">
        <v>3365</v>
      </c>
      <c r="E76" s="282" t="s">
        <v>3369</v>
      </c>
      <c r="F76" s="179"/>
      <c r="G76" s="179"/>
      <c r="H76" s="179"/>
    </row>
    <row r="77" customFormat="false" ht="30.75" hidden="false" customHeight="true" outlineLevel="0" collapsed="false">
      <c r="A77" s="21" t="str">
        <f aca="false">IFERROR(__xludf.dummyfunction("IF($H$22="""","""",IFERROR(INDEX(filter('DL13. Bài tập'!F4:F503,'DL13. Bài tập'!D4:D503=$H$22),1),""""))"),"Vocab set 1")</f>
        <v>Vocab set 1</v>
      </c>
      <c r="B77" s="21" t="str">
        <f aca="false">IFERROR(__xludf.dummyfunction("IF($H$22="""","""",IFERROR(INDEX(filter('DL13. Bài tập'!G4:G503,'DL13. Bài tập'!D4:D503=$H$22),1),""""))"),"Writing (Viết)")</f>
        <v>Writing (Viết)</v>
      </c>
      <c r="C77" s="21" t="str">
        <f aca="false">IFERROR(__xludf.dummyfunction("IF($H$22="""","""",IFERROR(INDEX(filter('DL13. Bài tập'!L4:L503,'DL13. Bài tập'!D4:D503=$H$22),1),""""))"),"submitted_on_time (Nộp đúng/trước hạn)")</f>
        <v>submitted_on_time (Nộp đúng/trước hạn)</v>
      </c>
      <c r="D77" s="21" t="n">
        <f aca="false">IFERROR(__xludf.dummyfunction("IF($H$22="""","""",IFERROR(INDEX(filter('DL13. Bài tập'!M4:M503,'DL13. Bài tập'!D4:D503=$H$22),1),""""))"),6)</f>
        <v>6</v>
      </c>
      <c r="E77" s="240" t="str">
        <f aca="false">IFERROR(__xludf.dummyfunction("IF($H$22="""","""",IFERROR(INDEX(filter('DL13. Bài tập'!Q4:Q503,'DL13. Bài tập'!D4:D503=$H$22),1),""""))"),"Tốt")</f>
        <v>Tốt</v>
      </c>
      <c r="F77" s="179"/>
      <c r="G77" s="179"/>
      <c r="H77" s="179"/>
    </row>
    <row r="78" customFormat="false" ht="30.75" hidden="false" customHeight="true" outlineLevel="0" collapsed="false">
      <c r="A78" s="21" t="str">
        <f aca="false">IFERROR(__xludf.dummyfunction("IF($H$22="""","""",IFERROR(INDEX(filter('DL13. Bài tập'!F4:F503,'DL13. Bài tập'!D4:D503=$H$22),2),""""))"),"Grammar")</f>
        <v>Grammar</v>
      </c>
      <c r="B78" s="21" t="str">
        <f aca="false">IFERROR(__xludf.dummyfunction("IF($H$22="""","""",IFERROR(INDEX(filter('DL13. Bài tập'!G4:G503,'DL13. Bài tập'!D4:D503=$H$22),2),""""))"),"Writing (Viết)")</f>
        <v>Writing (Viết)</v>
      </c>
      <c r="C78" s="21" t="str">
        <f aca="false">IFERROR(__xludf.dummyfunction("IF($H$22="""","""",IFERROR(INDEX(filter('DL13. Bài tập'!L4:L503,'DL13. Bài tập'!D4:D503=$H$22),2),""""))"),"submitted_on_time (Nộp đúng/trước hạn)")</f>
        <v>submitted_on_time (Nộp đúng/trước hạn)</v>
      </c>
      <c r="D78" s="21" t="str">
        <f aca="false">IFERROR(__xludf.dummyfunction("IF($H$22="""","""",IFERROR(INDEX(filter('DL13. Bài tập'!M4:M503,'DL13. Bài tập'!D4:D503=$H$22),2),""""))"),"")</f>
        <v/>
      </c>
      <c r="E78" s="240" t="str">
        <f aca="false">IFERROR(__xludf.dummyfunction("IF($H$22="""","""",IFERROR(INDEX(filter('DL13. Bài tập'!Q4:Q503,'DL13. Bài tập'!D4:D503=$H$22),2),""""))"),"")</f>
        <v/>
      </c>
      <c r="F78" s="179"/>
      <c r="G78" s="179"/>
      <c r="H78" s="179"/>
    </row>
    <row r="79" customFormat="false" ht="30.75" hidden="false" customHeight="true" outlineLevel="0" collapsed="false">
      <c r="A79" s="21" t="str">
        <f aca="false">IFERROR(__xludf.dummyfunction("IF($H$22="""","""",IFERROR(INDEX(filter('DL13. Bài tập'!F4:F503,'DL13. Bài tập'!D4:D503=$H$22),3),""""))"),"Vocab set 2")</f>
        <v>Vocab set 2</v>
      </c>
      <c r="B79" s="21" t="str">
        <f aca="false">IFERROR(__xludf.dummyfunction("IF($H$22="""","""",IFERROR(INDEX(filter('DL13. Bài tập'!G4:G503,'DL13. Bài tập'!D4:D503=$H$22),3),""""))"),"Writing (Viết)")</f>
        <v>Writing (Viết)</v>
      </c>
      <c r="C79" s="21" t="str">
        <f aca="false">IFERROR(__xludf.dummyfunction("IF($H$22="""","""",IFERROR(INDEX(filter('DL13. Bài tập'!L4:L503,'DL13. Bài tập'!D4:D503=$H$22),3),""""))"),"submitted_on_time (Nộp đúng/trước hạn)")</f>
        <v>submitted_on_time (Nộp đúng/trước hạn)</v>
      </c>
      <c r="D79" s="21" t="n">
        <f aca="false">IFERROR(__xludf.dummyfunction("IF($H$22="""","""",IFERROR(INDEX(filter('DL13. Bài tập'!M4:M503,'DL13. Bài tập'!D4:D503=$H$22),3),""""))"),6.5)</f>
        <v>6.5</v>
      </c>
      <c r="E79" s="240" t="str">
        <f aca="false">IFERROR(__xludf.dummyfunction("IF($H$22="""","""",IFERROR(INDEX(filter('DL13. Bài tập'!Q4:Q503,'DL13. Bài tập'!D4:D503=$H$22),3),""""))"),"Tốt")</f>
        <v>Tốt</v>
      </c>
      <c r="F79" s="179"/>
      <c r="G79" s="179"/>
      <c r="H79" s="179"/>
    </row>
    <row r="80" customFormat="false" ht="30.75" hidden="false" customHeight="true" outlineLevel="0" collapsed="false">
      <c r="A80" s="21" t="str">
        <f aca="false">IFERROR(__xludf.dummyfunction("IF($H$22="""","""",IFERROR(INDEX(filter('DL13. Bài tập'!F4:F503,'DL13. Bài tập'!D4:D503=$H$22),4),""""))"),"")</f>
        <v/>
      </c>
      <c r="B80" s="21" t="str">
        <f aca="false">IFERROR(__xludf.dummyfunction("IF($H$22="""","""",IFERROR(INDEX(filter('DL13. Bài tập'!G4:G503,'DL13. Bài tập'!D4:D503=$H$22),4),""""))"),"")</f>
        <v/>
      </c>
      <c r="C80" s="21" t="str">
        <f aca="false">IFERROR(__xludf.dummyfunction("IF($H$22="""","""",IFERROR(INDEX(filter('DL13. Bài tập'!L4:L503,'DL13. Bài tập'!D4:D503=$H$22),4),""""))"),"")</f>
        <v/>
      </c>
      <c r="D80" s="21" t="str">
        <f aca="false">IFERROR(__xludf.dummyfunction("IF($H$22="""","""",IFERROR(INDEX(filter('DL13. Bài tập'!M4:M503,'DL13. Bài tập'!D4:D503=$H$22),4),""""))"),"")</f>
        <v/>
      </c>
      <c r="E80" s="240" t="str">
        <f aca="false">IFERROR(__xludf.dummyfunction("IF($H$22="""","""",IFERROR(INDEX(filter('DL13. Bài tập'!Q4:Q503,'DL13. Bài tập'!D4:D503=$H$22),4),""""))"),"")</f>
        <v/>
      </c>
      <c r="F80" s="179"/>
      <c r="G80" s="179"/>
      <c r="H80" s="179"/>
    </row>
    <row r="81" customFormat="false" ht="30.75" hidden="false" customHeight="true" outlineLevel="0" collapsed="false">
      <c r="A81" s="21" t="str">
        <f aca="false">IFERROR(__xludf.dummyfunction("IF($H$22="""","""",IFERROR(INDEX(filter('DL13. Bài tập'!F4:F503,'DL13. Bài tập'!D4:D503=$H$22),5),""""))"),"")</f>
        <v/>
      </c>
      <c r="B81" s="21" t="str">
        <f aca="false">IFERROR(__xludf.dummyfunction("IF($H$22="""","""",IFERROR(INDEX(filter('DL13. Bài tập'!G4:G503,'DL13. Bài tập'!D4:D503=$H$22),5),""""))"),"")</f>
        <v/>
      </c>
      <c r="C81" s="21" t="str">
        <f aca="false">IFERROR(__xludf.dummyfunction("IF($H$22="""","""",IFERROR(INDEX(filter('DL13. Bài tập'!L4:L503,'DL13. Bài tập'!D4:D503=$H$22),5),""""))"),"")</f>
        <v/>
      </c>
      <c r="D81" s="21" t="str">
        <f aca="false">IFERROR(__xludf.dummyfunction("IF($H$22="""","""",IFERROR(INDEX(filter('DL13. Bài tập'!M4:M503,'DL13. Bài tập'!D4:D503=$H$22),5),""""))"),"")</f>
        <v/>
      </c>
      <c r="E81" s="240" t="str">
        <f aca="false">IFERROR(__xludf.dummyfunction("IF($H$22="""","""",IFERROR(INDEX(filter('DL13. Bài tập'!Q4:Q503,'DL13. Bài tập'!D4:D503=$H$22),5),""""))"),"")</f>
        <v/>
      </c>
      <c r="F81" s="179"/>
      <c r="G81" s="179"/>
      <c r="H81" s="179"/>
    </row>
    <row r="82" customFormat="false" ht="30.75" hidden="false" customHeight="true" outlineLevel="0" collapsed="false">
      <c r="A82" s="21" t="str">
        <f aca="false">IFERROR(__xludf.dummyfunction("IF($H$22="""","""",IFERROR(INDEX(filter('DL13. Bài tập'!F4:F503,'DL13. Bài tập'!D4:D503=$H$22),6),""""))"),"")</f>
        <v/>
      </c>
      <c r="B82" s="21" t="str">
        <f aca="false">IFERROR(__xludf.dummyfunction("IF($H$22="""","""",IFERROR(INDEX(filter('DL13. Bài tập'!G4:G503,'DL13. Bài tập'!D4:D503=$H$22),6),""""))"),"")</f>
        <v/>
      </c>
      <c r="C82" s="21" t="str">
        <f aca="false">IFERROR(__xludf.dummyfunction("IF($H$22="""","""",IFERROR(INDEX(filter('DL13. Bài tập'!L4:L503,'DL13. Bài tập'!D4:D503=$H$22),6),""""))"),"")</f>
        <v/>
      </c>
      <c r="D82" s="21" t="str">
        <f aca="false">IFERROR(__xludf.dummyfunction("IF($H$22="""","""",IFERROR(INDEX(filter('DL13. Bài tập'!M4:M503,'DL13. Bài tập'!D4:D503=$H$22),6),""""))"),"")</f>
        <v/>
      </c>
      <c r="E82" s="240" t="str">
        <f aca="false">IFERROR(__xludf.dummyfunction("IF($H$22="""","""",IFERROR(INDEX(filter('DL13. Bài tập'!Q4:Q503,'DL13. Bài tập'!D4:D503=$H$22),6),""""))"),"")</f>
        <v/>
      </c>
      <c r="F82" s="179"/>
      <c r="G82" s="179"/>
      <c r="H82" s="179"/>
    </row>
    <row r="83" customFormat="false" ht="15" hidden="false" customHeight="true" outlineLevel="0" collapsed="false">
      <c r="A83" s="179"/>
      <c r="B83" s="179"/>
      <c r="C83" s="179"/>
      <c r="D83" s="179"/>
      <c r="E83" s="179"/>
      <c r="F83" s="179"/>
      <c r="G83" s="179"/>
      <c r="H83" s="179"/>
    </row>
    <row r="84" customFormat="false" ht="26.25" hidden="false" customHeight="true" outlineLevel="0" collapsed="false">
      <c r="A84" s="290" t="s">
        <v>3756</v>
      </c>
      <c r="B84" s="290"/>
      <c r="C84" s="290"/>
      <c r="D84" s="290"/>
      <c r="E84" s="290"/>
      <c r="F84" s="290"/>
      <c r="G84" s="179"/>
      <c r="H84" s="179"/>
    </row>
    <row r="85" customFormat="false" ht="19.5" hidden="false" customHeight="true" outlineLevel="0" collapsed="false">
      <c r="A85" s="282" t="s">
        <v>3757</v>
      </c>
      <c r="B85" s="282" t="s">
        <v>250</v>
      </c>
      <c r="C85" s="282" t="s">
        <v>3310</v>
      </c>
      <c r="D85" s="282" t="s">
        <v>3758</v>
      </c>
      <c r="E85" s="179"/>
      <c r="F85" s="179"/>
      <c r="G85" s="179"/>
      <c r="H85" s="179"/>
    </row>
    <row r="86" customFormat="false" ht="18" hidden="false" customHeight="true" outlineLevel="0" collapsed="false">
      <c r="A86" s="80" t="str">
        <f aca="false">IFERROR(__xludf.dummyfunction("IF($H$22="""","""",IFERROR(INDEX(filter('DL12. Điểm danh'!B4:B503,'DL12. Điểm danh'!C4:C503=$H$22),1),""""))"),"SES-001")</f>
        <v>SES-001</v>
      </c>
      <c r="B86" s="21" t="str">
        <f aca="false">IFERROR(__xludf.dummyfunction("IF($H$22="""","""",IFERROR(INDEX(filter('DL12. Điểm danh'!E4:E503,'DL12. Điểm danh'!C4:C503=$H$22),1),""""))"),"on_time (Đúng giờ)")</f>
        <v>on_time (Đúng giờ)</v>
      </c>
      <c r="C86" s="21" t="str">
        <f aca="false">IFERROR(__xludf.dummyfunction("IF($H$22="""","""",IFERROR(INDEX(filter('DL12. Điểm danh'!F4:F503,'DL12. Điểm danh'!C4:C503=$H$22),1),""""))"),"")</f>
        <v/>
      </c>
      <c r="D86" s="21" t="str">
        <f aca="false">IFERROR(__xludf.dummyfunction("IF($H$22="""","""",IFERROR(INDEX(filter('DL12. Điểm danh'!H4:H503,'DL12. Điểm danh'!C4:C503=$H$22),1),""""))"),"good (Tốt)")</f>
        <v>good (Tốt)</v>
      </c>
      <c r="E86" s="179"/>
      <c r="F86" s="179"/>
      <c r="G86" s="179"/>
      <c r="H86" s="179"/>
    </row>
    <row r="87" customFormat="false" ht="18" hidden="false" customHeight="true" outlineLevel="0" collapsed="false">
      <c r="A87" s="80" t="str">
        <f aca="false">IFERROR(__xludf.dummyfunction("IF($H$22="""","""",IFERROR(INDEX(filter('DL12. Điểm danh'!B4:B503,'DL12. Điểm danh'!C4:C503=$H$22),2),""""))"),"SES-009")</f>
        <v>SES-009</v>
      </c>
      <c r="B87" s="21" t="str">
        <f aca="false">IFERROR(__xludf.dummyfunction("IF($H$22="""","""",IFERROR(INDEX(filter('DL12. Điểm danh'!E4:E503,'DL12. Điểm danh'!C4:C503=$H$22),2),""""))"),"late (Trễ)")</f>
        <v>late (Trễ)</v>
      </c>
      <c r="C87" s="21" t="str">
        <f aca="false">IFERROR(__xludf.dummyfunction("IF($H$22="""","""",IFERROR(INDEX(filter('DL12. Điểm danh'!F4:F503,'DL12. Điểm danh'!C4:C503=$H$22),2),""""))"),"")</f>
        <v/>
      </c>
      <c r="D87" s="21" t="str">
        <f aca="false">IFERROR(__xludf.dummyfunction("IF($H$22="""","""",IFERROR(INDEX(filter('DL12. Điểm danh'!H4:H503,'DL12. Điểm danh'!C4:C503=$H$22),2),""""))"),"average (Bình thường)")</f>
        <v>average (Bình thường)</v>
      </c>
      <c r="E87" s="179"/>
      <c r="F87" s="179"/>
      <c r="G87" s="179"/>
      <c r="H87" s="179"/>
    </row>
    <row r="88" customFormat="false" ht="18" hidden="false" customHeight="true" outlineLevel="0" collapsed="false">
      <c r="A88" s="80" t="str">
        <f aca="false">IFERROR(__xludf.dummyfunction("IF($H$22="""","""",IFERROR(INDEX(filter('DL12. Điểm danh'!B4:B503,'DL12. Điểm danh'!C4:C503=$H$22),3),""""))"),"SES-016")</f>
        <v>SES-016</v>
      </c>
      <c r="B88" s="21" t="str">
        <f aca="false">IFERROR(__xludf.dummyfunction("IF($H$22="""","""",IFERROR(INDEX(filter('DL12. Điểm danh'!E4:E503,'DL12. Điểm danh'!C4:C503=$H$22),3),""""))"),"on_time (Đúng giờ)")</f>
        <v>on_time (Đúng giờ)</v>
      </c>
      <c r="C88" s="21" t="str">
        <f aca="false">IFERROR(__xludf.dummyfunction("IF($H$22="""","""",IFERROR(INDEX(filter('DL12. Điểm danh'!F4:F503,'DL12. Điểm danh'!C4:C503=$H$22),3),""""))"),"")</f>
        <v/>
      </c>
      <c r="D88" s="21" t="str">
        <f aca="false">IFERROR(__xludf.dummyfunction("IF($H$22="""","""",IFERROR(INDEX(filter('DL12. Điểm danh'!H4:H503,'DL12. Điểm danh'!C4:C503=$H$22),3),""""))"),"good (Tốt)")</f>
        <v>good (Tốt)</v>
      </c>
      <c r="E88" s="179"/>
      <c r="F88" s="179"/>
      <c r="G88" s="179"/>
      <c r="H88" s="179"/>
    </row>
    <row r="89" customFormat="false" ht="18" hidden="false" customHeight="true" outlineLevel="0" collapsed="false">
      <c r="A89" s="21" t="str">
        <f aca="false">IFERROR(__xludf.dummyfunction("IF($H$22="""","""",IFERROR(INDEX(filter('DL12. Điểm danh'!B4:B503,'DL12. Điểm danh'!C4:C503=$H$22),4),""""))"),"")</f>
        <v/>
      </c>
      <c r="B89" s="21" t="str">
        <f aca="false">IFERROR(__xludf.dummyfunction("IF($H$22="""","""",IFERROR(INDEX(filter('DL12. Điểm danh'!E4:E503,'DL12. Điểm danh'!C4:C503=$H$22),4),""""))"),"")</f>
        <v/>
      </c>
      <c r="C89" s="21" t="str">
        <f aca="false">IFERROR(__xludf.dummyfunction("IF($H$22="""","""",IFERROR(INDEX(filter('DL12. Điểm danh'!F4:F503,'DL12. Điểm danh'!C4:C503=$H$22),4),""""))"),"")</f>
        <v/>
      </c>
      <c r="D89" s="21" t="str">
        <f aca="false">IFERROR(__xludf.dummyfunction("IF($H$22="""","""",IFERROR(INDEX(filter('DL12. Điểm danh'!H4:H503,'DL12. Điểm danh'!C4:C503=$H$22),4),""""))"),"")</f>
        <v/>
      </c>
      <c r="E89" s="179"/>
      <c r="F89" s="179"/>
      <c r="G89" s="179"/>
      <c r="H89" s="179"/>
    </row>
    <row r="90" customFormat="false" ht="18" hidden="false" customHeight="true" outlineLevel="0" collapsed="false">
      <c r="A90" s="21" t="str">
        <f aca="false">IFERROR(__xludf.dummyfunction("IF($H$22="""","""",IFERROR(INDEX(filter('DL12. Điểm danh'!B4:B503,'DL12. Điểm danh'!C4:C503=$H$22),5),""""))"),"")</f>
        <v/>
      </c>
      <c r="B90" s="21" t="str">
        <f aca="false">IFERROR(__xludf.dummyfunction("IF($H$22="""","""",IFERROR(INDEX(filter('DL12. Điểm danh'!E4:E503,'DL12. Điểm danh'!C4:C503=$H$22),5),""""))"),"")</f>
        <v/>
      </c>
      <c r="C90" s="21" t="str">
        <f aca="false">IFERROR(__xludf.dummyfunction("IF($H$22="""","""",IFERROR(INDEX(filter('DL12. Điểm danh'!F4:F503,'DL12. Điểm danh'!C4:C503=$H$22),5),""""))"),"")</f>
        <v/>
      </c>
      <c r="D90" s="21" t="str">
        <f aca="false">IFERROR(__xludf.dummyfunction("IF($H$22="""","""",IFERROR(INDEX(filter('DL12. Điểm danh'!H4:H503,'DL12. Điểm danh'!C4:C503=$H$22),5),""""))"),"")</f>
        <v/>
      </c>
      <c r="E90" s="179"/>
      <c r="F90" s="179"/>
      <c r="G90" s="179"/>
      <c r="H90" s="179"/>
    </row>
    <row r="91" customFormat="false" ht="18" hidden="false" customHeight="true" outlineLevel="0" collapsed="false">
      <c r="A91" s="21" t="str">
        <f aca="false">IFERROR(__xludf.dummyfunction("IF($H$22="""","""",IFERROR(INDEX(filter('DL12. Điểm danh'!B4:B503,'DL12. Điểm danh'!C4:C503=$H$22),6),""""))"),"")</f>
        <v/>
      </c>
      <c r="B91" s="21" t="str">
        <f aca="false">IFERROR(__xludf.dummyfunction("IF($H$22="""","""",IFERROR(INDEX(filter('DL12. Điểm danh'!E4:E503,'DL12. Điểm danh'!C4:C503=$H$22),6),""""))"),"")</f>
        <v/>
      </c>
      <c r="C91" s="21" t="str">
        <f aca="false">IFERROR(__xludf.dummyfunction("IF($H$22="""","""",IFERROR(INDEX(filter('DL12. Điểm danh'!F4:F503,'DL12. Điểm danh'!C4:C503=$H$22),6),""""))"),"")</f>
        <v/>
      </c>
      <c r="D91" s="21" t="str">
        <f aca="false">IFERROR(__xludf.dummyfunction("IF($H$22="""","""",IFERROR(INDEX(filter('DL12. Điểm danh'!H4:H503,'DL12. Điểm danh'!C4:C503=$H$22),6),""""))"),"")</f>
        <v/>
      </c>
      <c r="E91" s="179"/>
      <c r="F91" s="179"/>
      <c r="G91" s="179"/>
      <c r="H91" s="179"/>
    </row>
    <row r="92" customFormat="false" ht="15" hidden="false" customHeight="true" outlineLevel="0" collapsed="false">
      <c r="A92" s="179"/>
      <c r="B92" s="179"/>
      <c r="C92" s="179"/>
      <c r="D92" s="179"/>
      <c r="E92" s="179"/>
      <c r="F92" s="179"/>
      <c r="G92" s="179"/>
      <c r="H92" s="179"/>
    </row>
    <row r="93" customFormat="false" ht="26.25" hidden="false" customHeight="true" outlineLevel="0" collapsed="false">
      <c r="A93" s="290" t="s">
        <v>3759</v>
      </c>
      <c r="B93" s="290"/>
      <c r="C93" s="290"/>
      <c r="D93" s="290"/>
      <c r="E93" s="290"/>
      <c r="F93" s="290"/>
      <c r="G93" s="179"/>
      <c r="H93" s="179"/>
    </row>
    <row r="94" customFormat="false" ht="19.5" hidden="false" customHeight="true" outlineLevel="0" collapsed="false">
      <c r="A94" s="282" t="s">
        <v>3167</v>
      </c>
      <c r="B94" s="282" t="s">
        <v>3729</v>
      </c>
      <c r="C94" s="282" t="s">
        <v>3730</v>
      </c>
      <c r="D94" s="282" t="s">
        <v>2493</v>
      </c>
      <c r="E94" s="282" t="s">
        <v>3731</v>
      </c>
      <c r="F94" s="179"/>
      <c r="G94" s="179"/>
      <c r="H94" s="179"/>
    </row>
    <row r="95" customFormat="false" ht="18" hidden="false" customHeight="true" outlineLevel="0" collapsed="false">
      <c r="A95" s="21" t="str">
        <f aca="false">IFERROR(__xludf.dummyfunction("IF($H$22="""","""",IFERROR(INDEX(filter('DL18. Kết thúc khóa'!D4:D503,'DL18. Kết thúc khóa'!B4:B503=$H$22),1),""""))"),"")</f>
        <v/>
      </c>
      <c r="B95" s="255" t="str">
        <f aca="false">IFERROR(__xludf.dummyfunction("IF($H$22="""","""",IFERROR(INDEX(filter('DL18. Kết thúc khóa'!G4:G503,'DL18. Kết thúc khóa'!B4:B503=$H$22),1),""""))"),"")</f>
        <v/>
      </c>
      <c r="C95" s="21" t="str">
        <f aca="false">IFERROR(__xludf.dummyfunction("IF($H$22="""","""",IFERROR(INDEX(filter('DL18. Kết thúc khóa'!I4:I503,'DL18. Kết thúc khóa'!B4:B503=$H$22),1),""""))"),"")</f>
        <v/>
      </c>
      <c r="D95" s="21" t="str">
        <f aca="false">IFERROR(__xludf.dummyfunction("IF($H$22="""","""",IFERROR(INDEX(filter('DL18. Kết thúc khóa'!N4:N503,'DL18. Kết thúc khóa'!B4:B503=$H$22),1),""""))"),"")</f>
        <v/>
      </c>
      <c r="E95" s="21" t="str">
        <f aca="false">IFERROR(__xludf.dummyfunction("IF($H$22="""","""",IFERROR(INDEX(filter('DL18. Kết thúc khóa'!O4:O503,'DL18. Kết thúc khóa'!B4:B503=$H$22),1),""""))"),"")</f>
        <v/>
      </c>
      <c r="F95" s="179"/>
      <c r="G95" s="179"/>
      <c r="H95" s="179"/>
    </row>
    <row r="96" customFormat="false" ht="18" hidden="false" customHeight="true" outlineLevel="0" collapsed="false">
      <c r="A96" s="21" t="str">
        <f aca="false">IFERROR(__xludf.dummyfunction("IF($H$22="""","""",IFERROR(INDEX(filter('DL18. Kết thúc khóa'!D4:D503,'DL18. Kết thúc khóa'!B4:B503=$H$22),2),""""))"),"")</f>
        <v/>
      </c>
      <c r="B96" s="255" t="str">
        <f aca="false">IFERROR(__xludf.dummyfunction("IF($H$22="""","""",IFERROR(INDEX(filter('DL18. Kết thúc khóa'!G4:G503,'DL18. Kết thúc khóa'!B4:B503=$H$22),2),""""))"),"")</f>
        <v/>
      </c>
      <c r="C96" s="21" t="str">
        <f aca="false">IFERROR(__xludf.dummyfunction("IF($H$22="""","""",IFERROR(INDEX(filter('DL18. Kết thúc khóa'!I4:I503,'DL18. Kết thúc khóa'!B4:B503=$H$22),2),""""))"),"")</f>
        <v/>
      </c>
      <c r="D96" s="21" t="str">
        <f aca="false">IFERROR(__xludf.dummyfunction("IF($H$22="""","""",IFERROR(INDEX(filter('DL18. Kết thúc khóa'!N4:N503,'DL18. Kết thúc khóa'!B4:B503=$H$22),2),""""))"),"")</f>
        <v/>
      </c>
      <c r="E96" s="21" t="str">
        <f aca="false">IFERROR(__xludf.dummyfunction("IF($H$22="""","""",IFERROR(INDEX(filter('DL18. Kết thúc khóa'!O4:O503,'DL18. Kết thúc khóa'!B4:B503=$H$22),2),""""))"),"")</f>
        <v/>
      </c>
      <c r="F96" s="179"/>
      <c r="G96" s="179"/>
      <c r="H96" s="179"/>
    </row>
    <row r="97" customFormat="false" ht="18" hidden="false" customHeight="true" outlineLevel="0" collapsed="false">
      <c r="A97" s="21" t="str">
        <f aca="false">IFERROR(__xludf.dummyfunction("IF($H$22="""","""",IFERROR(INDEX(filter('DL18. Kết thúc khóa'!D4:D503,'DL18. Kết thúc khóa'!B4:B503=$H$22),3),""""))"),"")</f>
        <v/>
      </c>
      <c r="B97" s="255" t="str">
        <f aca="false">IFERROR(__xludf.dummyfunction("IF($H$22="""","""",IFERROR(INDEX(filter('DL18. Kết thúc khóa'!G4:G503,'DL18. Kết thúc khóa'!B4:B503=$H$22),3),""""))"),"")</f>
        <v/>
      </c>
      <c r="C97" s="21" t="str">
        <f aca="false">IFERROR(__xludf.dummyfunction("IF($H$22="""","""",IFERROR(INDEX(filter('DL18. Kết thúc khóa'!I4:I503,'DL18. Kết thúc khóa'!B4:B503=$H$22),3),""""))"),"")</f>
        <v/>
      </c>
      <c r="D97" s="21" t="str">
        <f aca="false">IFERROR(__xludf.dummyfunction("IF($H$22="""","""",IFERROR(INDEX(filter('DL18. Kết thúc khóa'!N4:N503,'DL18. Kết thúc khóa'!B4:B503=$H$22),3),""""))"),"")</f>
        <v/>
      </c>
      <c r="E97" s="21" t="str">
        <f aca="false">IFERROR(__xludf.dummyfunction("IF($H$22="""","""",IFERROR(INDEX(filter('DL18. Kết thúc khóa'!O4:O503,'DL18. Kết thúc khóa'!B4:B503=$H$22),3),""""))"),"")</f>
        <v/>
      </c>
      <c r="F97" s="179"/>
      <c r="G97" s="179"/>
      <c r="H97" s="179"/>
    </row>
    <row r="98" customFormat="false" ht="15" hidden="false" customHeight="true" outlineLevel="0" collapsed="false">
      <c r="A98" s="179"/>
      <c r="B98" s="179"/>
      <c r="C98" s="179"/>
      <c r="D98" s="179"/>
      <c r="E98" s="179"/>
      <c r="F98" s="179"/>
      <c r="G98" s="179"/>
      <c r="H98" s="179"/>
    </row>
    <row r="99" customFormat="false" ht="26.25" hidden="false" customHeight="true" outlineLevel="0" collapsed="false">
      <c r="A99" s="290" t="s">
        <v>1789</v>
      </c>
      <c r="B99" s="290"/>
      <c r="C99" s="290"/>
      <c r="D99" s="290"/>
      <c r="E99" s="290"/>
      <c r="F99" s="290"/>
      <c r="G99" s="179"/>
      <c r="H99" s="179"/>
    </row>
    <row r="100" customFormat="false" ht="23.25" hidden="false" customHeight="true" outlineLevel="0" collapsed="false">
      <c r="A100" s="282" t="s">
        <v>3433</v>
      </c>
      <c r="B100" s="282" t="s">
        <v>3360</v>
      </c>
      <c r="C100" s="282" t="s">
        <v>250</v>
      </c>
      <c r="D100" s="282" t="s">
        <v>3439</v>
      </c>
      <c r="E100" s="179"/>
      <c r="F100" s="179"/>
      <c r="G100" s="179"/>
      <c r="H100" s="179"/>
    </row>
    <row r="101" customFormat="false" ht="15" hidden="false" customHeight="true" outlineLevel="0" collapsed="false">
      <c r="A101" s="178" t="n">
        <f aca="false">IFERROR(__xludf.dummyfunction("IF($H$22="""","""",IFERROR(INDEX(filter('DL14. Buổi WOW 1-1'!E4:E500,'DL14. Buổi WOW 1-1'!C4:C500=$H$22),1),""""))"),46209.375)</f>
        <v>46209.375</v>
      </c>
      <c r="B101" s="21" t="str">
        <f aca="false">IFERROR(__xludf.dummyfunction("IF($H$22="""","""",IFERROR(INDEX(filter('DL14. Buổi WOW 1-1'!H4:H500,'DL14. Buổi WOW 1-1'!C4:C500=$H$22),1),""""))"),"Reading (Đọc)")</f>
        <v>Reading (Đọc)</v>
      </c>
      <c r="C101" s="21" t="str">
        <f aca="false">IFERROR(__xludf.dummyfunction("IF($H$22="""","""",IFERROR(INDEX(filter('DL14. Buổi WOW 1-1'!L4:L500,'DL14. Buổi WOW 1-1'!C4:C500=$H$22),1),""""))"),"booked (Đã đặt)")</f>
        <v>booked (Đã đặt)</v>
      </c>
      <c r="D101" s="21" t="str">
        <f aca="false">IFERROR(__xludf.dummyfunction("IF($H$22="""","""",IFERROR(INDEX(filter('DL14. Buổi WOW 1-1'!N4:N500,'DL14. Buổi WOW 1-1'!C4:C500=$H$22),1),""""))"),"")</f>
        <v/>
      </c>
      <c r="E101" s="179"/>
      <c r="F101" s="179"/>
      <c r="G101" s="179"/>
      <c r="H101" s="179"/>
    </row>
    <row r="102" customFormat="false" ht="15" hidden="false" customHeight="true" outlineLevel="0" collapsed="false">
      <c r="A102" s="178" t="str">
        <f aca="false">IFERROR(__xludf.dummyfunction("IF($H$22="""","""",IFERROR(INDEX(filter('DL14. Buổi WOW 1-1'!E4:E500,'DL14. Buổi WOW 1-1'!C4:C500=$H$22),2),""""))"),"")</f>
        <v/>
      </c>
      <c r="B102" s="21" t="str">
        <f aca="false">IFERROR(__xludf.dummyfunction("IF($H$22="""","""",IFERROR(INDEX(filter('DL14. Buổi WOW 1-1'!H4:H500,'DL14. Buổi WOW 1-1'!C4:C500=$H$22),2),""""))"),"")</f>
        <v/>
      </c>
      <c r="C102" s="21" t="str">
        <f aca="false">IFERROR(__xludf.dummyfunction("IF($H$22="""","""",IFERROR(INDEX(filter('DL14. Buổi WOW 1-1'!L4:L500,'DL14. Buổi WOW 1-1'!C4:C500=$H$22),2),""""))"),"")</f>
        <v/>
      </c>
      <c r="D102" s="21" t="str">
        <f aca="false">IFERROR(__xludf.dummyfunction("IF($H$22="""","""",IFERROR(INDEX(filter('DL14. Buổi WOW 1-1'!N4:N500,'DL14. Buổi WOW 1-1'!C4:C500=$H$22),2),""""))"),"")</f>
        <v/>
      </c>
      <c r="E102" s="179"/>
      <c r="F102" s="179"/>
      <c r="G102" s="179"/>
      <c r="H102" s="179"/>
    </row>
    <row r="103" customFormat="false" ht="15" hidden="false" customHeight="true" outlineLevel="0" collapsed="false">
      <c r="A103" s="178" t="str">
        <f aca="false">IFERROR(__xludf.dummyfunction("IF($H$22="""","""",IFERROR(INDEX(filter('DL14. Buổi WOW 1-1'!E4:E500,'DL14. Buổi WOW 1-1'!C4:C500=$H$22),3),""""))"),"")</f>
        <v/>
      </c>
      <c r="B103" s="21" t="str">
        <f aca="false">IFERROR(__xludf.dummyfunction("IF($H$22="""","""",IFERROR(INDEX(filter('DL14. Buổi WOW 1-1'!H4:H500,'DL14. Buổi WOW 1-1'!C4:C500=$H$22),3),""""))"),"")</f>
        <v/>
      </c>
      <c r="C103" s="21" t="str">
        <f aca="false">IFERROR(__xludf.dummyfunction("IF($H$22="""","""",IFERROR(INDEX(filter('DL14. Buổi WOW 1-1'!L4:L500,'DL14. Buổi WOW 1-1'!C4:C500=$H$22),3),""""))"),"")</f>
        <v/>
      </c>
      <c r="D103" s="21" t="str">
        <f aca="false">IFERROR(__xludf.dummyfunction("IF($H$22="""","""",IFERROR(INDEX(filter('DL14. Buổi WOW 1-1'!N4:N500,'DL14. Buổi WOW 1-1'!C4:C500=$H$22),3),""""))"),"")</f>
        <v/>
      </c>
      <c r="E103" s="179"/>
      <c r="F103" s="179"/>
      <c r="G103" s="179"/>
      <c r="H103" s="179"/>
    </row>
    <row r="104" customFormat="false" ht="15" hidden="false" customHeight="true" outlineLevel="0" collapsed="false">
      <c r="A104" s="178" t="str">
        <f aca="false">IFERROR(__xludf.dummyfunction("IF($H$22="""","""",IFERROR(INDEX(filter('DL14. Buổi WOW 1-1'!E4:E500,'DL14. Buổi WOW 1-1'!C4:C500=$H$22),4),""""))"),"")</f>
        <v/>
      </c>
      <c r="B104" s="21" t="str">
        <f aca="false">IFERROR(__xludf.dummyfunction("IF($H$22="""","""",IFERROR(INDEX(filter('DL14. Buổi WOW 1-1'!H4:H500,'DL14. Buổi WOW 1-1'!C4:C500=$H$22),4),""""))"),"")</f>
        <v/>
      </c>
      <c r="C104" s="21" t="str">
        <f aca="false">IFERROR(__xludf.dummyfunction("IF($H$22="""","""",IFERROR(INDEX(filter('DL14. Buổi WOW 1-1'!L4:L500,'DL14. Buổi WOW 1-1'!C4:C500=$H$22),4),""""))"),"")</f>
        <v/>
      </c>
      <c r="D104" s="21" t="str">
        <f aca="false">IFERROR(__xludf.dummyfunction("IF($H$22="""","""",IFERROR(INDEX(filter('DL14. Buổi WOW 1-1'!N4:N500,'DL14. Buổi WOW 1-1'!C4:C500=$H$22),4),""""))"),"")</f>
        <v/>
      </c>
      <c r="E104" s="179"/>
      <c r="F104" s="179"/>
      <c r="G104" s="179"/>
      <c r="H104" s="179"/>
    </row>
    <row r="105" customFormat="false" ht="15" hidden="false" customHeight="true" outlineLevel="0" collapsed="false">
      <c r="A105" s="179"/>
      <c r="B105" s="179"/>
      <c r="C105" s="179"/>
      <c r="D105" s="179"/>
      <c r="E105" s="179"/>
      <c r="F105" s="179"/>
      <c r="G105" s="179"/>
      <c r="H105" s="179"/>
    </row>
    <row r="106" customFormat="false" ht="26.25" hidden="false" customHeight="true" outlineLevel="0" collapsed="false">
      <c r="A106" s="290" t="s">
        <v>3760</v>
      </c>
      <c r="B106" s="290"/>
      <c r="C106" s="290"/>
      <c r="D106" s="290"/>
      <c r="E106" s="290"/>
      <c r="F106" s="290"/>
      <c r="G106" s="179"/>
      <c r="H106" s="179"/>
    </row>
    <row r="107" customFormat="false" ht="23.25" hidden="false" customHeight="true" outlineLevel="0" collapsed="false">
      <c r="A107" s="282" t="s">
        <v>3761</v>
      </c>
      <c r="B107" s="282" t="s">
        <v>470</v>
      </c>
      <c r="C107" s="282" t="s">
        <v>3589</v>
      </c>
      <c r="D107" s="282" t="s">
        <v>250</v>
      </c>
      <c r="E107" s="179"/>
      <c r="F107" s="179"/>
      <c r="G107" s="179"/>
      <c r="H107" s="179"/>
    </row>
    <row r="108" customFormat="false" ht="15" hidden="false" customHeight="true" outlineLevel="0" collapsed="false">
      <c r="A108" s="21" t="str">
        <f aca="false">IFERROR(__xludf.dummyfunction("IF($H$22="""","""",IFERROR(INDEX(filter('DL17. Khiếu nại'!A4:A500,'DL17. Khiếu nại'!B4:B500=$H$22),1),""""))"),"")</f>
        <v/>
      </c>
      <c r="B108" s="21" t="str">
        <f aca="false">IFERROR(__xludf.dummyfunction("IF($H$22="""","""",IFERROR(INDEX(filter('DL17. Khiếu nại'!G4:G500,'DL17. Khiếu nại'!B4:B500=$H$22),1),""""))"),"")</f>
        <v/>
      </c>
      <c r="C108" s="21" t="str">
        <f aca="false">IFERROR(__xludf.dummyfunction("IF($H$22="""","""",IFERROR(INDEX(filter('DL17. Khiếu nại'!H4:H500,'DL17. Khiếu nại'!B4:B500=$H$22),1),""""))"),"")</f>
        <v/>
      </c>
      <c r="D108" s="21" t="str">
        <f aca="false">IFERROR(__xludf.dummyfunction("IF($H$22="""","""",IFERROR(INDEX(filter('DL17. Khiếu nại'!J4:J500,'DL17. Khiếu nại'!B4:B500=$H$22),1),""""))"),"")</f>
        <v/>
      </c>
      <c r="E108" s="179"/>
      <c r="F108" s="179"/>
      <c r="G108" s="179"/>
      <c r="H108" s="179"/>
    </row>
    <row r="109" customFormat="false" ht="15" hidden="false" customHeight="true" outlineLevel="0" collapsed="false">
      <c r="A109" s="21" t="str">
        <f aca="false">IFERROR(__xludf.dummyfunction("IF($H$22="""","""",IFERROR(INDEX(filter('DL17. Khiếu nại'!A4:A500,'DL17. Khiếu nại'!B4:B500=$H$22),2),""""))"),"")</f>
        <v/>
      </c>
      <c r="B109" s="21" t="str">
        <f aca="false">IFERROR(__xludf.dummyfunction("IF($H$22="""","""",IFERROR(INDEX(filter('DL17. Khiếu nại'!G4:G500,'DL17. Khiếu nại'!B4:B500=$H$22),2),""""))"),"")</f>
        <v/>
      </c>
      <c r="C109" s="21" t="str">
        <f aca="false">IFERROR(__xludf.dummyfunction("IF($H$22="""","""",IFERROR(INDEX(filter('DL17. Khiếu nại'!H4:H500,'DL17. Khiếu nại'!B4:B500=$H$22),2),""""))"),"")</f>
        <v/>
      </c>
      <c r="D109" s="21" t="str">
        <f aca="false">IFERROR(__xludf.dummyfunction("IF($H$22="""","""",IFERROR(INDEX(filter('DL17. Khiếu nại'!J4:J500,'DL17. Khiếu nại'!B4:B500=$H$22),2),""""))"),"")</f>
        <v/>
      </c>
      <c r="E109" s="179"/>
      <c r="F109" s="179"/>
      <c r="G109" s="179"/>
      <c r="H109" s="179"/>
    </row>
    <row r="110" customFormat="false" ht="15" hidden="false" customHeight="true" outlineLevel="0" collapsed="false">
      <c r="A110" s="21" t="str">
        <f aca="false">IFERROR(__xludf.dummyfunction("IF($H$22="""","""",IFERROR(INDEX(filter('DL17. Khiếu nại'!A4:A500,'DL17. Khiếu nại'!B4:B500=$H$22),3),""""))"),"")</f>
        <v/>
      </c>
      <c r="B110" s="21" t="str">
        <f aca="false">IFERROR(__xludf.dummyfunction("IF($H$22="""","""",IFERROR(INDEX(filter('DL17. Khiếu nại'!G4:G500,'DL17. Khiếu nại'!B4:B500=$H$22),3),""""))"),"")</f>
        <v/>
      </c>
      <c r="C110" s="21" t="str">
        <f aca="false">IFERROR(__xludf.dummyfunction("IF($H$22="""","""",IFERROR(INDEX(filter('DL17. Khiếu nại'!H4:H500,'DL17. Khiếu nại'!B4:B500=$H$22),3),""""))"),"")</f>
        <v/>
      </c>
      <c r="D110" s="21" t="str">
        <f aca="false">IFERROR(__xludf.dummyfunction("IF($H$22="""","""",IFERROR(INDEX(filter('DL17. Khiếu nại'!J4:J500,'DL17. Khiếu nại'!B4:B500=$H$22),3),""""))"),"")</f>
        <v/>
      </c>
      <c r="E110" s="179"/>
      <c r="F110" s="179"/>
      <c r="G110" s="179"/>
      <c r="H110" s="179"/>
    </row>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4">
    <mergeCell ref="A1:F1"/>
    <mergeCell ref="A3:B3"/>
    <mergeCell ref="C3:E3"/>
    <mergeCell ref="A22:B22"/>
    <mergeCell ref="C22:F22"/>
    <mergeCell ref="A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A49:F49"/>
    <mergeCell ref="A50:B50"/>
    <mergeCell ref="D50:E50"/>
    <mergeCell ref="A51:B51"/>
    <mergeCell ref="D51:E51"/>
    <mergeCell ref="A52:B52"/>
    <mergeCell ref="D52:E52"/>
    <mergeCell ref="A54:F54"/>
    <mergeCell ref="A61:F61"/>
    <mergeCell ref="A69:F69"/>
    <mergeCell ref="A75:F75"/>
    <mergeCell ref="A84:F84"/>
    <mergeCell ref="A93:F93"/>
    <mergeCell ref="A99:F99"/>
    <mergeCell ref="A106:F1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zeroHeight="false" outlineLevelRow="0" outlineLevelCol="0"/>
  <cols>
    <col collapsed="false" customWidth="true" hidden="false" outlineLevel="0" max="1" min="1" style="1" width="23.29"/>
    <col collapsed="false" customWidth="true" hidden="false" outlineLevel="0" max="2" min="2" style="1" width="43.43"/>
    <col collapsed="false" customWidth="true" hidden="false" outlineLevel="0" max="3" min="3" style="1" width="24"/>
    <col collapsed="false" customWidth="true" hidden="false" outlineLevel="0" max="4" min="4" style="1" width="18"/>
    <col collapsed="false" customWidth="true" hidden="false" outlineLevel="0" max="5" min="5" style="1" width="28.71"/>
    <col collapsed="false" customWidth="true" hidden="false" outlineLevel="0" max="6" min="6" style="1" width="14"/>
    <col collapsed="false" customWidth="true" hidden="false" outlineLevel="0" max="7" min="7" style="1" width="8.71"/>
    <col collapsed="false" customWidth="true" hidden="true" outlineLevel="0" max="8" min="8" style="1" width="13"/>
    <col collapsed="false" customWidth="true" hidden="false" outlineLevel="0" max="26" min="9" style="1" width="8.71"/>
  </cols>
  <sheetData>
    <row r="1" customFormat="false" ht="31.5" hidden="false" customHeight="true" outlineLevel="0" collapsed="false">
      <c r="A1" s="257" t="s">
        <v>3762</v>
      </c>
      <c r="B1" s="257"/>
      <c r="C1" s="257"/>
      <c r="D1" s="257"/>
      <c r="E1" s="257"/>
      <c r="F1" s="257"/>
      <c r="G1" s="179"/>
      <c r="H1" s="179"/>
    </row>
    <row r="2" customFormat="false" ht="15" hidden="false" customHeight="true" outlineLevel="0" collapsed="false">
      <c r="A2" s="179"/>
      <c r="B2" s="179"/>
      <c r="C2" s="179"/>
      <c r="D2" s="179"/>
      <c r="E2" s="179"/>
      <c r="F2" s="179"/>
      <c r="G2" s="179"/>
      <c r="H2" s="179"/>
    </row>
    <row r="3" customFormat="false" ht="34.5" hidden="false" customHeight="true" outlineLevel="0" collapsed="false">
      <c r="A3" s="279" t="s">
        <v>3763</v>
      </c>
      <c r="B3" s="279"/>
      <c r="C3" s="280"/>
      <c r="D3" s="280"/>
      <c r="E3" s="280"/>
      <c r="F3" s="281" t="s">
        <v>3717</v>
      </c>
      <c r="G3" s="179"/>
      <c r="H3" s="179"/>
    </row>
    <row r="4" customFormat="false" ht="15" hidden="false" customHeight="true" outlineLevel="0" collapsed="false">
      <c r="A4" s="179"/>
      <c r="B4" s="179"/>
      <c r="C4" s="179"/>
      <c r="D4" s="179"/>
      <c r="E4" s="179"/>
      <c r="F4" s="179"/>
      <c r="G4" s="179"/>
      <c r="H4" s="179"/>
    </row>
    <row r="5" customFormat="false" ht="21.75" hidden="false" customHeight="true" outlineLevel="0" collapsed="false">
      <c r="A5" s="282" t="s">
        <v>3718</v>
      </c>
      <c r="B5" s="282" t="s">
        <v>2272</v>
      </c>
      <c r="C5" s="282" t="s">
        <v>2490</v>
      </c>
      <c r="D5" s="282" t="s">
        <v>2278</v>
      </c>
      <c r="E5" s="282" t="s">
        <v>2277</v>
      </c>
      <c r="F5" s="282" t="s">
        <v>250</v>
      </c>
      <c r="G5" s="179"/>
      <c r="H5" s="179"/>
    </row>
    <row r="6" customFormat="false" ht="15" hidden="false" customHeight="true" outlineLevel="0" collapsed="false">
      <c r="A6" s="238" t="b">
        <f aca="false">TRUE()</f>
        <v>1</v>
      </c>
      <c r="B6"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viên'!C4:C503))))),1),"""")"),"NV005")</f>
        <v>NV005</v>
      </c>
      <c r="C6" s="21" t="str">
        <f aca="false">IF($B6="","",IFERROR(VLOOKUP($B6,'DL01. Nhân viên'!$A:$K,2,FALSE()),""))</f>
        <v>Phan Trung Chính</v>
      </c>
      <c r="D6" s="21" t="str">
        <f aca="false">IF($B6="","",IFERROR(VLOOKUP($B6,'DL01. Nhân viên'!$A:$K,7,FALSE()),""))</f>
        <v>0908000005</v>
      </c>
      <c r="E6" s="21" t="n">
        <f aca="false">IF($B6="","",IFERROR(VLOOKUP($B6,'DL01. Nhân viên'!$A:$K,6,FALSE()),""))</f>
        <v>0</v>
      </c>
      <c r="F6" s="21" t="str">
        <f aca="false">IF($B6="","",IFERROR(VLOOKUP($B6,'DL01. Nhân viên'!$A:$K,10,FALSE()),""))</f>
        <v>active (Đang làm việc)</v>
      </c>
      <c r="G6" s="179"/>
      <c r="H6" s="179"/>
    </row>
    <row r="7" customFormat="false" ht="15" hidden="false" customHeight="true" outlineLevel="0" collapsed="false">
      <c r="A7" s="238" t="b">
        <f aca="false">FALSE()</f>
        <v>0</v>
      </c>
      <c r="B7"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viên'!C4:C503))))),2),"""")"),"NV006")</f>
        <v>NV006</v>
      </c>
      <c r="C7" s="21" t="str">
        <f aca="false">IF($B7="","",IFERROR(VLOOKUP($B7,'DL01. Nhân viên'!$A:$K,2,FALSE()),""))</f>
        <v>Phạm Tấn Phát</v>
      </c>
      <c r="D7" s="21" t="str">
        <f aca="false">IF($B7="","",IFERROR(VLOOKUP($B7,'DL01. Nhân viên'!$A:$K,7,FALSE()),""))</f>
        <v>0908000006</v>
      </c>
      <c r="E7" s="21" t="n">
        <f aca="false">IF($B7="","",IFERROR(VLOOKUP($B7,'DL01. Nhân viên'!$A:$K,6,FALSE()),""))</f>
        <v>0</v>
      </c>
      <c r="F7" s="21" t="str">
        <f aca="false">IF($B7="","",IFERROR(VLOOKUP($B7,'DL01. Nhân viên'!$A:$K,10,FALSE()),""))</f>
        <v>active (Đang làm việc)</v>
      </c>
      <c r="G7" s="179"/>
      <c r="H7" s="179"/>
    </row>
    <row r="8" customFormat="false" ht="15" hidden="false" customHeight="true" outlineLevel="0" collapsed="false">
      <c r="A8" s="238" t="b">
        <f aca="false">FALSE()</f>
        <v>0</v>
      </c>
      <c r="B8"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viên'!C4:C503))))),3),"""")"),"NV031")</f>
        <v>NV031</v>
      </c>
      <c r="C8" s="21" t="str">
        <f aca="false">IF($B8="","",IFERROR(VLOOKUP($B8,'DL01. Nhân viên'!$A:$K,2,FALSE()),""))</f>
        <v>Trần Thanh Minh</v>
      </c>
      <c r="D8" s="21" t="str">
        <f aca="false">IF($B8="","",IFERROR(VLOOKUP($B8,'DL01. Nhân viên'!$A:$K,7,FALSE()),""))</f>
        <v>0908000031</v>
      </c>
      <c r="E8" s="21" t="n">
        <f aca="false">IF($B8="","",IFERROR(VLOOKUP($B8,'DL01. Nhân viên'!$A:$K,6,FALSE()),""))</f>
        <v>0</v>
      </c>
      <c r="F8" s="21" t="str">
        <f aca="false">IF($B8="","",IFERROR(VLOOKUP($B8,'DL01. Nhân viên'!$A:$K,10,FALSE()),""))</f>
        <v>active (Đang làm việc)</v>
      </c>
      <c r="G8" s="179"/>
      <c r="H8" s="179"/>
    </row>
    <row r="9" customFormat="false" ht="15" hidden="false" customHeight="true" outlineLevel="0" collapsed="false">
      <c r="A9" s="238" t="b">
        <f aca="false">FALSE()</f>
        <v>0</v>
      </c>
      <c r="B9"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viên'!C4:C503))))),4),"""")"),"NV032")</f>
        <v>NV032</v>
      </c>
      <c r="C9" s="21" t="str">
        <f aca="false">IF($B9="","",IFERROR(VLOOKUP($B9,'DL01. Nhân viên'!$A:$K,2,FALSE()),""))</f>
        <v>Thạch Đan Tiệp</v>
      </c>
      <c r="D9" s="21" t="str">
        <f aca="false">IF($B9="","",IFERROR(VLOOKUP($B9,'DL01. Nhân viên'!$A:$K,7,FALSE()),""))</f>
        <v>0908000032</v>
      </c>
      <c r="E9" s="21" t="n">
        <f aca="false">IF($B9="","",IFERROR(VLOOKUP($B9,'DL01. Nhân viên'!$A:$K,6,FALSE()),""))</f>
        <v>0</v>
      </c>
      <c r="F9" s="21" t="str">
        <f aca="false">IF($B9="","",IFERROR(VLOOKUP($B9,'DL01. Nhân viên'!$A:$K,10,FALSE()),""))</f>
        <v>active (Đang làm việc)</v>
      </c>
      <c r="G9" s="179"/>
      <c r="H9" s="179"/>
    </row>
    <row r="10" customFormat="false" ht="15" hidden="false" customHeight="true" outlineLevel="0" collapsed="false">
      <c r="A10" s="238" t="b">
        <f aca="false">FALSE()</f>
        <v>0</v>
      </c>
      <c r="B10"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viên'!C4:C503))))),5),"""")"),"")</f>
        <v/>
      </c>
      <c r="C10" s="21" t="str">
        <f aca="false">IF($B10="","",IFERROR(VLOOKUP($B10,'DL01. Nhân viên'!$A:$K,2,FALSE()),""))</f>
        <v/>
      </c>
      <c r="D10" s="21" t="str">
        <f aca="false">IF($B10="","",IFERROR(VLOOKUP($B10,'DL01. Nhân viên'!$A:$K,7,FALSE()),""))</f>
        <v/>
      </c>
      <c r="E10" s="21" t="str">
        <f aca="false">IF($B10="","",IFERROR(VLOOKUP($B10,'DL01. Nhân viên'!$A:$K,6,FALSE()),""))</f>
        <v/>
      </c>
      <c r="F10" s="21" t="str">
        <f aca="false">IF($B10="","",IFERROR(VLOOKUP($B10,'DL01. Nhân viên'!$A:$K,10,FALSE()),""))</f>
        <v/>
      </c>
      <c r="G10" s="179"/>
      <c r="H10" s="179"/>
    </row>
    <row r="11" customFormat="false" ht="15" hidden="false" customHeight="true" outlineLevel="0" collapsed="false">
      <c r="A11" s="238" t="b">
        <f aca="false">FALSE()</f>
        <v>0</v>
      </c>
      <c r="B11"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viên'!C4:C503))))),6),"""")"),"")</f>
        <v/>
      </c>
      <c r="C11" s="21" t="str">
        <f aca="false">IF($B11="","",IFERROR(VLOOKUP($B11,'DL01. Nhân viên'!$A:$K,2,FALSE()),""))</f>
        <v/>
      </c>
      <c r="D11" s="21" t="str">
        <f aca="false">IF($B11="","",IFERROR(VLOOKUP($B11,'DL01. Nhân viên'!$A:$K,7,FALSE()),""))</f>
        <v/>
      </c>
      <c r="E11" s="21" t="str">
        <f aca="false">IF($B11="","",IFERROR(VLOOKUP($B11,'DL01. Nhân viên'!$A:$K,6,FALSE()),""))</f>
        <v/>
      </c>
      <c r="F11" s="21" t="str">
        <f aca="false">IF($B11="","",IFERROR(VLOOKUP($B11,'DL01. Nhân viên'!$A:$K,10,FALSE()),""))</f>
        <v/>
      </c>
      <c r="G11" s="179"/>
      <c r="H11" s="179"/>
    </row>
    <row r="12" customFormat="false" ht="15" hidden="false" customHeight="true" outlineLevel="0" collapsed="false">
      <c r="A12" s="238" t="b">
        <f aca="false">FALSE()</f>
        <v>0</v>
      </c>
      <c r="B12"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viên'!C4:C503))))),7),"""")"),"")</f>
        <v/>
      </c>
      <c r="C12" s="21" t="str">
        <f aca="false">IF($B12="","",IFERROR(VLOOKUP($B12,'DL01. Nhân viên'!$A:$K,2,FALSE()),""))</f>
        <v/>
      </c>
      <c r="D12" s="21" t="str">
        <f aca="false">IF($B12="","",IFERROR(VLOOKUP($B12,'DL01. Nhân viên'!$A:$K,7,FALSE()),""))</f>
        <v/>
      </c>
      <c r="E12" s="21" t="str">
        <f aca="false">IF($B12="","",IFERROR(VLOOKUP($B12,'DL01. Nhân viên'!$A:$K,6,FALSE()),""))</f>
        <v/>
      </c>
      <c r="F12" s="21" t="str">
        <f aca="false">IF($B12="","",IFERROR(VLOOKUP($B12,'DL01. Nhân viên'!$A:$K,10,FALSE()),""))</f>
        <v/>
      </c>
      <c r="G12" s="179"/>
      <c r="H12" s="179"/>
    </row>
    <row r="13" customFormat="false" ht="15" hidden="false" customHeight="true" outlineLevel="0" collapsed="false">
      <c r="A13" s="238" t="b">
        <f aca="false">FALSE()</f>
        <v>0</v>
      </c>
      <c r="B13"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viên'!C4:C503))))),8),"""")"),"")</f>
        <v/>
      </c>
      <c r="C13" s="21" t="str">
        <f aca="false">IF($B13="","",IFERROR(VLOOKUP($B13,'DL01. Nhân viên'!$A:$K,2,FALSE()),""))</f>
        <v/>
      </c>
      <c r="D13" s="21" t="str">
        <f aca="false">IF($B13="","",IFERROR(VLOOKUP($B13,'DL01. Nhân viên'!$A:$K,7,FALSE()),""))</f>
        <v/>
      </c>
      <c r="E13" s="21" t="str">
        <f aca="false">IF($B13="","",IFERROR(VLOOKUP($B13,'DL01. Nhân viên'!$A:$K,6,FALSE()),""))</f>
        <v/>
      </c>
      <c r="F13" s="21" t="str">
        <f aca="false">IF($B13="","",IFERROR(VLOOKUP($B13,'DL01. Nhân viên'!$A:$K,10,FALSE()),""))</f>
        <v/>
      </c>
      <c r="G13" s="179"/>
      <c r="H13" s="179"/>
    </row>
    <row r="14" customFormat="false" ht="15" hidden="false" customHeight="true" outlineLevel="0" collapsed="false">
      <c r="A14" s="238" t="b">
        <f aca="false">FALSE()</f>
        <v>0</v>
      </c>
      <c r="B14"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viên'!C4:C503))))),9),"""")"),"")</f>
        <v/>
      </c>
      <c r="C14" s="21" t="str">
        <f aca="false">IF($B14="","",IFERROR(VLOOKUP($B14,'DL01. Nhân viên'!$A:$K,2,FALSE()),""))</f>
        <v/>
      </c>
      <c r="D14" s="21" t="str">
        <f aca="false">IF($B14="","",IFERROR(VLOOKUP($B14,'DL01. Nhân viên'!$A:$K,7,FALSE()),""))</f>
        <v/>
      </c>
      <c r="E14" s="21" t="str">
        <f aca="false">IF($B14="","",IFERROR(VLOOKUP($B14,'DL01. Nhân viên'!$A:$K,6,FALSE()),""))</f>
        <v/>
      </c>
      <c r="F14" s="21" t="str">
        <f aca="false">IF($B14="","",IFERROR(VLOOKUP($B14,'DL01. Nhân viên'!$A:$K,10,FALSE()),""))</f>
        <v/>
      </c>
      <c r="G14" s="179"/>
      <c r="H14" s="179"/>
    </row>
    <row r="15" customFormat="false" ht="15" hidden="false" customHeight="true" outlineLevel="0" collapsed="false">
      <c r="A15" s="238" t="b">
        <f aca="false">FALSE()</f>
        <v>0</v>
      </c>
      <c r="B15"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viên'!C4:C503))))),10),"""")"),"")</f>
        <v/>
      </c>
      <c r="C15" s="21" t="str">
        <f aca="false">IF($B15="","",IFERROR(VLOOKUP($B15,'DL01. Nhân viên'!$A:$K,2,FALSE()),""))</f>
        <v/>
      </c>
      <c r="D15" s="21" t="str">
        <f aca="false">IF($B15="","",IFERROR(VLOOKUP($B15,'DL01. Nhân viên'!$A:$K,7,FALSE()),""))</f>
        <v/>
      </c>
      <c r="E15" s="21" t="str">
        <f aca="false">IF($B15="","",IFERROR(VLOOKUP($B15,'DL01. Nhân viên'!$A:$K,6,FALSE()),""))</f>
        <v/>
      </c>
      <c r="F15" s="21" t="str">
        <f aca="false">IF($B15="","",IFERROR(VLOOKUP($B15,'DL01. Nhân viên'!$A:$K,10,FALSE()),""))</f>
        <v/>
      </c>
      <c r="G15" s="179"/>
      <c r="H15" s="179"/>
    </row>
    <row r="16" customFormat="false" ht="15" hidden="false" customHeight="true" outlineLevel="0" collapsed="false">
      <c r="A16" s="238" t="b">
        <f aca="false">FALSE()</f>
        <v>0</v>
      </c>
      <c r="B16"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viên'!C4:C503))))),11),"""")"),"")</f>
        <v/>
      </c>
      <c r="C16" s="21" t="str">
        <f aca="false">IF($B16="","",IFERROR(VLOOKUP($B16,'DL01. Nhân viên'!$A:$K,2,FALSE()),""))</f>
        <v/>
      </c>
      <c r="D16" s="21" t="str">
        <f aca="false">IF($B16="","",IFERROR(VLOOKUP($B16,'DL01. Nhân viên'!$A:$K,7,FALSE()),""))</f>
        <v/>
      </c>
      <c r="E16" s="21" t="str">
        <f aca="false">IF($B16="","",IFERROR(VLOOKUP($B16,'DL01. Nhân viên'!$A:$K,6,FALSE()),""))</f>
        <v/>
      </c>
      <c r="F16" s="21" t="str">
        <f aca="false">IF($B16="","",IFERROR(VLOOKUP($B16,'DL01. Nhân viên'!$A:$K,10,FALSE()),""))</f>
        <v/>
      </c>
      <c r="G16" s="179"/>
      <c r="H16" s="179"/>
    </row>
    <row r="17" customFormat="false" ht="15" hidden="false" customHeight="true" outlineLevel="0" collapsed="false">
      <c r="A17" s="238" t="b">
        <f aca="false">FALSE()</f>
        <v>0</v>
      </c>
      <c r="B17"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viên'!C4:C503))))),12),"""")"),"")</f>
        <v/>
      </c>
      <c r="C17" s="21" t="str">
        <f aca="false">IF($B17="","",IFERROR(VLOOKUP($B17,'DL01. Nhân viên'!$A:$K,2,FALSE()),""))</f>
        <v/>
      </c>
      <c r="D17" s="21" t="str">
        <f aca="false">IF($B17="","",IFERROR(VLOOKUP($B17,'DL01. Nhân viên'!$A:$K,7,FALSE()),""))</f>
        <v/>
      </c>
      <c r="E17" s="21" t="str">
        <f aca="false">IF($B17="","",IFERROR(VLOOKUP($B17,'DL01. Nhân viên'!$A:$K,6,FALSE()),""))</f>
        <v/>
      </c>
      <c r="F17" s="21" t="str">
        <f aca="false">IF($B17="","",IFERROR(VLOOKUP($B17,'DL01. Nhân viên'!$A:$K,10,FALSE()),""))</f>
        <v/>
      </c>
      <c r="G17" s="179"/>
      <c r="H17" s="179"/>
    </row>
    <row r="18" customFormat="false" ht="15" hidden="false" customHeight="true" outlineLevel="0" collapsed="false">
      <c r="A18" s="238" t="b">
        <f aca="false">FALSE()</f>
        <v>0</v>
      </c>
      <c r="B18"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viên'!C4:C503))))),13),"""")"),"")</f>
        <v/>
      </c>
      <c r="C18" s="21" t="str">
        <f aca="false">IF($B18="","",IFERROR(VLOOKUP($B18,'DL01. Nhân viên'!$A:$K,2,FALSE()),""))</f>
        <v/>
      </c>
      <c r="D18" s="21" t="str">
        <f aca="false">IF($B18="","",IFERROR(VLOOKUP($B18,'DL01. Nhân viên'!$A:$K,7,FALSE()),""))</f>
        <v/>
      </c>
      <c r="E18" s="21" t="str">
        <f aca="false">IF($B18="","",IFERROR(VLOOKUP($B18,'DL01. Nhân viên'!$A:$K,6,FALSE()),""))</f>
        <v/>
      </c>
      <c r="F18" s="21" t="str">
        <f aca="false">IF($B18="","",IFERROR(VLOOKUP($B18,'DL01. Nhân viên'!$A:$K,10,FALSE()),""))</f>
        <v/>
      </c>
      <c r="G18" s="179"/>
      <c r="H18" s="179"/>
    </row>
    <row r="19" customFormat="false" ht="15" hidden="false" customHeight="true" outlineLevel="0" collapsed="false">
      <c r="A19" s="238" t="b">
        <f aca="false">FALSE()</f>
        <v>0</v>
      </c>
      <c r="B19"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viên'!C4:C503))))),14),"""")"),"")</f>
        <v/>
      </c>
      <c r="C19" s="21" t="str">
        <f aca="false">IF($B19="","",IFERROR(VLOOKUP($B19,'DL01. Nhân viên'!$A:$K,2,FALSE()),""))</f>
        <v/>
      </c>
      <c r="D19" s="21" t="str">
        <f aca="false">IF($B19="","",IFERROR(VLOOKUP($B19,'DL01. Nhân viên'!$A:$K,7,FALSE()),""))</f>
        <v/>
      </c>
      <c r="E19" s="21" t="str">
        <f aca="false">IF($B19="","",IFERROR(VLOOKUP($B19,'DL01. Nhân viên'!$A:$K,6,FALSE()),""))</f>
        <v/>
      </c>
      <c r="F19" s="21" t="str">
        <f aca="false">IF($B19="","",IFERROR(VLOOKUP($B19,'DL01. Nhân viên'!$A:$K,10,FALSE()),""))</f>
        <v/>
      </c>
      <c r="G19" s="179"/>
      <c r="H19" s="179"/>
    </row>
    <row r="20" customFormat="false" ht="15" hidden="false" customHeight="true" outlineLevel="0" collapsed="false">
      <c r="A20" s="238" t="b">
        <f aca="false">FALSE()</f>
        <v>0</v>
      </c>
      <c r="B20" s="138" t="str">
        <f aca="false">IFERROR(__xludf.dummyfunction("IFERROR(INDEX(filter('DL01. Nhân viên'!A4:A503,IF($C$3="""",('DL01. Nhân viên'!A4:A503&lt;&gt;"""")*(ISNUMBER(SEARCH(""teacher"",'DL01. Nhân viên'!C4:C503))),((ISNUMBER(SEARCH($C$3,'DL01. Nhân viên'!A4:A503&amp;""""))+ISNUMBER(SEARCH($C$3,'DL01. Nhân viên'!B4:B503&amp;"&amp;"""""))+ISNUMBER(SEARCH($C$3,'DL01. Nhân viên'!G4:G503&amp;"""")))&gt;0)*(ISNUMBER(SEARCH(""teacher"",'DL01. Nhân viên'!C4:C503))))),15),"""")"),"")</f>
        <v/>
      </c>
      <c r="C20" s="21" t="str">
        <f aca="false">IF($B20="","",IFERROR(VLOOKUP($B20,'DL01. Nhân viên'!$A:$K,2,FALSE()),""))</f>
        <v/>
      </c>
      <c r="D20" s="21" t="str">
        <f aca="false">IF($B20="","",IFERROR(VLOOKUP($B20,'DL01. Nhân viên'!$A:$K,7,FALSE()),""))</f>
        <v/>
      </c>
      <c r="E20" s="21" t="str">
        <f aca="false">IF($B20="","",IFERROR(VLOOKUP($B20,'DL01. Nhân viên'!$A:$K,6,FALSE()),""))</f>
        <v/>
      </c>
      <c r="F20" s="21" t="str">
        <f aca="false">IF($B20="","",IFERROR(VLOOKUP($B20,'DL01. Nhân viên'!$A:$K,10,FALSE()),""))</f>
        <v/>
      </c>
      <c r="G20" s="179"/>
      <c r="H20" s="179"/>
    </row>
    <row r="21" customFormat="false" ht="15" hidden="false" customHeight="true" outlineLevel="0" collapsed="false">
      <c r="A21" s="179"/>
      <c r="B21" s="179"/>
      <c r="C21" s="179"/>
      <c r="D21" s="179"/>
      <c r="E21" s="179"/>
      <c r="F21" s="179"/>
      <c r="G21" s="179"/>
      <c r="H21" s="179"/>
    </row>
    <row r="22" customFormat="false" ht="15" hidden="false" customHeight="true" outlineLevel="0" collapsed="false">
      <c r="A22" s="156" t="s">
        <v>3719</v>
      </c>
      <c r="B22" s="156"/>
      <c r="C22" s="283" t="str">
        <f aca="false" t="array" ref="C22:C22">IF((IFERROR(INDEX(B6:B20,MATCH(TRUE(),A6:A20,0)),""))="","",(IFERROR(INDEX(B6:B20,MATCH(TRUE(),A6:A20,0)),""))&amp;" - "&amp;IFERROR(VLOOKUP((IFERROR(INDEX(B6:B20,MATCH(TRUE(),A6:A20,0)),"")),'DL01. Nhân viên'!$A:$K,2,FALSE()),""))</f>
        <v>NV005 - Phan Trung Chính</v>
      </c>
      <c r="D22" s="283"/>
      <c r="E22" s="283"/>
      <c r="F22" s="283"/>
      <c r="G22" s="179"/>
      <c r="H22" s="179" t="str">
        <f aca="false" t="array" ref="H22:H22">IFERROR(INDEX(B6:B20,MATCH(TRUE(),A6:A20,0)),"")</f>
        <v>NV005</v>
      </c>
    </row>
    <row r="23" customFormat="false" ht="15" hidden="false" customHeight="true" outlineLevel="0" collapsed="false">
      <c r="A23" s="179"/>
      <c r="B23" s="179"/>
      <c r="C23" s="179"/>
      <c r="D23" s="179"/>
      <c r="E23" s="179"/>
      <c r="F23" s="179"/>
      <c r="G23" s="179"/>
      <c r="H23" s="179"/>
    </row>
    <row r="24" customFormat="false" ht="24" hidden="false" customHeight="true" outlineLevel="0" collapsed="false">
      <c r="A24" s="284" t="s">
        <v>3720</v>
      </c>
      <c r="B24" s="284"/>
      <c r="C24" s="284"/>
      <c r="D24" s="284"/>
      <c r="E24" s="284"/>
      <c r="F24" s="284"/>
      <c r="G24" s="179"/>
      <c r="H24" s="179"/>
    </row>
    <row r="25" customFormat="false" ht="19.5" hidden="false" customHeight="true" outlineLevel="0" collapsed="false">
      <c r="A25" s="79" t="s">
        <v>2272</v>
      </c>
      <c r="B25" s="21" t="str">
        <f aca="false">IF($H$22="","(chưa chọn)",IFERROR(VLOOKUP($H$22,'DL01. Nhân viên'!$A:$K,1,FALSE()),""))</f>
        <v>NV005</v>
      </c>
      <c r="C25" s="21"/>
      <c r="D25" s="21"/>
      <c r="E25" s="21"/>
      <c r="F25" s="21"/>
      <c r="G25" s="179"/>
      <c r="H25" s="179"/>
    </row>
    <row r="26" customFormat="false" ht="19.5" hidden="false" customHeight="true" outlineLevel="0" collapsed="false">
      <c r="A26" s="79" t="s">
        <v>2490</v>
      </c>
      <c r="B26" s="21" t="str">
        <f aca="false">IF($H$22="","(chưa chọn)",IFERROR(VLOOKUP($H$22,'DL01. Nhân viên'!$A:$K,2,FALSE()),""))</f>
        <v>Phan Trung Chính</v>
      </c>
      <c r="C26" s="21"/>
      <c r="D26" s="21"/>
      <c r="E26" s="21"/>
      <c r="F26" s="21"/>
      <c r="G26" s="179"/>
      <c r="H26" s="179"/>
    </row>
    <row r="27" customFormat="false" ht="19.5" hidden="false" customHeight="true" outlineLevel="0" collapsed="false">
      <c r="A27" s="79" t="s">
        <v>41</v>
      </c>
      <c r="B27" s="21" t="str">
        <f aca="false">IF($H$22="","(chưa chọn)",IFERROR(VLOOKUP($H$22,'DL01. Nhân viên'!$A:$K,3,FALSE()),""))</f>
        <v>teacher (Giáo viên ACA)</v>
      </c>
      <c r="C27" s="21"/>
      <c r="D27" s="21"/>
      <c r="E27" s="21"/>
      <c r="F27" s="21"/>
      <c r="G27" s="179"/>
      <c r="H27" s="179"/>
    </row>
    <row r="28" customFormat="false" ht="19.5" hidden="false" customHeight="true" outlineLevel="0" collapsed="false">
      <c r="A28" s="79" t="s">
        <v>2275</v>
      </c>
      <c r="B28" s="21" t="str">
        <f aca="false">IF($H$22="","(chưa chọn)",IFERROR(VLOOKUP($H$22,'DL01. Nhân viên'!$A:$K,4,FALSE()),""))</f>
        <v>ACA</v>
      </c>
      <c r="C28" s="21"/>
      <c r="D28" s="21"/>
      <c r="E28" s="21"/>
      <c r="F28" s="21"/>
      <c r="G28" s="179"/>
      <c r="H28" s="179"/>
    </row>
    <row r="29" customFormat="false" ht="19.5" hidden="false" customHeight="true" outlineLevel="0" collapsed="false">
      <c r="A29" s="79" t="s">
        <v>3764</v>
      </c>
      <c r="B29" s="21" t="n">
        <f aca="false">IF($H$22="","(chưa chọn)",IFERROR(VLOOKUP($H$22,'DL01. Nhân viên'!$A:$K,5,FALSE()),""))</f>
        <v>0</v>
      </c>
      <c r="C29" s="21"/>
      <c r="D29" s="21"/>
      <c r="E29" s="21"/>
      <c r="F29" s="21"/>
      <c r="G29" s="179"/>
      <c r="H29" s="179"/>
    </row>
    <row r="30" customFormat="false" ht="19.5" hidden="false" customHeight="true" outlineLevel="0" collapsed="false">
      <c r="A30" s="79" t="s">
        <v>2277</v>
      </c>
      <c r="B30" s="21" t="n">
        <f aca="false">IF($H$22="","(chưa chọn)",IFERROR(VLOOKUP($H$22,'DL01. Nhân viên'!$A:$K,6,FALSE()),""))</f>
        <v>0</v>
      </c>
      <c r="C30" s="21"/>
      <c r="D30" s="21"/>
      <c r="E30" s="21"/>
      <c r="F30" s="21"/>
      <c r="G30" s="179"/>
      <c r="H30" s="179"/>
    </row>
    <row r="31" customFormat="false" ht="19.5" hidden="false" customHeight="true" outlineLevel="0" collapsed="false">
      <c r="A31" s="79" t="s">
        <v>2278</v>
      </c>
      <c r="B31" s="21" t="str">
        <f aca="false">IF($H$22="","(chưa chọn)",IFERROR(VLOOKUP($H$22,'DL01. Nhân viên'!$A:$K,7,FALSE()),""))</f>
        <v>0908000005</v>
      </c>
      <c r="C31" s="21"/>
      <c r="D31" s="21"/>
      <c r="E31" s="21"/>
      <c r="F31" s="21"/>
      <c r="G31" s="179"/>
      <c r="H31" s="179"/>
    </row>
    <row r="32" customFormat="false" ht="19.5" hidden="false" customHeight="true" outlineLevel="0" collapsed="false">
      <c r="A32" s="79" t="s">
        <v>2279</v>
      </c>
      <c r="B32" s="21" t="str">
        <f aca="false">IF($H$22="","(chưa chọn)",IFERROR(VLOOKUP($H$22,'DL01. Nhân viên'!$A:$K,8,FALSE()),""))</f>
        <v>chinh.gv@ieltsthetutors.edu.vn</v>
      </c>
      <c r="C32" s="21"/>
      <c r="D32" s="21"/>
      <c r="E32" s="21"/>
      <c r="F32" s="21"/>
      <c r="G32" s="179"/>
      <c r="H32" s="179"/>
    </row>
    <row r="33" customFormat="false" ht="19.5" hidden="false" customHeight="true" outlineLevel="0" collapsed="false">
      <c r="A33" s="79" t="s">
        <v>2280</v>
      </c>
      <c r="B33" s="178" t="n">
        <f aca="false">IF($H$22="","(chưa chọn)",IFERROR(VLOOKUP($H$22,'DL01. Nhân viên'!$A:$K,9,FALSE()),""))</f>
        <v>44774</v>
      </c>
      <c r="C33" s="178"/>
      <c r="D33" s="178"/>
      <c r="E33" s="178"/>
      <c r="F33" s="178"/>
      <c r="G33" s="179"/>
      <c r="H33" s="179"/>
    </row>
    <row r="34" customFormat="false" ht="19.5" hidden="false" customHeight="true" outlineLevel="0" collapsed="false">
      <c r="A34" s="79" t="s">
        <v>250</v>
      </c>
      <c r="B34" s="21" t="str">
        <f aca="false">IF($H$22="","(chưa chọn)",IFERROR(VLOOKUP($H$22,'DL01. Nhân viên'!$A:$K,10,FALSE()),""))</f>
        <v>active (Đang làm việc)</v>
      </c>
      <c r="C34" s="21"/>
      <c r="D34" s="21"/>
      <c r="E34" s="21"/>
      <c r="F34" s="21"/>
      <c r="G34" s="179"/>
      <c r="H34" s="179"/>
    </row>
    <row r="35" customFormat="false" ht="19.5" hidden="false" customHeight="true" outlineLevel="0" collapsed="false">
      <c r="A35" s="79" t="s">
        <v>2281</v>
      </c>
      <c r="B35" s="21" t="str">
        <f aca="false">IF($H$22="","(chưa chọn)",IFERROR(VLOOKUP($H$22,'DL01. Nhân viên'!$A:$K,11,FALSE()),""))</f>
        <v>Mã HR: ACA.06</v>
      </c>
      <c r="C35" s="21"/>
      <c r="D35" s="21"/>
      <c r="E35" s="21"/>
      <c r="F35" s="21"/>
      <c r="G35" s="179"/>
      <c r="H35" s="179"/>
    </row>
    <row r="36" customFormat="false" ht="15" hidden="false" customHeight="true" outlineLevel="0" collapsed="false">
      <c r="A36" s="179"/>
      <c r="B36" s="179"/>
      <c r="C36" s="179"/>
      <c r="D36" s="179"/>
      <c r="E36" s="179"/>
      <c r="F36" s="179"/>
      <c r="G36" s="179"/>
      <c r="H36" s="179"/>
    </row>
    <row r="37" customFormat="false" ht="15" hidden="false" customHeight="true" outlineLevel="0" collapsed="false">
      <c r="A37" s="179"/>
      <c r="B37" s="179"/>
      <c r="C37" s="179"/>
      <c r="D37" s="179"/>
      <c r="E37" s="179"/>
      <c r="F37" s="179"/>
      <c r="G37" s="179"/>
      <c r="H37" s="179"/>
    </row>
    <row r="38" customFormat="false" ht="24" hidden="false" customHeight="true" outlineLevel="0" collapsed="false">
      <c r="A38" s="290" t="s">
        <v>3765</v>
      </c>
      <c r="B38" s="290"/>
      <c r="C38" s="290"/>
      <c r="D38" s="290"/>
      <c r="E38" s="290"/>
      <c r="F38" s="290"/>
      <c r="G38" s="179"/>
      <c r="H38" s="179"/>
    </row>
    <row r="39" customFormat="false" ht="25.5" hidden="false" customHeight="true" outlineLevel="0" collapsed="false">
      <c r="A39" s="79" t="s">
        <v>3766</v>
      </c>
      <c r="B39" s="79"/>
      <c r="C39" s="289" t="n">
        <f aca="false">IF($H$22="","",COUNTIF('DL10. Lớp học'!H:H,$H$22))</f>
        <v>4</v>
      </c>
      <c r="D39" s="79" t="s">
        <v>3767</v>
      </c>
      <c r="E39" s="79"/>
      <c r="F39" s="289" t="n">
        <f aca="false">IF($H$22="","",COUNTIF('DL11. Buổi học'!I:I,$H$22))</f>
        <v>4</v>
      </c>
      <c r="G39" s="179"/>
      <c r="H39" s="179"/>
    </row>
    <row r="40" customFormat="false" ht="25.5" hidden="false" customHeight="true" outlineLevel="0" collapsed="false">
      <c r="A40" s="79" t="s">
        <v>3768</v>
      </c>
      <c r="B40" s="79"/>
      <c r="C40" s="289" t="n">
        <f aca="false">IF($H$22="","",COUNTIF('DL13. Bài tập'!R:R,$H$22))</f>
        <v>5</v>
      </c>
      <c r="D40" s="293" t="str">
        <f aca="false">HYPERLINK("#'DL13. Bài tập'!A"&amp;MATCH("slaHomeworkGrading_hours",'CH2. Tham số &amp; Quy tắc'!$A:$A,0),"Số bài chấm đúng "&amp;slaHomeworkGrading_hours&amp;"h")</f>
        <v>Số bài chấm đúng 48h</v>
      </c>
      <c r="E40" s="293"/>
      <c r="F40" s="289" t="n">
        <f aca="false">IF($H$22="","",IFERROR(COUNTIFS('DL13. Bài tập'!R:R,$H$22,'DL13. Bài tập'!P:P,"TRUE")/COUNTIF('DL13. Bài tập'!R:R,$H$22),0))</f>
        <v>1</v>
      </c>
      <c r="G40" s="179"/>
      <c r="H40" s="179"/>
    </row>
    <row r="41" customFormat="false" ht="25.5" hidden="false" customHeight="true" outlineLevel="0" collapsed="false">
      <c r="A41" s="79" t="s">
        <v>3769</v>
      </c>
      <c r="B41" s="79"/>
      <c r="C41" s="289" t="n">
        <f aca="false">IF($H$22="","",IFERROR(ROUND(AVERAGEIF('DL11. Buổi học'!I:I,$H$22,'DL11. Buổi học'!H:H),1),"-"))</f>
        <v>0</v>
      </c>
      <c r="D41" s="79" t="s">
        <v>3770</v>
      </c>
      <c r="E41" s="79"/>
      <c r="F41" s="289" t="n">
        <f aca="false">IF($H$22="","",IFERROR(COUNTIFS('DL11. Buổi học'!I:I,$H$22,'DL11. Buổi học'!M:M,"TRUE")/COUNTIF('DL11. Buổi học'!I:I,$H$22),0))</f>
        <v>1</v>
      </c>
      <c r="G41" s="179"/>
      <c r="H41" s="179"/>
    </row>
    <row r="42" customFormat="false" ht="15" hidden="false" customHeight="true" outlineLevel="0" collapsed="false">
      <c r="A42" s="179"/>
      <c r="B42" s="179"/>
      <c r="C42" s="179"/>
      <c r="D42" s="179"/>
      <c r="E42" s="179"/>
      <c r="F42" s="179"/>
      <c r="G42" s="179"/>
      <c r="H42" s="179"/>
    </row>
    <row r="43" customFormat="false" ht="24" hidden="false" customHeight="true" outlineLevel="0" collapsed="false">
      <c r="A43" s="290" t="s">
        <v>3771</v>
      </c>
      <c r="B43" s="290"/>
      <c r="C43" s="290"/>
      <c r="D43" s="290"/>
      <c r="E43" s="290"/>
      <c r="F43" s="290"/>
      <c r="G43" s="179"/>
      <c r="H43" s="179"/>
    </row>
    <row r="44" customFormat="false" ht="19.5" hidden="false" customHeight="true" outlineLevel="0" collapsed="false">
      <c r="A44" s="282" t="s">
        <v>3167</v>
      </c>
      <c r="B44" s="282" t="s">
        <v>3168</v>
      </c>
      <c r="C44" s="282" t="s">
        <v>3772</v>
      </c>
      <c r="D44" s="282" t="s">
        <v>3773</v>
      </c>
      <c r="E44" s="282" t="s">
        <v>250</v>
      </c>
      <c r="F44" s="179"/>
      <c r="G44" s="179"/>
      <c r="H44" s="179"/>
    </row>
    <row r="45" customFormat="false" ht="18" hidden="false" customHeight="true" outlineLevel="0" collapsed="false">
      <c r="A45" s="21" t="str">
        <f aca="false">IFERROR(__xludf.dummyfunction("IF($H$22="""","""",IFERROR(INDEX(filter('DL10. Lớp học'!A4:A503,'DL10. Lớp học'!H4:H503=$H$22),1),""""))"),"LOP-FOUND-PLA-01")</f>
        <v>LOP-FOUND-PLA-01</v>
      </c>
      <c r="B45" s="21" t="str">
        <f aca="false">IFERROR(__xludf.dummyfunction("IF($H$22="""","""",IFERROR(INDEX(filter('DL10. Lớp học'!B4:B503,'DL10. Lớp học'!H4:H503=$H$22),1),""""))"),"Foundation PLA T7-CN sáng (06/2026)")</f>
        <v>Foundation PLA T7-CN sáng (06/2026)</v>
      </c>
      <c r="C45" s="21" t="str">
        <f aca="false">IFERROR(__xludf.dummyfunction("IF($H$22="""","""",IFERROR(INDEX(filter('DL10. Lớp học'!E4:E503,'DL10. Lớp học'!H4:H503=$H$22),1),""""))"),"T7 + CN, 9h-12h")</f>
        <v>T7 + CN, 9h-12h</v>
      </c>
      <c r="D45" s="21" t="n">
        <f aca="false">IFERROR(__xludf.dummyfunction("IF($H$22="""","""",IFERROR(INDEX(filter('DL10. Lớp học'!J4:J503,'DL10. Lớp học'!H4:H503=$H$22),1),""""))"),3)</f>
        <v>3</v>
      </c>
      <c r="E45" s="21" t="str">
        <f aca="false">IFERROR(__xludf.dummyfunction("IF($H$22="""","""",IFERROR(INDEX(filter('DL10. Lớp học'!K4:K503,'DL10. Lớp học'!H4:H503=$H$22),1),""""))"),"open (Đang tuyển sinh)")</f>
        <v>open (Đang tuyển sinh)</v>
      </c>
      <c r="F45" s="179"/>
      <c r="G45" s="179"/>
      <c r="H45" s="179"/>
    </row>
    <row r="46" customFormat="false" ht="18" hidden="false" customHeight="true" outlineLevel="0" collapsed="false">
      <c r="A46" s="21" t="str">
        <f aca="false">IFERROR(__xludf.dummyfunction("IF($H$22="""","""",IFERROR(INDEX(filter('DL10. Lớp học'!A4:A503,'DL10. Lớp học'!H4:H503=$H$22),2),""""))"),"LOP-PRE-06")</f>
        <v>LOP-PRE-06</v>
      </c>
      <c r="B46" s="21" t="str">
        <f aca="false">IFERROR(__xludf.dummyfunction("IF($H$22="""","""",IFERROR(INDEX(filter('DL10. Lớp học'!B4:B503,'DL10. Lớp học'!H4:H503=$H$22),2),""""))"),"Pre-IELTS Buổi tối (06/2026)")</f>
        <v>Pre-IELTS Buổi tối (06/2026)</v>
      </c>
      <c r="C46" s="21" t="str">
        <f aca="false">IFERROR(__xludf.dummyfunction("IF($H$22="""","""",IFERROR(INDEX(filter('DL10. Lớp học'!E4:E503,'DL10. Lớp học'!H4:H503=$H$22),2),""""))"),"T2-T4-T6, 18h-19h30")</f>
        <v>T2-T4-T6, 18h-19h30</v>
      </c>
      <c r="D46" s="21" t="n">
        <f aca="false">IFERROR(__xludf.dummyfunction("IF($H$22="""","""",IFERROR(INDEX(filter('DL10. Lớp học'!J4:J503,'DL10. Lớp học'!H4:H503=$H$22),2),""""))"),0)</f>
        <v>0</v>
      </c>
      <c r="E46" s="21" t="str">
        <f aca="false">IFERROR(__xludf.dummyfunction("IF($H$22="""","""",IFERROR(INDEX(filter('DL10. Lớp học'!K4:K503,'DL10. Lớp học'!H4:H503=$H$22),2),""""))"),"in_progress (Đang học)")</f>
        <v>in_progress (Đang học)</v>
      </c>
      <c r="F46" s="179"/>
      <c r="G46" s="179"/>
      <c r="H46" s="179"/>
    </row>
    <row r="47" customFormat="false" ht="18" hidden="false" customHeight="true" outlineLevel="0" collapsed="false">
      <c r="A47" s="21" t="str">
        <f aca="false">IFERROR(__xludf.dummyfunction("IF($H$22="""","""",IFERROR(INDEX(filter('DL10. Lớp học'!A4:A503,'DL10. Lớp học'!H4:H503=$H$22),3),""""))"),"LOP-FOUND-02")</f>
        <v>LOP-FOUND-02</v>
      </c>
      <c r="B47" s="21" t="str">
        <f aca="false">IFERROR(__xludf.dummyfunction("IF($H$22="""","""",IFERROR(INDEX(filter('DL10. Lớp học'!B4:B503,'DL10. Lớp học'!H4:H503=$H$22),3),""""))"),"Foundation Tối T2-T4-T6 (07/2026)")</f>
        <v>Foundation Tối T2-T4-T6 (07/2026)</v>
      </c>
      <c r="C47" s="21" t="str">
        <f aca="false">IFERROR(__xludf.dummyfunction("IF($H$22="""","""",IFERROR(INDEX(filter('DL10. Lớp học'!E4:E503,'DL10. Lớp học'!H4:H503=$H$22),3),""""))"),"T2-T4-T6, 19h-20h30")</f>
        <v>T2-T4-T6, 19h-20h30</v>
      </c>
      <c r="D47" s="21" t="n">
        <f aca="false">IFERROR(__xludf.dummyfunction("IF($H$22="""","""",IFERROR(INDEX(filter('DL10. Lớp học'!J4:J503,'DL10. Lớp học'!H4:H503=$H$22),3),""""))"),0)</f>
        <v>0</v>
      </c>
      <c r="E47" s="21" t="str">
        <f aca="false">IFERROR(__xludf.dummyfunction("IF($H$22="""","""",IFERROR(INDEX(filter('DL10. Lớp học'!K4:K503,'DL10. Lớp học'!H4:H503=$H$22),3),""""))"),"open (Đang tuyển sinh)")</f>
        <v>open (Đang tuyển sinh)</v>
      </c>
      <c r="F47" s="179"/>
      <c r="G47" s="179"/>
      <c r="H47" s="179"/>
    </row>
    <row r="48" customFormat="false" ht="18" hidden="false" customHeight="true" outlineLevel="0" collapsed="false">
      <c r="A48" s="21" t="str">
        <f aca="false">IFERROR(__xludf.dummyfunction("IF($H$22="""","""",IFERROR(INDEX(filter('DL10. Lớp học'!A4:A503,'DL10. Lớp học'!H4:H503=$H$22),4),""""))"),"LOP-FOUND-01")</f>
        <v>LOP-FOUND-01</v>
      </c>
      <c r="B48" s="21" t="str">
        <f aca="false">IFERROR(__xludf.dummyfunction("IF($H$22="""","""",IFERROR(INDEX(filter('DL10. Lớp học'!B4:B503,'DL10. Lớp học'!H4:H503=$H$22),4),""""))"),"Foundation Tối (10/2024)")</f>
        <v>Foundation Tối (10/2024)</v>
      </c>
      <c r="C48" s="21" t="str">
        <f aca="false">IFERROR(__xludf.dummyfunction("IF($H$22="""","""",IFERROR(INDEX(filter('DL10. Lớp học'!E4:E503,'DL10. Lớp học'!H4:H503=$H$22),4),""""))"),"T2-T4-T6, 18h-19h30")</f>
        <v>T2-T4-T6, 18h-19h30</v>
      </c>
      <c r="D48" s="21" t="n">
        <f aca="false">IFERROR(__xludf.dummyfunction("IF($H$22="""","""",IFERROR(INDEX(filter('DL10. Lớp học'!J4:J503,'DL10. Lớp học'!H4:H503=$H$22),4),""""))"),0)</f>
        <v>0</v>
      </c>
      <c r="E48" s="21" t="str">
        <f aca="false">IFERROR(__xludf.dummyfunction("IF($H$22="""","""",IFERROR(INDEX(filter('DL10. Lớp học'!K4:K503,'DL10. Lớp học'!H4:H503=$H$22),4),""""))"),"finished (Đã kết thúc)")</f>
        <v>finished (Đã kết thúc)</v>
      </c>
      <c r="F48" s="179"/>
      <c r="G48" s="179"/>
      <c r="H48" s="179"/>
    </row>
    <row r="49" customFormat="false" ht="18" hidden="false" customHeight="true" outlineLevel="0" collapsed="false">
      <c r="A49" s="21" t="str">
        <f aca="false">IFERROR(__xludf.dummyfunction("IF($H$22="""","""",IFERROR(INDEX(filter('DL10. Lớp học'!A4:A503,'DL10. Lớp học'!H4:H503=$H$22),5),""""))"),"")</f>
        <v/>
      </c>
      <c r="B49" s="21" t="str">
        <f aca="false">IFERROR(__xludf.dummyfunction("IF($H$22="""","""",IFERROR(INDEX(filter('DL10. Lớp học'!B4:B503,'DL10. Lớp học'!H4:H503=$H$22),5),""""))"),"")</f>
        <v/>
      </c>
      <c r="C49" s="21" t="str">
        <f aca="false">IFERROR(__xludf.dummyfunction("IF($H$22="""","""",IFERROR(INDEX(filter('DL10. Lớp học'!E4:E503,'DL10. Lớp học'!H4:H503=$H$22),5),""""))"),"")</f>
        <v/>
      </c>
      <c r="D49" s="21" t="str">
        <f aca="false">IFERROR(__xludf.dummyfunction("IF($H$22="""","""",IFERROR(INDEX(filter('DL10. Lớp học'!J4:J503,'DL10. Lớp học'!H4:H503=$H$22),5),""""))"),"")</f>
        <v/>
      </c>
      <c r="E49" s="21" t="str">
        <f aca="false">IFERROR(__xludf.dummyfunction("IF($H$22="""","""",IFERROR(INDEX(filter('DL10. Lớp học'!K4:K503,'DL10. Lớp học'!H4:H503=$H$22),5),""""))"),"")</f>
        <v/>
      </c>
      <c r="F49" s="179"/>
      <c r="G49" s="179"/>
      <c r="H49" s="179"/>
    </row>
    <row r="50" customFormat="false" ht="18" hidden="false" customHeight="true" outlineLevel="0" collapsed="false">
      <c r="A50" s="21" t="str">
        <f aca="false">IFERROR(__xludf.dummyfunction("IF($H$22="""","""",IFERROR(INDEX(filter('DL10. Lớp học'!A4:A503,'DL10. Lớp học'!H4:H503=$H$22),6),""""))"),"")</f>
        <v/>
      </c>
      <c r="B50" s="21" t="str">
        <f aca="false">IFERROR(__xludf.dummyfunction("IF($H$22="""","""",IFERROR(INDEX(filter('DL10. Lớp học'!B4:B503,'DL10. Lớp học'!H4:H503=$H$22),6),""""))"),"")</f>
        <v/>
      </c>
      <c r="C50" s="21" t="str">
        <f aca="false">IFERROR(__xludf.dummyfunction("IF($H$22="""","""",IFERROR(INDEX(filter('DL10. Lớp học'!E4:E503,'DL10. Lớp học'!H4:H503=$H$22),6),""""))"),"")</f>
        <v/>
      </c>
      <c r="D50" s="21" t="str">
        <f aca="false">IFERROR(__xludf.dummyfunction("IF($H$22="""","""",IFERROR(INDEX(filter('DL10. Lớp học'!J4:J503,'DL10. Lớp học'!H4:H503=$H$22),6),""""))"),"")</f>
        <v/>
      </c>
      <c r="E50" s="21" t="str">
        <f aca="false">IFERROR(__xludf.dummyfunction("IF($H$22="""","""",IFERROR(INDEX(filter('DL10. Lớp học'!K4:K503,'DL10. Lớp học'!H4:H503=$H$22),6),""""))"),"")</f>
        <v/>
      </c>
      <c r="F50" s="179"/>
      <c r="G50" s="179"/>
      <c r="H50" s="179"/>
    </row>
    <row r="51" customFormat="false" ht="15" hidden="false" customHeight="true" outlineLevel="0" collapsed="false">
      <c r="A51" s="179"/>
      <c r="B51" s="179"/>
      <c r="C51" s="179"/>
      <c r="D51" s="179"/>
      <c r="E51" s="179"/>
      <c r="F51" s="179"/>
      <c r="G51" s="179"/>
      <c r="H51" s="179"/>
    </row>
    <row r="52" customFormat="false" ht="24" hidden="false" customHeight="true" outlineLevel="0" collapsed="false">
      <c r="A52" s="290" t="s">
        <v>3774</v>
      </c>
      <c r="B52" s="290"/>
      <c r="C52" s="290"/>
      <c r="D52" s="290"/>
      <c r="E52" s="290"/>
      <c r="F52" s="290"/>
      <c r="G52" s="179"/>
      <c r="H52" s="179"/>
    </row>
    <row r="53" customFormat="false" ht="19.5" hidden="false" customHeight="true" outlineLevel="0" collapsed="false">
      <c r="A53" s="282" t="s">
        <v>3247</v>
      </c>
      <c r="B53" s="282" t="s">
        <v>3775</v>
      </c>
      <c r="C53" s="282" t="s">
        <v>3250</v>
      </c>
      <c r="D53" s="282" t="s">
        <v>3776</v>
      </c>
      <c r="E53" s="282" t="s">
        <v>250</v>
      </c>
      <c r="F53" s="282" t="s">
        <v>3256</v>
      </c>
      <c r="G53" s="179"/>
      <c r="H53" s="179"/>
    </row>
    <row r="54" customFormat="false" ht="15" hidden="false" customHeight="true" outlineLevel="0" collapsed="false">
      <c r="A54" s="21" t="str">
        <f aca="false">IFERROR(__xludf.dummyfunction("IF($H$22="""","""",IFERROR(INDEX(filter('DL11. Buổi học'!A4:A503,'DL11. Buổi học'!I4:I503=$H$22),1),""""))"),"SES-001")</f>
        <v>SES-001</v>
      </c>
      <c r="B54" s="80" t="str">
        <f aca="false">IFERROR(__xludf.dummyfunction("IF($H$22="""","""",IFERROR(INDEX(filter('DL11. Buổi học'!B4:B503,'DL11. Buổi học'!I4:I503=$H$22),1),""""))"),"LOP-FOUND-PLA-01")</f>
        <v>LOP-FOUND-PLA-01</v>
      </c>
      <c r="C54" s="292" t="n">
        <f aca="false">IFERROR(__xludf.dummyfunction("IF($H$22="""","""",IFERROR(INDEX(filter('DL11. Buổi học'!D4:D503,'DL11. Buổi học'!I4:I503=$H$22),1),""""))"),46198.75)</f>
        <v>46198.75</v>
      </c>
      <c r="D54" s="21" t="n">
        <f aca="false">IFERROR(__xludf.dummyfunction("IF($H$22="""","""",IFERROR(INDEX(filter('DL11. Buổi học'!H4:H503,'DL11. Buổi học'!I4:I503=$H$22),1),""""))"),0)</f>
        <v>0</v>
      </c>
      <c r="E54" s="21" t="str">
        <f aca="false">IFERROR(__xludf.dummyfunction("IF($H$22="""","""",IFERROR(INDEX(filter('DL11. Buổi học'!J4:J503,'DL11. Buổi học'!I4:I503=$H$22),1),""""))"),"completed (Đã hoàn thành)")</f>
        <v>completed (Đã hoàn thành)</v>
      </c>
      <c r="F54" s="294" t="b">
        <f aca="false">IFERROR(__xludf.dummyfunction("IF($H$22="""","""",IFERROR(INDEX(filter('DL11. Buổi học'!K4:K503,'DL11. Buổi học'!I4:I503=$H$22),1),""""))"),TRUE())</f>
        <v>1</v>
      </c>
      <c r="G54" s="179"/>
      <c r="H54" s="179"/>
    </row>
    <row r="55" customFormat="false" ht="15" hidden="false" customHeight="true" outlineLevel="0" collapsed="false">
      <c r="A55" s="21" t="str">
        <f aca="false">IFERROR(__xludf.dummyfunction("IF($H$22="""","""",IFERROR(INDEX(filter('DL11. Buổi học'!A4:A503,'DL11. Buổi học'!I4:I503=$H$22),2),""""))"),"SES-009")</f>
        <v>SES-009</v>
      </c>
      <c r="B55" s="80" t="str">
        <f aca="false">IFERROR(__xludf.dummyfunction("IF($H$22="""","""",IFERROR(INDEX(filter('DL11. Buổi học'!B4:B503,'DL11. Buổi học'!I4:I503=$H$22),2),""""))"),"LOP-FOUND-PLA-01")</f>
        <v>LOP-FOUND-PLA-01</v>
      </c>
      <c r="C55" s="292" t="n">
        <f aca="false">IFERROR(__xludf.dummyfunction("IF($H$22="""","""",IFERROR(INDEX(filter('DL11. Buổi học'!D4:D503,'DL11. Buổi học'!I4:I503=$H$22),2),""""))"),46206.75)</f>
        <v>46206.75</v>
      </c>
      <c r="D55" s="21" t="n">
        <f aca="false">IFERROR(__xludf.dummyfunction("IF($H$22="""","""",IFERROR(INDEX(filter('DL11. Buổi học'!H4:H503,'DL11. Buổi học'!I4:I503=$H$22),2),""""))"),0)</f>
        <v>0</v>
      </c>
      <c r="E55" s="21" t="str">
        <f aca="false">IFERROR(__xludf.dummyfunction("IF($H$22="""","""",IFERROR(INDEX(filter('DL11. Buổi học'!J4:J503,'DL11. Buổi học'!I4:I503=$H$22),2),""""))"),"completed (Đã hoàn thành)")</f>
        <v>completed (Đã hoàn thành)</v>
      </c>
      <c r="F55" s="294" t="b">
        <f aca="false">IFERROR(__xludf.dummyfunction("IF($H$22="""","""",IFERROR(INDEX(filter('DL11. Buổi học'!K4:K503,'DL11. Buổi học'!I4:I503=$H$22),2),""""))"),TRUE())</f>
        <v>1</v>
      </c>
      <c r="G55" s="179"/>
      <c r="H55" s="179"/>
    </row>
    <row r="56" customFormat="false" ht="15" hidden="false" customHeight="true" outlineLevel="0" collapsed="false">
      <c r="A56" s="21" t="str">
        <f aca="false">IFERROR(__xludf.dummyfunction("IF($H$22="""","""",IFERROR(INDEX(filter('DL11. Buổi học'!A4:A503,'DL11. Buổi học'!I4:I503=$H$22),3),""""))"),"SES-016")</f>
        <v>SES-016</v>
      </c>
      <c r="B56" s="80" t="str">
        <f aca="false">IFERROR(__xludf.dummyfunction("IF($H$22="""","""",IFERROR(INDEX(filter('DL11. Buổi học'!B4:B503,'DL11. Buổi học'!I4:I503=$H$22),3),""""))"),"LOP-FOUND-PLA-01")</f>
        <v>LOP-FOUND-PLA-01</v>
      </c>
      <c r="C56" s="292" t="n">
        <f aca="false">IFERROR(__xludf.dummyfunction("IF($H$22="""","""",IFERROR(INDEX(filter('DL11. Buổi học'!D4:D503,'DL11. Buổi học'!I4:I503=$H$22),3),""""))"),46204.75)</f>
        <v>46204.75</v>
      </c>
      <c r="D56" s="21" t="n">
        <f aca="false">IFERROR(__xludf.dummyfunction("IF($H$22="""","""",IFERROR(INDEX(filter('DL11. Buổi học'!H4:H503,'DL11. Buổi học'!I4:I503=$H$22),3),""""))"),0)</f>
        <v>0</v>
      </c>
      <c r="E56" s="21" t="str">
        <f aca="false">IFERROR(__xludf.dummyfunction("IF($H$22="""","""",IFERROR(INDEX(filter('DL11. Buổi học'!J4:J503,'DL11. Buổi học'!I4:I503=$H$22),3),""""))"),"completed (Đã hoàn thành)")</f>
        <v>completed (Đã hoàn thành)</v>
      </c>
      <c r="F56" s="294" t="b">
        <f aca="false">IFERROR(__xludf.dummyfunction("IF($H$22="""","""",IFERROR(INDEX(filter('DL11. Buổi học'!K4:K503,'DL11. Buổi học'!I4:I503=$H$22),3),""""))"),TRUE())</f>
        <v>1</v>
      </c>
      <c r="G56" s="179"/>
      <c r="H56" s="179"/>
    </row>
    <row r="57" customFormat="false" ht="15" hidden="false" customHeight="true" outlineLevel="0" collapsed="false">
      <c r="A57" s="21" t="str">
        <f aca="false">IFERROR(__xludf.dummyfunction("IF($H$22="""","""",IFERROR(INDEX(filter('DL11. Buổi học'!A4:A503,'DL11. Buổi học'!I4:I503=$H$22),4),""""))"),"SES-017")</f>
        <v>SES-017</v>
      </c>
      <c r="B57" s="80" t="str">
        <f aca="false">IFERROR(__xludf.dummyfunction("IF($H$22="""","""",IFERROR(INDEX(filter('DL11. Buổi học'!B4:B503,'DL11. Buổi học'!I4:I503=$H$22),4),""""))"),"LOP-FOUND-PLA-01")</f>
        <v>LOP-FOUND-PLA-01</v>
      </c>
      <c r="C57" s="292" t="n">
        <f aca="false">IFERROR(__xludf.dummyfunction("IF($H$22="""","""",IFERROR(INDEX(filter('DL11. Buổi học'!D4:D503,'DL11. Buổi học'!I4:I503=$H$22),4),""""))"),46211.75)</f>
        <v>46211.75</v>
      </c>
      <c r="D57" s="21" t="str">
        <f aca="false">IFERROR(__xludf.dummyfunction("IF($H$22="""","""",IFERROR(INDEX(filter('DL11. Buổi học'!H4:H503,'DL11. Buổi học'!I4:I503=$H$22),4),""""))"),"")</f>
        <v/>
      </c>
      <c r="E57" s="21" t="str">
        <f aca="false">IFERROR(__xludf.dummyfunction("IF($H$22="""","""",IFERROR(INDEX(filter('DL11. Buổi học'!J4:J503,'DL11. Buổi học'!I4:I503=$H$22),4),""""))"),"scheduled (Đã lên lịch)")</f>
        <v>scheduled (Đã lên lịch)</v>
      </c>
      <c r="F57" s="294" t="b">
        <f aca="false">IFERROR(__xludf.dummyfunction("IF($H$22="""","""",IFERROR(INDEX(filter('DL11. Buổi học'!K4:K503,'DL11. Buổi học'!I4:I503=$H$22),4),""""))"),TRUE())</f>
        <v>1</v>
      </c>
      <c r="G57" s="179"/>
      <c r="H57" s="179"/>
    </row>
    <row r="58" customFormat="false" ht="15" hidden="false" customHeight="true" outlineLevel="0" collapsed="false">
      <c r="A58" s="21" t="str">
        <f aca="false">IFERROR(__xludf.dummyfunction("IF($H$22="""","""",IFERROR(INDEX(filter('DL11. Buổi học'!A4:A503,'DL11. Buổi học'!I4:I503=$H$22),5),""""))"),"")</f>
        <v/>
      </c>
      <c r="B58" s="21" t="str">
        <f aca="false">IFERROR(__xludf.dummyfunction("IF($H$22="""","""",IFERROR(INDEX(filter('DL11. Buổi học'!B4:B503,'DL11. Buổi học'!I4:I503=$H$22),5),""""))"),"")</f>
        <v/>
      </c>
      <c r="C58" s="292" t="str">
        <f aca="false">IFERROR(__xludf.dummyfunction("IF($H$22="""","""",IFERROR(INDEX(filter('DL11. Buổi học'!D4:D503,'DL11. Buổi học'!I4:I503=$H$22),5),""""))"),"")</f>
        <v/>
      </c>
      <c r="D58" s="21" t="str">
        <f aca="false">IFERROR(__xludf.dummyfunction("IF($H$22="""","""",IFERROR(INDEX(filter('DL11. Buổi học'!H4:H503,'DL11. Buổi học'!I4:I503=$H$22),5),""""))"),"")</f>
        <v/>
      </c>
      <c r="E58" s="21" t="str">
        <f aca="false">IFERROR(__xludf.dummyfunction("IF($H$22="""","""",IFERROR(INDEX(filter('DL11. Buổi học'!J4:J503,'DL11. Buổi học'!I4:I503=$H$22),5),""""))"),"")</f>
        <v/>
      </c>
      <c r="F58" s="21" t="str">
        <f aca="false">IFERROR(__xludf.dummyfunction("IF($H$22="""","""",IFERROR(INDEX(filter('DL11. Buổi học'!K4:K503,'DL11. Buổi học'!I4:I503=$H$22),5),""""))"),"")</f>
        <v/>
      </c>
      <c r="G58" s="179"/>
      <c r="H58" s="179"/>
    </row>
    <row r="59" customFormat="false" ht="15" hidden="false" customHeight="true" outlineLevel="0" collapsed="false">
      <c r="A59" s="21" t="str">
        <f aca="false">IFERROR(__xludf.dummyfunction("IF($H$22="""","""",IFERROR(INDEX(filter('DL11. Buổi học'!A4:A503,'DL11. Buổi học'!I4:I503=$H$22),6),""""))"),"")</f>
        <v/>
      </c>
      <c r="B59" s="21" t="str">
        <f aca="false">IFERROR(__xludf.dummyfunction("IF($H$22="""","""",IFERROR(INDEX(filter('DL11. Buổi học'!B4:B503,'DL11. Buổi học'!I4:I503=$H$22),6),""""))"),"")</f>
        <v/>
      </c>
      <c r="C59" s="292" t="str">
        <f aca="false">IFERROR(__xludf.dummyfunction("IF($H$22="""","""",IFERROR(INDEX(filter('DL11. Buổi học'!D4:D503,'DL11. Buổi học'!I4:I503=$H$22),6),""""))"),"")</f>
        <v/>
      </c>
      <c r="D59" s="21" t="str">
        <f aca="false">IFERROR(__xludf.dummyfunction("IF($H$22="""","""",IFERROR(INDEX(filter('DL11. Buổi học'!H4:H503,'DL11. Buổi học'!I4:I503=$H$22),6),""""))"),"")</f>
        <v/>
      </c>
      <c r="E59" s="21" t="str">
        <f aca="false">IFERROR(__xludf.dummyfunction("IF($H$22="""","""",IFERROR(INDEX(filter('DL11. Buổi học'!J4:J503,'DL11. Buổi học'!I4:I503=$H$22),6),""""))"),"")</f>
        <v/>
      </c>
      <c r="F59" s="21" t="str">
        <f aca="false">IFERROR(__xludf.dummyfunction("IF($H$22="""","""",IFERROR(INDEX(filter('DL11. Buổi học'!K4:K503,'DL11. Buổi học'!I4:I503=$H$22),6),""""))"),"")</f>
        <v/>
      </c>
      <c r="G59" s="179"/>
      <c r="H59" s="179"/>
    </row>
    <row r="60" customFormat="false" ht="15" hidden="false" customHeight="true" outlineLevel="0" collapsed="false">
      <c r="A60" s="21" t="str">
        <f aca="false">IFERROR(__xludf.dummyfunction("IF($H$22="""","""",IFERROR(INDEX(filter('DL11. Buổi học'!A4:A503,'DL11. Buổi học'!I4:I503=$H$22),7),""""))"),"")</f>
        <v/>
      </c>
      <c r="B60" s="21" t="str">
        <f aca="false">IFERROR(__xludf.dummyfunction("IF($H$22="""","""",IFERROR(INDEX(filter('DL11. Buổi học'!B4:B503,'DL11. Buổi học'!I4:I503=$H$22),7),""""))"),"")</f>
        <v/>
      </c>
      <c r="C60" s="292" t="str">
        <f aca="false">IFERROR(__xludf.dummyfunction("IF($H$22="""","""",IFERROR(INDEX(filter('DL11. Buổi học'!D4:D503,'DL11. Buổi học'!I4:I503=$H$22),7),""""))"),"")</f>
        <v/>
      </c>
      <c r="D60" s="21" t="str">
        <f aca="false">IFERROR(__xludf.dummyfunction("IF($H$22="""","""",IFERROR(INDEX(filter('DL11. Buổi học'!H4:H503,'DL11. Buổi học'!I4:I503=$H$22),7),""""))"),"")</f>
        <v/>
      </c>
      <c r="E60" s="21" t="str">
        <f aca="false">IFERROR(__xludf.dummyfunction("IF($H$22="""","""",IFERROR(INDEX(filter('DL11. Buổi học'!J4:J503,'DL11. Buổi học'!I4:I503=$H$22),7),""""))"),"")</f>
        <v/>
      </c>
      <c r="F60" s="21" t="str">
        <f aca="false">IFERROR(__xludf.dummyfunction("IF($H$22="""","""",IFERROR(INDEX(filter('DL11. Buổi học'!K4:K503,'DL11. Buổi học'!I4:I503=$H$22),7),""""))"),"")</f>
        <v/>
      </c>
      <c r="G60" s="179"/>
      <c r="H60" s="179"/>
    </row>
    <row r="61" customFormat="false" ht="15" hidden="false" customHeight="true" outlineLevel="0" collapsed="false">
      <c r="A61" s="21" t="str">
        <f aca="false">IFERROR(__xludf.dummyfunction("IF($H$22="""","""",IFERROR(INDEX(filter('DL11. Buổi học'!A4:A503,'DL11. Buổi học'!I4:I503=$H$22),8),""""))"),"")</f>
        <v/>
      </c>
      <c r="B61" s="21" t="str">
        <f aca="false">IFERROR(__xludf.dummyfunction("IF($H$22="""","""",IFERROR(INDEX(filter('DL11. Buổi học'!B4:B503,'DL11. Buổi học'!I4:I503=$H$22),8),""""))"),"")</f>
        <v/>
      </c>
      <c r="C61" s="292" t="str">
        <f aca="false">IFERROR(__xludf.dummyfunction("IF($H$22="""","""",IFERROR(INDEX(filter('DL11. Buổi học'!D4:D503,'DL11. Buổi học'!I4:I503=$H$22),8),""""))"),"")</f>
        <v/>
      </c>
      <c r="D61" s="21" t="str">
        <f aca="false">IFERROR(__xludf.dummyfunction("IF($H$22="""","""",IFERROR(INDEX(filter('DL11. Buổi học'!H4:H503,'DL11. Buổi học'!I4:I503=$H$22),8),""""))"),"")</f>
        <v/>
      </c>
      <c r="E61" s="21" t="str">
        <f aca="false">IFERROR(__xludf.dummyfunction("IF($H$22="""","""",IFERROR(INDEX(filter('DL11. Buổi học'!J4:J503,'DL11. Buổi học'!I4:I503=$H$22),8),""""))"),"")</f>
        <v/>
      </c>
      <c r="F61" s="21" t="str">
        <f aca="false">IFERROR(__xludf.dummyfunction("IF($H$22="""","""",IFERROR(INDEX(filter('DL11. Buổi học'!K4:K503,'DL11. Buổi học'!I4:I503=$H$22),8),""""))"),"")</f>
        <v/>
      </c>
      <c r="G61" s="179"/>
      <c r="H61" s="179"/>
    </row>
    <row r="62" customFormat="false" ht="15" hidden="false" customHeight="true" outlineLevel="0" collapsed="false">
      <c r="A62" s="179"/>
      <c r="B62" s="179"/>
      <c r="C62" s="179"/>
      <c r="D62" s="179"/>
      <c r="E62" s="179"/>
      <c r="F62" s="179"/>
      <c r="G62" s="179"/>
      <c r="H62" s="179"/>
    </row>
    <row r="63" customFormat="false" ht="24" hidden="false" customHeight="true" outlineLevel="0" collapsed="false">
      <c r="A63" s="290" t="s">
        <v>3777</v>
      </c>
      <c r="B63" s="290"/>
      <c r="C63" s="290"/>
      <c r="D63" s="290"/>
      <c r="E63" s="290"/>
      <c r="F63" s="290"/>
      <c r="G63" s="179"/>
      <c r="H63" s="179"/>
    </row>
    <row r="64" customFormat="false" ht="19.5" hidden="false" customHeight="true" outlineLevel="0" collapsed="false">
      <c r="A64" s="282" t="s">
        <v>3778</v>
      </c>
      <c r="B64" s="282" t="s">
        <v>2017</v>
      </c>
      <c r="C64" s="282" t="s">
        <v>3360</v>
      </c>
      <c r="D64" s="282" t="s">
        <v>3365</v>
      </c>
      <c r="E64" s="282" t="s">
        <v>3367</v>
      </c>
      <c r="F64" s="179"/>
      <c r="G64" s="179"/>
      <c r="H64" s="179"/>
    </row>
    <row r="65" customFormat="false" ht="18" hidden="false" customHeight="true" outlineLevel="0" collapsed="false">
      <c r="A65" s="21" t="str">
        <f aca="false">IFERROR(__xludf.dummyfunction("IF($H$22="""","""",IFERROR(INDEX(filter('DL13. Bài tập'!A4:A503,'DL13. Bài tập'!R4:R503=$H$22),1),""""))"),"HW-008")</f>
        <v>HW-008</v>
      </c>
      <c r="B65" s="21" t="str">
        <f aca="false">IFERROR(__xludf.dummyfunction("IF($H$22="""","""",IFERROR(INDEX(filter('DL13. Bài tập'!E4:E503,'DL13. Bài tập'!R4:R503=$H$22),1),""""))"),"Trần Minh Anh")</f>
        <v>Trần Minh Anh</v>
      </c>
      <c r="C65" s="21" t="str">
        <f aca="false">IFERROR(__xludf.dummyfunction("IF($H$22="""","""",IFERROR(INDEX(filter('DL13. Bài tập'!G4:G503,'DL13. Bài tập'!R4:R503=$H$22),1),""""))"),"Writing (Viết)")</f>
        <v>Writing (Viết)</v>
      </c>
      <c r="D65" s="138" t="n">
        <f aca="false">IFERROR(__xludf.dummyfunction("IF($H$22="""","""",IFERROR(INDEX(filter('DL13. Bài tập'!M4:M503,'DL13. Bài tập'!R4:R503=$H$22),1),""""))"),6)</f>
        <v>6</v>
      </c>
      <c r="E65" s="292" t="n">
        <f aca="false">IFERROR(__xludf.dummyfunction("IF($H$22="""","""",IFERROR(INDEX(filter('DL13. Bài tập'!O4:O503,'DL13. Bài tập'!R4:R503=$H$22),1),""""))"),46200.4166666667)</f>
        <v>46200.4166666667</v>
      </c>
      <c r="F65" s="179"/>
      <c r="G65" s="179"/>
      <c r="H65" s="179"/>
    </row>
    <row r="66" customFormat="false" ht="18" hidden="false" customHeight="true" outlineLevel="0" collapsed="false">
      <c r="A66" s="21" t="str">
        <f aca="false">IFERROR(__xludf.dummyfunction("IF($H$22="""","""",IFERROR(INDEX(filter('DL13. Bài tập'!A4:A503,'DL13. Bài tập'!R4:R503=$H$22),2),""""))"),"HW-009")</f>
        <v>HW-009</v>
      </c>
      <c r="B66" s="21" t="str">
        <f aca="false">IFERROR(__xludf.dummyfunction("IF($H$22="""","""",IFERROR(INDEX(filter('DL13. Bài tập'!E4:E503,'DL13. Bài tập'!R4:R503=$H$22),2),""""))"),"Trần Minh Anh")</f>
        <v>Trần Minh Anh</v>
      </c>
      <c r="C66" s="21" t="str">
        <f aca="false">IFERROR(__xludf.dummyfunction("IF($H$22="""","""",IFERROR(INDEX(filter('DL13. Bài tập'!G4:G503,'DL13. Bài tập'!R4:R503=$H$22),2),""""))"),"Writing (Viết)")</f>
        <v>Writing (Viết)</v>
      </c>
      <c r="D66" s="138" t="str">
        <f aca="false">IFERROR(__xludf.dummyfunction("IF($H$22="""","""",IFERROR(INDEX(filter('DL13. Bài tập'!M4:M503,'DL13. Bài tập'!R4:R503=$H$22),2),""""))"),"")</f>
        <v/>
      </c>
      <c r="E66" s="292" t="str">
        <f aca="false">IFERROR(__xludf.dummyfunction("IF($H$22="""","""",IFERROR(INDEX(filter('DL13. Bài tập'!O4:O503,'DL13. Bài tập'!R4:R503=$H$22),2),""""))"),"")</f>
        <v/>
      </c>
      <c r="F66" s="179"/>
      <c r="G66" s="179"/>
      <c r="H66" s="179"/>
    </row>
    <row r="67" customFormat="false" ht="18" hidden="false" customHeight="true" outlineLevel="0" collapsed="false">
      <c r="A67" s="21" t="str">
        <f aca="false">IFERROR(__xludf.dummyfunction("IF($H$22="""","""",IFERROR(INDEX(filter('DL13. Bài tập'!A4:A503,'DL13. Bài tập'!R4:R503=$H$22),3),""""))"),"HW-012")</f>
        <v>HW-012</v>
      </c>
      <c r="B67" s="21" t="str">
        <f aca="false">IFERROR(__xludf.dummyfunction("IF($H$22="""","""",IFERROR(INDEX(filter('DL13. Bài tập'!E4:E503,'DL13. Bài tập'!R4:R503=$H$22),3),""""))"),"Trần Minh Anh")</f>
        <v>Trần Minh Anh</v>
      </c>
      <c r="C67" s="21" t="str">
        <f aca="false">IFERROR(__xludf.dummyfunction("IF($H$22="""","""",IFERROR(INDEX(filter('DL13. Bài tập'!G4:G503,'DL13. Bài tập'!R4:R503=$H$22),3),""""))"),"Writing (Viết)")</f>
        <v>Writing (Viết)</v>
      </c>
      <c r="D67" s="138" t="n">
        <f aca="false">IFERROR(__xludf.dummyfunction("IF($H$22="""","""",IFERROR(INDEX(filter('DL13. Bài tập'!M4:M503,'DL13. Bài tập'!R4:R503=$H$22),3),""""))"),6.5)</f>
        <v>6.5</v>
      </c>
      <c r="E67" s="292" t="n">
        <f aca="false">IFERROR(__xludf.dummyfunction("IF($H$22="""","""",IFERROR(INDEX(filter('DL13. Bài tập'!O4:O503,'DL13. Bài tập'!R4:R503=$H$22),3),""""))"),46206.4166666667)</f>
        <v>46206.4166666667</v>
      </c>
      <c r="F67" s="179"/>
      <c r="G67" s="179"/>
      <c r="H67" s="179"/>
    </row>
    <row r="68" customFormat="false" ht="18" hidden="false" customHeight="true" outlineLevel="0" collapsed="false">
      <c r="A68" s="21" t="str">
        <f aca="false">IFERROR(__xludf.dummyfunction("IF($H$22="""","""",IFERROR(INDEX(filter('DL13. Bài tập'!A4:A503,'DL13. Bài tập'!R4:R503=$H$22),4),""""))"),"HW-013")</f>
        <v>HW-013</v>
      </c>
      <c r="B68" s="21" t="str">
        <f aca="false">IFERROR(__xludf.dummyfunction("IF($H$22="""","""",IFERROR(INDEX(filter('DL13. Bài tập'!E4:E503,'DL13. Bài tập'!R4:R503=$H$22),4),""""))"),"Lý Gia Khang")</f>
        <v>Lý Gia Khang</v>
      </c>
      <c r="C68" s="21" t="str">
        <f aca="false">IFERROR(__xludf.dummyfunction("IF($H$22="""","""",IFERROR(INDEX(filter('DL13. Bài tập'!G4:G503,'DL13. Bài tập'!R4:R503=$H$22),4),""""))"),"Writing (Viết)")</f>
        <v>Writing (Viết)</v>
      </c>
      <c r="D68" s="138" t="n">
        <f aca="false">IFERROR(__xludf.dummyfunction("IF($H$22="""","""",IFERROR(INDEX(filter('DL13. Bài tập'!M4:M503,'DL13. Bài tập'!R4:R503=$H$22),4),""""))"),5.5)</f>
        <v>5.5</v>
      </c>
      <c r="E68" s="292" t="n">
        <f aca="false">IFERROR(__xludf.dummyfunction("IF($H$22="""","""",IFERROR(INDEX(filter('DL13. Bài tập'!O4:O503,'DL13. Bài tập'!R4:R503=$H$22),4),""""))"),46206.4166666667)</f>
        <v>46206.4166666667</v>
      </c>
      <c r="F68" s="179"/>
      <c r="G68" s="179"/>
      <c r="H68" s="179"/>
    </row>
    <row r="69" customFormat="false" ht="18" hidden="false" customHeight="true" outlineLevel="0" collapsed="false">
      <c r="A69" s="21" t="str">
        <f aca="false">IFERROR(__xludf.dummyfunction("IF($H$22="""","""",IFERROR(INDEX(filter('DL13. Bài tập'!A4:A503,'DL13. Bài tập'!R4:R503=$H$22),5),""""))"),"HW-014")</f>
        <v>HW-014</v>
      </c>
      <c r="B69" s="21" t="str">
        <f aca="false">IFERROR(__xludf.dummyfunction("IF($H$22="""","""",IFERROR(INDEX(filter('DL13. Bài tập'!E4:E503,'DL13. Bài tập'!R4:R503=$H$22),5),""""))"),"Trương Mỹ Lan")</f>
        <v>Trương Mỹ Lan</v>
      </c>
      <c r="C69" s="21" t="str">
        <f aca="false">IFERROR(__xludf.dummyfunction("IF($H$22="""","""",IFERROR(INDEX(filter('DL13. Bài tập'!G4:G503,'DL13. Bài tập'!R4:R503=$H$22),5),""""))"),"Writing (Viết)")</f>
        <v>Writing (Viết)</v>
      </c>
      <c r="D69" s="138" t="n">
        <f aca="false">IFERROR(__xludf.dummyfunction("IF($H$22="""","""",IFERROR(INDEX(filter('DL13. Bài tập'!M4:M503,'DL13. Bài tập'!R4:R503=$H$22),5),""""))"),5)</f>
        <v>5</v>
      </c>
      <c r="E69" s="292" t="n">
        <f aca="false">IFERROR(__xludf.dummyfunction("IF($H$22="""","""",IFERROR(INDEX(filter('DL13. Bài tập'!O4:O503,'DL13. Bài tập'!R4:R503=$H$22),5),""""))"),46207.625)</f>
        <v>46207.625</v>
      </c>
      <c r="F69" s="179"/>
      <c r="G69" s="179"/>
      <c r="H69" s="179"/>
    </row>
    <row r="70" customFormat="false" ht="18" hidden="false" customHeight="true" outlineLevel="0" collapsed="false">
      <c r="A70" s="21" t="str">
        <f aca="false">IFERROR(__xludf.dummyfunction("IF($H$22="""","""",IFERROR(INDEX(filter('DL13. Bài tập'!A4:A503,'DL13. Bài tập'!R4:R503=$H$22),6),""""))"),"")</f>
        <v/>
      </c>
      <c r="B70" s="21" t="str">
        <f aca="false">IFERROR(__xludf.dummyfunction("IF($H$22="""","""",IFERROR(INDEX(filter('DL13. Bài tập'!E4:E503,'DL13. Bài tập'!R4:R503=$H$22),6),""""))"),"")</f>
        <v/>
      </c>
      <c r="C70" s="21" t="str">
        <f aca="false">IFERROR(__xludf.dummyfunction("IF($H$22="""","""",IFERROR(INDEX(filter('DL13. Bài tập'!G4:G503,'DL13. Bài tập'!R4:R503=$H$22),6),""""))"),"")</f>
        <v/>
      </c>
      <c r="D70" s="138" t="str">
        <f aca="false">IFERROR(__xludf.dummyfunction("IF($H$22="""","""",IFERROR(INDEX(filter('DL13. Bài tập'!M4:M503,'DL13. Bài tập'!R4:R503=$H$22),6),""""))"),"")</f>
        <v/>
      </c>
      <c r="E70" s="292" t="str">
        <f aca="false">IFERROR(__xludf.dummyfunction("IF($H$22="""","""",IFERROR(INDEX(filter('DL13. Bài tập'!O4:O503,'DL13. Bài tập'!R4:R503=$H$22),6),""""))"),"")</f>
        <v/>
      </c>
      <c r="F70" s="179"/>
      <c r="G70" s="179"/>
      <c r="H70" s="179"/>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7">
    <mergeCell ref="A1:F1"/>
    <mergeCell ref="A3:B3"/>
    <mergeCell ref="C3:E3"/>
    <mergeCell ref="A22:B22"/>
    <mergeCell ref="C22:F22"/>
    <mergeCell ref="A24:F24"/>
    <mergeCell ref="B25:F25"/>
    <mergeCell ref="B26:F26"/>
    <mergeCell ref="B27:F27"/>
    <mergeCell ref="B28:F28"/>
    <mergeCell ref="B29:F29"/>
    <mergeCell ref="B30:F30"/>
    <mergeCell ref="B31:F31"/>
    <mergeCell ref="B32:F32"/>
    <mergeCell ref="B33:F33"/>
    <mergeCell ref="B34:F34"/>
    <mergeCell ref="B35:F35"/>
    <mergeCell ref="A38:F38"/>
    <mergeCell ref="A39:B39"/>
    <mergeCell ref="D39:E39"/>
    <mergeCell ref="A40:B40"/>
    <mergeCell ref="D40:E40"/>
    <mergeCell ref="A41:B41"/>
    <mergeCell ref="D41:E41"/>
    <mergeCell ref="A43:F43"/>
    <mergeCell ref="A52:F52"/>
    <mergeCell ref="A63:F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zeroHeight="false" outlineLevelRow="0" outlineLevelCol="0"/>
  <cols>
    <col collapsed="false" customWidth="true" hidden="false" outlineLevel="0" max="1" min="1" style="1" width="21.43"/>
    <col collapsed="false" customWidth="true" hidden="false" outlineLevel="0" max="2" min="2" style="1" width="22.57"/>
    <col collapsed="false" customWidth="true" hidden="false" outlineLevel="0" max="3" min="3" style="1" width="24"/>
    <col collapsed="false" customWidth="true" hidden="false" outlineLevel="0" max="4" min="4" style="1" width="36.57"/>
    <col collapsed="false" customWidth="true" hidden="false" outlineLevel="0" max="5" min="5" style="1" width="18"/>
    <col collapsed="false" customWidth="true" hidden="false" outlineLevel="0" max="6" min="6" style="1" width="27.71"/>
    <col collapsed="false" customWidth="true" hidden="false" outlineLevel="0" max="7" min="7" style="1" width="24.71"/>
    <col collapsed="false" customWidth="true" hidden="true" outlineLevel="0" max="8" min="8" style="1" width="13"/>
    <col collapsed="false" customWidth="true" hidden="false" outlineLevel="0" max="26" min="9" style="1" width="8.71"/>
  </cols>
  <sheetData>
    <row r="1" customFormat="false" ht="31.5" hidden="false" customHeight="true" outlineLevel="0" collapsed="false">
      <c r="A1" s="295" t="s">
        <v>3779</v>
      </c>
      <c r="B1" s="295"/>
      <c r="C1" s="295"/>
      <c r="D1" s="295"/>
      <c r="E1" s="295"/>
      <c r="F1" s="295"/>
      <c r="G1" s="179"/>
      <c r="H1" s="179"/>
    </row>
    <row r="2" customFormat="false" ht="15" hidden="false" customHeight="true" outlineLevel="0" collapsed="false">
      <c r="A2" s="179"/>
      <c r="B2" s="179"/>
      <c r="C2" s="179"/>
      <c r="D2" s="179"/>
      <c r="E2" s="179"/>
      <c r="F2" s="179"/>
      <c r="G2" s="179"/>
      <c r="H2" s="179"/>
    </row>
    <row r="3" customFormat="false" ht="45.75" hidden="false" customHeight="true" outlineLevel="0" collapsed="false">
      <c r="A3" s="279" t="s">
        <v>3780</v>
      </c>
      <c r="B3" s="279"/>
      <c r="C3" s="280"/>
      <c r="D3" s="280"/>
      <c r="E3" s="280"/>
      <c r="F3" s="281" t="s">
        <v>3717</v>
      </c>
      <c r="G3" s="179"/>
      <c r="H3" s="179"/>
    </row>
    <row r="4" customFormat="false" ht="15" hidden="false" customHeight="true" outlineLevel="0" collapsed="false">
      <c r="A4" s="179"/>
      <c r="B4" s="179"/>
      <c r="C4" s="179"/>
      <c r="D4" s="179"/>
      <c r="E4" s="179"/>
      <c r="F4" s="179"/>
      <c r="G4" s="179"/>
      <c r="H4" s="179"/>
    </row>
    <row r="5" customFormat="false" ht="21.75" hidden="false" customHeight="true" outlineLevel="0" collapsed="false">
      <c r="A5" s="296" t="s">
        <v>3718</v>
      </c>
      <c r="B5" s="296" t="s">
        <v>2272</v>
      </c>
      <c r="C5" s="296" t="s">
        <v>2490</v>
      </c>
      <c r="D5" s="296" t="s">
        <v>2278</v>
      </c>
      <c r="E5" s="296" t="s">
        <v>2277</v>
      </c>
      <c r="F5" s="296" t="s">
        <v>250</v>
      </c>
      <c r="G5" s="179"/>
      <c r="H5" s="179"/>
    </row>
    <row r="6" customFormat="false" ht="15" hidden="false" customHeight="true" outlineLevel="0" collapsed="false">
      <c r="A6" s="238" t="b">
        <f aca="false">TRUE()</f>
        <v>1</v>
      </c>
      <c r="B6"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viên'!C4:C503))))),1),"""")"),"NV003")</f>
        <v>NV003</v>
      </c>
      <c r="C6" s="21" t="str">
        <f aca="false">IF($B6="","",IFERROR(VLOOKUP($B6,'DL01. Nhân viên'!$A:$K,2,FALSE()),""))</f>
        <v>Nguyễn Thanh Kiu</v>
      </c>
      <c r="D6" s="21" t="str">
        <f aca="false">IF($B6="","",IFERROR(VLOOKUP($B6,'DL01. Nhân viên'!$A:$K,7,FALSE()),""))</f>
        <v>0908000003</v>
      </c>
      <c r="E6" s="21" t="n">
        <f aca="false">IF($B6="","",IFERROR(VLOOKUP($B6,'DL01. Nhân viên'!$A:$K,6,FALSE()),""))</f>
        <v>0</v>
      </c>
      <c r="F6" s="21" t="str">
        <f aca="false">IF($B6="","",IFERROR(VLOOKUP($B6,'DL01. Nhân viên'!$A:$K,10,FALSE()),""))</f>
        <v>active (Đang làm việc)</v>
      </c>
      <c r="G6" s="179"/>
      <c r="H6" s="179"/>
    </row>
    <row r="7" customFormat="false" ht="15" hidden="false" customHeight="true" outlineLevel="0" collapsed="false">
      <c r="A7" s="238" t="b">
        <f aca="false">FALSE()</f>
        <v>0</v>
      </c>
      <c r="B7"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viên'!C4:C503))))),2),"""")"),"NV004")</f>
        <v>NV004</v>
      </c>
      <c r="C7" s="21" t="str">
        <f aca="false">IF($B7="","",IFERROR(VLOOKUP($B7,'DL01. Nhân viên'!$A:$K,2,FALSE()),""))</f>
        <v>Nguyễn Tuấn Phong</v>
      </c>
      <c r="D7" s="21" t="str">
        <f aca="false">IF($B7="","",IFERROR(VLOOKUP($B7,'DL01. Nhân viên'!$A:$K,7,FALSE()),""))</f>
        <v>0908000004</v>
      </c>
      <c r="E7" s="21" t="n">
        <f aca="false">IF($B7="","",IFERROR(VLOOKUP($B7,'DL01. Nhân viên'!$A:$K,6,FALSE()),""))</f>
        <v>0</v>
      </c>
      <c r="F7" s="21" t="str">
        <f aca="false">IF($B7="","",IFERROR(VLOOKUP($B7,'DL01. Nhân viên'!$A:$K,10,FALSE()),""))</f>
        <v>active (Đang làm việc)</v>
      </c>
      <c r="G7" s="179"/>
      <c r="H7" s="179"/>
    </row>
    <row r="8" customFormat="false" ht="15" hidden="false" customHeight="true" outlineLevel="0" collapsed="false">
      <c r="A8" s="238" t="b">
        <f aca="false">FALSE()</f>
        <v>0</v>
      </c>
      <c r="B8"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viên'!C4:C503))))),3),"""")"),"")</f>
        <v/>
      </c>
      <c r="C8" s="21" t="str">
        <f aca="false">IF($B8="","",IFERROR(VLOOKUP($B8,'DL01. Nhân viên'!$A:$K,2,FALSE()),""))</f>
        <v/>
      </c>
      <c r="D8" s="21" t="str">
        <f aca="false">IF($B8="","",IFERROR(VLOOKUP($B8,'DL01. Nhân viên'!$A:$K,7,FALSE()),""))</f>
        <v/>
      </c>
      <c r="E8" s="21" t="str">
        <f aca="false">IF($B8="","",IFERROR(VLOOKUP($B8,'DL01. Nhân viên'!$A:$K,6,FALSE()),""))</f>
        <v/>
      </c>
      <c r="F8" s="21" t="str">
        <f aca="false">IF($B8="","",IFERROR(VLOOKUP($B8,'DL01. Nhân viên'!$A:$K,10,FALSE()),""))</f>
        <v/>
      </c>
      <c r="G8" s="179"/>
      <c r="H8" s="179"/>
    </row>
    <row r="9" customFormat="false" ht="15" hidden="false" customHeight="true" outlineLevel="0" collapsed="false">
      <c r="A9" s="238" t="b">
        <f aca="false">FALSE()</f>
        <v>0</v>
      </c>
      <c r="B9"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viên'!C4:C503))))),4),"""")"),"")</f>
        <v/>
      </c>
      <c r="C9" s="21" t="str">
        <f aca="false">IF($B9="","",IFERROR(VLOOKUP($B9,'DL01. Nhân viên'!$A:$K,2,FALSE()),""))</f>
        <v/>
      </c>
      <c r="D9" s="21" t="str">
        <f aca="false">IF($B9="","",IFERROR(VLOOKUP($B9,'DL01. Nhân viên'!$A:$K,7,FALSE()),""))</f>
        <v/>
      </c>
      <c r="E9" s="21" t="str">
        <f aca="false">IF($B9="","",IFERROR(VLOOKUP($B9,'DL01. Nhân viên'!$A:$K,6,FALSE()),""))</f>
        <v/>
      </c>
      <c r="F9" s="21" t="str">
        <f aca="false">IF($B9="","",IFERROR(VLOOKUP($B9,'DL01. Nhân viên'!$A:$K,10,FALSE()),""))</f>
        <v/>
      </c>
      <c r="G9" s="179"/>
      <c r="H9" s="179"/>
    </row>
    <row r="10" customFormat="false" ht="15" hidden="false" customHeight="true" outlineLevel="0" collapsed="false">
      <c r="A10" s="238" t="b">
        <f aca="false">FALSE()</f>
        <v>0</v>
      </c>
      <c r="B10"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viên'!C4:C503))))),5),"""")"),"")</f>
        <v/>
      </c>
      <c r="C10" s="21" t="str">
        <f aca="false">IF($B10="","",IFERROR(VLOOKUP($B10,'DL01. Nhân viên'!$A:$K,2,FALSE()),""))</f>
        <v/>
      </c>
      <c r="D10" s="21" t="str">
        <f aca="false">IF($B10="","",IFERROR(VLOOKUP($B10,'DL01. Nhân viên'!$A:$K,7,FALSE()),""))</f>
        <v/>
      </c>
      <c r="E10" s="21" t="str">
        <f aca="false">IF($B10="","",IFERROR(VLOOKUP($B10,'DL01. Nhân viên'!$A:$K,6,FALSE()),""))</f>
        <v/>
      </c>
      <c r="F10" s="21" t="str">
        <f aca="false">IF($B10="","",IFERROR(VLOOKUP($B10,'DL01. Nhân viên'!$A:$K,10,FALSE()),""))</f>
        <v/>
      </c>
      <c r="G10" s="179"/>
      <c r="H10" s="179"/>
    </row>
    <row r="11" customFormat="false" ht="15" hidden="false" customHeight="true" outlineLevel="0" collapsed="false">
      <c r="A11" s="238" t="b">
        <f aca="false">FALSE()</f>
        <v>0</v>
      </c>
      <c r="B11"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viên'!C4:C503))))),6),"""")"),"")</f>
        <v/>
      </c>
      <c r="C11" s="21" t="str">
        <f aca="false">IF($B11="","",IFERROR(VLOOKUP($B11,'DL01. Nhân viên'!$A:$K,2,FALSE()),""))</f>
        <v/>
      </c>
      <c r="D11" s="21" t="str">
        <f aca="false">IF($B11="","",IFERROR(VLOOKUP($B11,'DL01. Nhân viên'!$A:$K,7,FALSE()),""))</f>
        <v/>
      </c>
      <c r="E11" s="21" t="str">
        <f aca="false">IF($B11="","",IFERROR(VLOOKUP($B11,'DL01. Nhân viên'!$A:$K,6,FALSE()),""))</f>
        <v/>
      </c>
      <c r="F11" s="21" t="str">
        <f aca="false">IF($B11="","",IFERROR(VLOOKUP($B11,'DL01. Nhân viên'!$A:$K,10,FALSE()),""))</f>
        <v/>
      </c>
      <c r="G11" s="179"/>
      <c r="H11" s="179"/>
    </row>
    <row r="12" customFormat="false" ht="15" hidden="false" customHeight="true" outlineLevel="0" collapsed="false">
      <c r="A12" s="238" t="b">
        <f aca="false">FALSE()</f>
        <v>0</v>
      </c>
      <c r="B12"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viên'!C4:C503))))),7),"""")"),"")</f>
        <v/>
      </c>
      <c r="C12" s="21" t="str">
        <f aca="false">IF($B12="","",IFERROR(VLOOKUP($B12,'DL01. Nhân viên'!$A:$K,2,FALSE()),""))</f>
        <v/>
      </c>
      <c r="D12" s="21" t="str">
        <f aca="false">IF($B12="","",IFERROR(VLOOKUP($B12,'DL01. Nhân viên'!$A:$K,7,FALSE()),""))</f>
        <v/>
      </c>
      <c r="E12" s="21" t="str">
        <f aca="false">IF($B12="","",IFERROR(VLOOKUP($B12,'DL01. Nhân viên'!$A:$K,6,FALSE()),""))</f>
        <v/>
      </c>
      <c r="F12" s="21" t="str">
        <f aca="false">IF($B12="","",IFERROR(VLOOKUP($B12,'DL01. Nhân viên'!$A:$K,10,FALSE()),""))</f>
        <v/>
      </c>
      <c r="G12" s="179"/>
      <c r="H12" s="179"/>
    </row>
    <row r="13" customFormat="false" ht="15" hidden="false" customHeight="true" outlineLevel="0" collapsed="false">
      <c r="A13" s="238" t="b">
        <f aca="false">FALSE()</f>
        <v>0</v>
      </c>
      <c r="B13"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viên'!C4:C503))))),8),"""")"),"")</f>
        <v/>
      </c>
      <c r="C13" s="21" t="str">
        <f aca="false">IF($B13="","",IFERROR(VLOOKUP($B13,'DL01. Nhân viên'!$A:$K,2,FALSE()),""))</f>
        <v/>
      </c>
      <c r="D13" s="21" t="str">
        <f aca="false">IF($B13="","",IFERROR(VLOOKUP($B13,'DL01. Nhân viên'!$A:$K,7,FALSE()),""))</f>
        <v/>
      </c>
      <c r="E13" s="21" t="str">
        <f aca="false">IF($B13="","",IFERROR(VLOOKUP($B13,'DL01. Nhân viên'!$A:$K,6,FALSE()),""))</f>
        <v/>
      </c>
      <c r="F13" s="21" t="str">
        <f aca="false">IF($B13="","",IFERROR(VLOOKUP($B13,'DL01. Nhân viên'!$A:$K,10,FALSE()),""))</f>
        <v/>
      </c>
      <c r="G13" s="179"/>
      <c r="H13" s="179"/>
    </row>
    <row r="14" customFormat="false" ht="15" hidden="false" customHeight="true" outlineLevel="0" collapsed="false">
      <c r="A14" s="238" t="b">
        <f aca="false">FALSE()</f>
        <v>0</v>
      </c>
      <c r="B14"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viên'!C4:C503))))),9),"""")"),"")</f>
        <v/>
      </c>
      <c r="C14" s="21" t="str">
        <f aca="false">IF($B14="","",IFERROR(VLOOKUP($B14,'DL01. Nhân viên'!$A:$K,2,FALSE()),""))</f>
        <v/>
      </c>
      <c r="D14" s="21" t="str">
        <f aca="false">IF($B14="","",IFERROR(VLOOKUP($B14,'DL01. Nhân viên'!$A:$K,7,FALSE()),""))</f>
        <v/>
      </c>
      <c r="E14" s="21" t="str">
        <f aca="false">IF($B14="","",IFERROR(VLOOKUP($B14,'DL01. Nhân viên'!$A:$K,6,FALSE()),""))</f>
        <v/>
      </c>
      <c r="F14" s="21" t="str">
        <f aca="false">IF($B14="","",IFERROR(VLOOKUP($B14,'DL01. Nhân viên'!$A:$K,10,FALSE()),""))</f>
        <v/>
      </c>
      <c r="G14" s="179"/>
      <c r="H14" s="179"/>
    </row>
    <row r="15" customFormat="false" ht="15" hidden="false" customHeight="true" outlineLevel="0" collapsed="false">
      <c r="A15" s="238" t="b">
        <f aca="false">FALSE()</f>
        <v>0</v>
      </c>
      <c r="B15"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viên'!C4:C503))))),10),"""")"),"")</f>
        <v/>
      </c>
      <c r="C15" s="21" t="str">
        <f aca="false">IF($B15="","",IFERROR(VLOOKUP($B15,'DL01. Nhân viên'!$A:$K,2,FALSE()),""))</f>
        <v/>
      </c>
      <c r="D15" s="21" t="str">
        <f aca="false">IF($B15="","",IFERROR(VLOOKUP($B15,'DL01. Nhân viên'!$A:$K,7,FALSE()),""))</f>
        <v/>
      </c>
      <c r="E15" s="21" t="str">
        <f aca="false">IF($B15="","",IFERROR(VLOOKUP($B15,'DL01. Nhân viên'!$A:$K,6,FALSE()),""))</f>
        <v/>
      </c>
      <c r="F15" s="21" t="str">
        <f aca="false">IF($B15="","",IFERROR(VLOOKUP($B15,'DL01. Nhân viên'!$A:$K,10,FALSE()),""))</f>
        <v/>
      </c>
      <c r="G15" s="179"/>
      <c r="H15" s="179"/>
    </row>
    <row r="16" customFormat="false" ht="15" hidden="false" customHeight="true" outlineLevel="0" collapsed="false">
      <c r="A16" s="238" t="b">
        <f aca="false">FALSE()</f>
        <v>0</v>
      </c>
      <c r="B16"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viên'!C4:C503))))),11),"""")"),"")</f>
        <v/>
      </c>
      <c r="C16" s="21" t="str">
        <f aca="false">IF($B16="","",IFERROR(VLOOKUP($B16,'DL01. Nhân viên'!$A:$K,2,FALSE()),""))</f>
        <v/>
      </c>
      <c r="D16" s="21" t="str">
        <f aca="false">IF($B16="","",IFERROR(VLOOKUP($B16,'DL01. Nhân viên'!$A:$K,7,FALSE()),""))</f>
        <v/>
      </c>
      <c r="E16" s="21" t="str">
        <f aca="false">IF($B16="","",IFERROR(VLOOKUP($B16,'DL01. Nhân viên'!$A:$K,6,FALSE()),""))</f>
        <v/>
      </c>
      <c r="F16" s="21" t="str">
        <f aca="false">IF($B16="","",IFERROR(VLOOKUP($B16,'DL01. Nhân viên'!$A:$K,10,FALSE()),""))</f>
        <v/>
      </c>
      <c r="G16" s="179"/>
      <c r="H16" s="179"/>
    </row>
    <row r="17" customFormat="false" ht="15" hidden="false" customHeight="true" outlineLevel="0" collapsed="false">
      <c r="A17" s="238" t="b">
        <f aca="false">FALSE()</f>
        <v>0</v>
      </c>
      <c r="B17"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viên'!C4:C503))))),12),"""")"),"")</f>
        <v/>
      </c>
      <c r="C17" s="21" t="str">
        <f aca="false">IF($B17="","",IFERROR(VLOOKUP($B17,'DL01. Nhân viên'!$A:$K,2,FALSE()),""))</f>
        <v/>
      </c>
      <c r="D17" s="21" t="str">
        <f aca="false">IF($B17="","",IFERROR(VLOOKUP($B17,'DL01. Nhân viên'!$A:$K,7,FALSE()),""))</f>
        <v/>
      </c>
      <c r="E17" s="21" t="str">
        <f aca="false">IF($B17="","",IFERROR(VLOOKUP($B17,'DL01. Nhân viên'!$A:$K,6,FALSE()),""))</f>
        <v/>
      </c>
      <c r="F17" s="21" t="str">
        <f aca="false">IF($B17="","",IFERROR(VLOOKUP($B17,'DL01. Nhân viên'!$A:$K,10,FALSE()),""))</f>
        <v/>
      </c>
      <c r="G17" s="179"/>
      <c r="H17" s="179"/>
    </row>
    <row r="18" customFormat="false" ht="15" hidden="false" customHeight="true" outlineLevel="0" collapsed="false">
      <c r="A18" s="238" t="b">
        <f aca="false">FALSE()</f>
        <v>0</v>
      </c>
      <c r="B18"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viên'!C4:C503))))),13),"""")"),"")</f>
        <v/>
      </c>
      <c r="C18" s="21" t="str">
        <f aca="false">IF($B18="","",IFERROR(VLOOKUP($B18,'DL01. Nhân viên'!$A:$K,2,FALSE()),""))</f>
        <v/>
      </c>
      <c r="D18" s="21" t="str">
        <f aca="false">IF($B18="","",IFERROR(VLOOKUP($B18,'DL01. Nhân viên'!$A:$K,7,FALSE()),""))</f>
        <v/>
      </c>
      <c r="E18" s="21" t="str">
        <f aca="false">IF($B18="","",IFERROR(VLOOKUP($B18,'DL01. Nhân viên'!$A:$K,6,FALSE()),""))</f>
        <v/>
      </c>
      <c r="F18" s="21" t="str">
        <f aca="false">IF($B18="","",IFERROR(VLOOKUP($B18,'DL01. Nhân viên'!$A:$K,10,FALSE()),""))</f>
        <v/>
      </c>
      <c r="G18" s="179"/>
      <c r="H18" s="179"/>
    </row>
    <row r="19" customFormat="false" ht="15" hidden="false" customHeight="true" outlineLevel="0" collapsed="false">
      <c r="A19" s="238" t="b">
        <f aca="false">FALSE()</f>
        <v>0</v>
      </c>
      <c r="B19"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viên'!C4:C503))))),14),"""")"),"")</f>
        <v/>
      </c>
      <c r="C19" s="21" t="str">
        <f aca="false">IF($B19="","",IFERROR(VLOOKUP($B19,'DL01. Nhân viên'!$A:$K,2,FALSE()),""))</f>
        <v/>
      </c>
      <c r="D19" s="21" t="str">
        <f aca="false">IF($B19="","",IFERROR(VLOOKUP($B19,'DL01. Nhân viên'!$A:$K,7,FALSE()),""))</f>
        <v/>
      </c>
      <c r="E19" s="21" t="str">
        <f aca="false">IF($B19="","",IFERROR(VLOOKUP($B19,'DL01. Nhân viên'!$A:$K,6,FALSE()),""))</f>
        <v/>
      </c>
      <c r="F19" s="21" t="str">
        <f aca="false">IF($B19="","",IFERROR(VLOOKUP($B19,'DL01. Nhân viên'!$A:$K,10,FALSE()),""))</f>
        <v/>
      </c>
      <c r="G19" s="179"/>
      <c r="H19" s="179"/>
    </row>
    <row r="20" customFormat="false" ht="15" hidden="false" customHeight="true" outlineLevel="0" collapsed="false">
      <c r="A20" s="238" t="b">
        <f aca="false">FALSE()</f>
        <v>0</v>
      </c>
      <c r="B20" s="138" t="str">
        <f aca="false">IFERROR(__xludf.dummyfunction("IFERROR(INDEX(filter('DL01. Nhân viên'!A4:A503,IF($C$3="""",('DL01. Nhân viên'!A4:A503&lt;&gt;"""")*(ISNUMBER(SEARCH(""wow_coach"",'DL01. Nhân viên'!C4:C503))),((ISNUMBER(SEARCH($C$3,'DL01. Nhân viên'!A4:A503&amp;""""))+ISNUMBER(SEARCH($C$3,'DL01. Nhân viên'!B4:B50"&amp;"3&amp;""""))+ISNUMBER(SEARCH($C$3,'DL01. Nhân viên'!G4:G503&amp;"""")))&gt;0)*(ISNUMBER(SEARCH(""wow_coach"",'DL01. Nhân viên'!C4:C503))))),15),"""")"),"")</f>
        <v/>
      </c>
      <c r="C20" s="21" t="str">
        <f aca="false">IF($B20="","",IFERROR(VLOOKUP($B20,'DL01. Nhân viên'!$A:$K,2,FALSE()),""))</f>
        <v/>
      </c>
      <c r="D20" s="21" t="str">
        <f aca="false">IF($B20="","",IFERROR(VLOOKUP($B20,'DL01. Nhân viên'!$A:$K,7,FALSE()),""))</f>
        <v/>
      </c>
      <c r="E20" s="21" t="str">
        <f aca="false">IF($B20="","",IFERROR(VLOOKUP($B20,'DL01. Nhân viên'!$A:$K,6,FALSE()),""))</f>
        <v/>
      </c>
      <c r="F20" s="21" t="str">
        <f aca="false">IF($B20="","",IFERROR(VLOOKUP($B20,'DL01. Nhân viên'!$A:$K,10,FALSE()),""))</f>
        <v/>
      </c>
      <c r="G20" s="179"/>
      <c r="H20" s="179"/>
    </row>
    <row r="21" customFormat="false" ht="15" hidden="false" customHeight="true" outlineLevel="0" collapsed="false">
      <c r="A21" s="179"/>
      <c r="B21" s="179"/>
      <c r="C21" s="179"/>
      <c r="D21" s="179"/>
      <c r="E21" s="179"/>
      <c r="F21" s="179"/>
      <c r="G21" s="179"/>
      <c r="H21" s="179"/>
    </row>
    <row r="22" customFormat="false" ht="15" hidden="false" customHeight="true" outlineLevel="0" collapsed="false">
      <c r="A22" s="156" t="s">
        <v>3719</v>
      </c>
      <c r="B22" s="156"/>
      <c r="C22" s="297" t="str">
        <f aca="false" t="array" ref="C22:C22">IF((IFERROR(INDEX(B6:B20,MATCH(TRUE(),A6:A20,0)),""))="","",(IFERROR(INDEX(B6:B20,MATCH(TRUE(),A6:A20,0)),""))&amp;" - "&amp;IFERROR(VLOOKUP((IFERROR(INDEX(B6:B20,MATCH(TRUE(),A6:A20,0)),"")),'DL01. Nhân viên'!$A:$K,2,FALSE()),""))</f>
        <v>NV003 - Nguyễn Thanh Kiu</v>
      </c>
      <c r="D22" s="297"/>
      <c r="E22" s="297"/>
      <c r="F22" s="297"/>
      <c r="G22" s="179"/>
      <c r="H22" s="179" t="str">
        <f aca="false" t="array" ref="H22:H22">IFERROR(INDEX(B6:B20,MATCH(TRUE(),A6:A20,0)),"")</f>
        <v>NV003</v>
      </c>
    </row>
    <row r="23" customFormat="false" ht="15" hidden="false" customHeight="true" outlineLevel="0" collapsed="false">
      <c r="A23" s="179"/>
      <c r="B23" s="179"/>
      <c r="C23" s="179"/>
      <c r="D23" s="179"/>
      <c r="E23" s="179"/>
      <c r="F23" s="179"/>
      <c r="G23" s="179"/>
      <c r="H23" s="179"/>
    </row>
    <row r="24" customFormat="false" ht="24" hidden="false" customHeight="true" outlineLevel="0" collapsed="false">
      <c r="A24" s="298" t="s">
        <v>3720</v>
      </c>
      <c r="B24" s="298"/>
      <c r="C24" s="298"/>
      <c r="D24" s="298"/>
      <c r="E24" s="298"/>
      <c r="F24" s="298"/>
      <c r="G24" s="179"/>
      <c r="H24" s="179"/>
    </row>
    <row r="25" customFormat="false" ht="19.5" hidden="false" customHeight="true" outlineLevel="0" collapsed="false">
      <c r="A25" s="299" t="s">
        <v>2272</v>
      </c>
      <c r="B25" s="21" t="str">
        <f aca="false">IF($H$22="","(chưa chọn)",IFERROR(VLOOKUP($H$22,'DL01. Nhân viên'!$A:$K,1,FALSE()),""))</f>
        <v>NV003</v>
      </c>
      <c r="C25" s="21"/>
      <c r="D25" s="21"/>
      <c r="E25" s="21"/>
      <c r="F25" s="21"/>
      <c r="G25" s="179"/>
      <c r="H25" s="179"/>
    </row>
    <row r="26" customFormat="false" ht="19.5" hidden="false" customHeight="true" outlineLevel="0" collapsed="false">
      <c r="A26" s="299" t="s">
        <v>2490</v>
      </c>
      <c r="B26" s="21" t="str">
        <f aca="false">IF($H$22="","(chưa chọn)",IFERROR(VLOOKUP($H$22,'DL01. Nhân viên'!$A:$K,2,FALSE()),""))</f>
        <v>Nguyễn Thanh Kiu</v>
      </c>
      <c r="C26" s="21"/>
      <c r="D26" s="21"/>
      <c r="E26" s="21"/>
      <c r="F26" s="21"/>
      <c r="G26" s="179"/>
      <c r="H26" s="179"/>
    </row>
    <row r="27" customFormat="false" ht="19.5" hidden="false" customHeight="true" outlineLevel="0" collapsed="false">
      <c r="A27" s="299" t="s">
        <v>41</v>
      </c>
      <c r="B27" s="21" t="str">
        <f aca="false">IF($H$22="","(chưa chọn)",IFERROR(VLOOKUP($H$22,'DL01. Nhân viên'!$A:$K,3,FALSE()),""))</f>
        <v>wow_coach (Giáo viên WOW)</v>
      </c>
      <c r="C27" s="21"/>
      <c r="D27" s="21"/>
      <c r="E27" s="21"/>
      <c r="F27" s="21"/>
      <c r="G27" s="179"/>
      <c r="H27" s="179"/>
    </row>
    <row r="28" customFormat="false" ht="19.5" hidden="false" customHeight="true" outlineLevel="0" collapsed="false">
      <c r="A28" s="299" t="s">
        <v>2275</v>
      </c>
      <c r="B28" s="21" t="str">
        <f aca="false">IF($H$22="","(chưa chọn)",IFERROR(VLOOKUP($H$22,'DL01. Nhân viên'!$A:$K,4,FALSE()),""))</f>
        <v>ACA</v>
      </c>
      <c r="C28" s="21"/>
      <c r="D28" s="21"/>
      <c r="E28" s="21"/>
      <c r="F28" s="21"/>
      <c r="G28" s="179"/>
      <c r="H28" s="179"/>
    </row>
    <row r="29" customFormat="false" ht="19.5" hidden="false" customHeight="true" outlineLevel="0" collapsed="false">
      <c r="A29" s="299" t="s">
        <v>3764</v>
      </c>
      <c r="B29" s="21" t="n">
        <f aca="false">IF($H$22="","(chưa chọn)",IFERROR(VLOOKUP($H$22,'DL01. Nhân viên'!$A:$K,5,FALSE()),""))</f>
        <v>0</v>
      </c>
      <c r="C29" s="21"/>
      <c r="D29" s="21"/>
      <c r="E29" s="21"/>
      <c r="F29" s="21"/>
      <c r="G29" s="179"/>
      <c r="H29" s="179"/>
    </row>
    <row r="30" customFormat="false" ht="19.5" hidden="false" customHeight="true" outlineLevel="0" collapsed="false">
      <c r="A30" s="299" t="s">
        <v>2277</v>
      </c>
      <c r="B30" s="21" t="n">
        <f aca="false">IF($H$22="","(chưa chọn)",IFERROR(VLOOKUP($H$22,'DL01. Nhân viên'!$A:$K,6,FALSE()),""))</f>
        <v>0</v>
      </c>
      <c r="C30" s="21"/>
      <c r="D30" s="21"/>
      <c r="E30" s="21"/>
      <c r="F30" s="21"/>
      <c r="G30" s="179"/>
      <c r="H30" s="179"/>
    </row>
    <row r="31" customFormat="false" ht="19.5" hidden="false" customHeight="true" outlineLevel="0" collapsed="false">
      <c r="A31" s="299" t="s">
        <v>2278</v>
      </c>
      <c r="B31" s="21" t="str">
        <f aca="false">IF($H$22="","(chưa chọn)",IFERROR(VLOOKUP($H$22,'DL01. Nhân viên'!$A:$K,7,FALSE()),""))</f>
        <v>0908000003</v>
      </c>
      <c r="C31" s="21"/>
      <c r="D31" s="21"/>
      <c r="E31" s="21"/>
      <c r="F31" s="21"/>
      <c r="G31" s="179"/>
      <c r="H31" s="179"/>
    </row>
    <row r="32" customFormat="false" ht="19.5" hidden="false" customHeight="true" outlineLevel="0" collapsed="false">
      <c r="A32" s="299" t="s">
        <v>2279</v>
      </c>
      <c r="B32" s="21" t="str">
        <f aca="false">IF($H$22="","(chưa chọn)",IFERROR(VLOOKUP($H$22,'DL01. Nhân viên'!$A:$K,8,FALSE()),""))</f>
        <v>kiu.wow@ieltsthetutors.edu.vn</v>
      </c>
      <c r="C32" s="21"/>
      <c r="D32" s="21"/>
      <c r="E32" s="21"/>
      <c r="F32" s="21"/>
      <c r="G32" s="179"/>
      <c r="H32" s="179"/>
    </row>
    <row r="33" customFormat="false" ht="19.5" hidden="false" customHeight="true" outlineLevel="0" collapsed="false">
      <c r="A33" s="299" t="s">
        <v>2280</v>
      </c>
      <c r="B33" s="178" t="n">
        <f aca="false">IF($H$22="","(chưa chọn)",IFERROR(VLOOKUP($H$22,'DL01. Nhân viên'!$A:$K,9,FALSE()),""))</f>
        <v>45017</v>
      </c>
      <c r="C33" s="178"/>
      <c r="D33" s="178"/>
      <c r="E33" s="178"/>
      <c r="F33" s="178"/>
      <c r="G33" s="179"/>
      <c r="H33" s="179"/>
    </row>
    <row r="34" customFormat="false" ht="19.5" hidden="false" customHeight="true" outlineLevel="0" collapsed="false">
      <c r="A34" s="299" t="s">
        <v>250</v>
      </c>
      <c r="B34" s="21" t="str">
        <f aca="false">IF($H$22="","(chưa chọn)",IFERROR(VLOOKUP($H$22,'DL01. Nhân viên'!$A:$K,10,FALSE()),""))</f>
        <v>active (Đang làm việc)</v>
      </c>
      <c r="C34" s="21"/>
      <c r="D34" s="21"/>
      <c r="E34" s="21"/>
      <c r="F34" s="21"/>
      <c r="G34" s="179"/>
      <c r="H34" s="179"/>
    </row>
    <row r="35" customFormat="false" ht="19.5" hidden="false" customHeight="true" outlineLevel="0" collapsed="false">
      <c r="A35" s="299" t="s">
        <v>2281</v>
      </c>
      <c r="B35" s="21" t="str">
        <f aca="false">IF($H$22="","(chưa chọn)",IFERROR(VLOOKUP($H$22,'DL01. Nhân viên'!$A:$K,11,FALSE()),""))</f>
        <v>Mã HR: WOW.2</v>
      </c>
      <c r="C35" s="21"/>
      <c r="D35" s="21"/>
      <c r="E35" s="21"/>
      <c r="F35" s="21"/>
      <c r="G35" s="179"/>
      <c r="H35" s="179"/>
    </row>
    <row r="36" customFormat="false" ht="15" hidden="false" customHeight="true" outlineLevel="0" collapsed="false">
      <c r="A36" s="179"/>
      <c r="B36" s="179"/>
      <c r="C36" s="179"/>
      <c r="D36" s="179"/>
      <c r="E36" s="179"/>
      <c r="F36" s="179"/>
      <c r="G36" s="179"/>
      <c r="H36" s="179"/>
    </row>
    <row r="37" customFormat="false" ht="24" hidden="false" customHeight="true" outlineLevel="0" collapsed="false">
      <c r="A37" s="300" t="s">
        <v>3781</v>
      </c>
      <c r="B37" s="300"/>
      <c r="C37" s="300"/>
      <c r="D37" s="300"/>
      <c r="E37" s="300"/>
      <c r="F37" s="300"/>
      <c r="G37" s="179"/>
      <c r="H37" s="179"/>
    </row>
    <row r="38" customFormat="false" ht="25.5" hidden="false" customHeight="true" outlineLevel="0" collapsed="false">
      <c r="A38" s="299" t="s">
        <v>3782</v>
      </c>
      <c r="B38" s="299"/>
      <c r="C38" s="301" t="n">
        <f aca="false">IF($H$22="","",COUNTIF('DL14. Buổi WOW 1-1'!J:J,$H$22))</f>
        <v>4</v>
      </c>
      <c r="D38" s="299" t="s">
        <v>3783</v>
      </c>
      <c r="E38" s="299"/>
      <c r="F38" s="301" t="n">
        <f aca="false">IF($H$22="","",COUNTIFS('DL14. Buổi WOW 1-1'!J:J,$H$22,'DL14. Buổi WOW 1-1'!L:L,"completed*"))</f>
        <v>2</v>
      </c>
      <c r="G38" s="179"/>
      <c r="H38" s="179"/>
    </row>
    <row r="39" customFormat="false" ht="25.5" hidden="false" customHeight="true" outlineLevel="0" collapsed="false">
      <c r="A39" s="299" t="s">
        <v>3784</v>
      </c>
      <c r="B39" s="299"/>
      <c r="C39" s="301" t="n">
        <f aca="false">IF($H$22="","",COUNTIFS('DL14. Buổi WOW 1-1'!J:J,$H$22,'DL14. Buổi WOW 1-1'!L:L,"no_show*"))</f>
        <v>0</v>
      </c>
      <c r="D39" s="302" t="str">
        <f aca="false">HYPERLINK("#'DL14. Buổi WOW 1-1'!A"&amp;MATCH("slaWowOutcomeRead_hours",'CH2. Tham số &amp; Quy tắc'!$A:$A,0),"% note đúng "&amp;slaWowOutcomeRead_hours&amp;"h")</f>
        <v>% note đúng 24h</v>
      </c>
      <c r="E39" s="302"/>
      <c r="F39" s="301" t="n">
        <f aca="false">IF($H$22="","",IFERROR(COUNTIFS('DL14. Buổi WOW 1-1'!J:J,$H$22,'DL14. Buổi WOW 1-1'!Q:Q,"TRUE")/COUNTIF('DL14. Buổi WOW 1-1'!J:J,$H$22),0))</f>
        <v>1</v>
      </c>
      <c r="G39" s="179"/>
      <c r="H39" s="179"/>
    </row>
    <row r="40" customFormat="false" ht="15" hidden="false" customHeight="true" outlineLevel="0" collapsed="false">
      <c r="A40" s="179"/>
      <c r="B40" s="179"/>
      <c r="C40" s="179"/>
      <c r="D40" s="179"/>
      <c r="E40" s="179"/>
      <c r="F40" s="179"/>
      <c r="G40" s="179"/>
      <c r="H40" s="179"/>
    </row>
    <row r="41" customFormat="false" ht="24" hidden="false" customHeight="true" outlineLevel="0" collapsed="false">
      <c r="A41" s="300" t="s">
        <v>3785</v>
      </c>
      <c r="B41" s="300"/>
      <c r="C41" s="300"/>
      <c r="D41" s="300"/>
      <c r="E41" s="300"/>
      <c r="F41" s="300"/>
      <c r="G41" s="300"/>
      <c r="H41" s="179"/>
    </row>
    <row r="42" customFormat="false" ht="19.5" hidden="false" customHeight="true" outlineLevel="0" collapsed="false">
      <c r="A42" s="296" t="s">
        <v>3431</v>
      </c>
      <c r="B42" s="296" t="s">
        <v>2017</v>
      </c>
      <c r="C42" s="296" t="s">
        <v>3433</v>
      </c>
      <c r="D42" s="296" t="s">
        <v>470</v>
      </c>
      <c r="E42" s="296" t="s">
        <v>3360</v>
      </c>
      <c r="F42" s="296" t="s">
        <v>250</v>
      </c>
      <c r="G42" s="296" t="s">
        <v>3439</v>
      </c>
      <c r="H42" s="179"/>
    </row>
    <row r="43" customFormat="false" ht="18" hidden="false" customHeight="true" outlineLevel="0" collapsed="false">
      <c r="A43" s="21" t="str">
        <f aca="false">IFERROR(__xludf.dummyfunction("IF($H$22="""","""",IFERROR(INDEX(filter('DL14. Buổi WOW 1-1'!A4:A503,'DL14. Buổi WOW 1-1'!J4:J503=$H$22),1),""""))"),"WOW-001")</f>
        <v>WOW-001</v>
      </c>
      <c r="B43" s="21" t="str">
        <f aca="false">IFERROR(__xludf.dummyfunction("IF($H$22="""","""",IFERROR(INDEX(filter('DL14. Buổi WOW 1-1'!D4:D503,'DL14. Buổi WOW 1-1'!J4:J503=$H$22),1),""""))"),"Lê Thị Bích Ngọc")</f>
        <v>Lê Thị Bích Ngọc</v>
      </c>
      <c r="C43" s="292" t="n">
        <f aca="false">IFERROR(__xludf.dummyfunction("IF($H$22="""","""",IFERROR(INDEX(filter('DL14. Buổi WOW 1-1'!E4:E503,'DL14. Buổi WOW 1-1'!J4:J503=$H$22),1),""""))"),46193.375)</f>
        <v>46193.375</v>
      </c>
      <c r="D43" s="21" t="str">
        <f aca="false">IFERROR(__xludf.dummyfunction("IF($H$22="""","""",IFERROR(INDEX(filter('DL14. Buổi WOW 1-1'!F4:F503,'DL14. Buổi WOW 1-1'!J4:J503=$H$22),1),""""))"),"academic_support (Hỗ trợ học thuật)")</f>
        <v>academic_support (Hỗ trợ học thuật)</v>
      </c>
      <c r="E43" s="21" t="str">
        <f aca="false">IFERROR(__xludf.dummyfunction("IF($H$22="""","""",IFERROR(INDEX(filter('DL14. Buổi WOW 1-1'!H4:H503,'DL14. Buổi WOW 1-1'!J4:J503=$H$22),1),""""))"),"Writing (Viết)")</f>
        <v>Writing (Viết)</v>
      </c>
      <c r="F43" s="21" t="str">
        <f aca="false">IFERROR(__xludf.dummyfunction("IF($H$22="""","""",IFERROR(INDEX(filter('DL14. Buổi WOW 1-1'!L4:L503,'DL14. Buổi WOW 1-1'!J4:J503=$H$22),1),""""))"),"completed (Đã hoàn thành)")</f>
        <v>completed (Đã hoàn thành)</v>
      </c>
      <c r="G43" s="21" t="str">
        <f aca="false">IFERROR(__xludf.dummyfunction("IF($H$22="""","""",IFERROR(INDEX(filter('DL14. Buổi WOW 1-1'!N4:N503,'DL14. Buổi WOW 1-1'!J4:J503=$H$22),1),""""))"),"improved (Tiến bộ rõ rệt)")</f>
        <v>improved (Tiến bộ rõ rệt)</v>
      </c>
      <c r="H43" s="179"/>
    </row>
    <row r="44" customFormat="false" ht="18" hidden="false" customHeight="true" outlineLevel="0" collapsed="false">
      <c r="A44" s="21" t="str">
        <f aca="false">IFERROR(__xludf.dummyfunction("IF($H$22="""","""",IFERROR(INDEX(filter('DL14. Buổi WOW 1-1'!A4:A503,'DL14. Buổi WOW 1-1'!J4:J503=$H$22),2),""""))"),"WOW-003")</f>
        <v>WOW-003</v>
      </c>
      <c r="B44" s="21" t="str">
        <f aca="false">IFERROR(__xludf.dummyfunction("IF($H$22="""","""",IFERROR(INDEX(filter('DL14. Buổi WOW 1-1'!D4:D503,'DL14. Buổi WOW 1-1'!J4:J503=$H$22),2),""""))"),"Nguyễn Thị Dung")</f>
        <v>Nguyễn Thị Dung</v>
      </c>
      <c r="C44" s="292" t="n">
        <f aca="false">IFERROR(__xludf.dummyfunction("IF($H$22="""","""",IFERROR(INDEX(filter('DL14. Buổi WOW 1-1'!E4:E503,'DL14. Buổi WOW 1-1'!J4:J503=$H$22),2),""""))"),46210.375)</f>
        <v>46210.375</v>
      </c>
      <c r="D44" s="21" t="str">
        <f aca="false">IFERROR(__xludf.dummyfunction("IF($H$22="""","""",IFERROR(INDEX(filter('DL14. Buổi WOW 1-1'!F4:F503,'DL14. Buổi WOW 1-1'!J4:J503=$H$22),2),""""))"),"academic_support (Hỗ trợ học thuật)")</f>
        <v>academic_support (Hỗ trợ học thuật)</v>
      </c>
      <c r="E44" s="21" t="str">
        <f aca="false">IFERROR(__xludf.dummyfunction("IF($H$22="""","""",IFERROR(INDEX(filter('DL14. Buổi WOW 1-1'!H4:H503,'DL14. Buổi WOW 1-1'!J4:J503=$H$22),2),""""))"),"Writing (Viết)")</f>
        <v>Writing (Viết)</v>
      </c>
      <c r="F44" s="21" t="str">
        <f aca="false">IFERROR(__xludf.dummyfunction("IF($H$22="""","""",IFERROR(INDEX(filter('DL14. Buổi WOW 1-1'!L4:L503,'DL14. Buổi WOW 1-1'!J4:J503=$H$22),2),""""))"),"confirmed (Đã xác nhận)")</f>
        <v>confirmed (Đã xác nhận)</v>
      </c>
      <c r="G44" s="21" t="str">
        <f aca="false">IFERROR(__xludf.dummyfunction("IF($H$22="""","""",IFERROR(INDEX(filter('DL14. Buổi WOW 1-1'!N4:N503,'DL14. Buổi WOW 1-1'!J4:J503=$H$22),2),""""))"),"")</f>
        <v/>
      </c>
      <c r="H44" s="179"/>
    </row>
    <row r="45" customFormat="false" ht="18" hidden="false" customHeight="true" outlineLevel="0" collapsed="false">
      <c r="A45" s="21" t="str">
        <f aca="false">IFERROR(__xludf.dummyfunction("IF($H$22="""","""",IFERROR(INDEX(filter('DL14. Buổi WOW 1-1'!A4:A503,'DL14. Buổi WOW 1-1'!J4:J503=$H$22),3),""""))"),"WOW-005")</f>
        <v>WOW-005</v>
      </c>
      <c r="B45" s="21" t="str">
        <f aca="false">IFERROR(__xludf.dummyfunction("IF($H$22="""","""",IFERROR(INDEX(filter('DL14. Buổi WOW 1-1'!D4:D503,'DL14. Buổi WOW 1-1'!J4:J503=$H$22),3),""""))"),"Trần Minh Anh")</f>
        <v>Trần Minh Anh</v>
      </c>
      <c r="C45" s="292" t="n">
        <f aca="false">IFERROR(__xludf.dummyfunction("IF($H$22="""","""",IFERROR(INDEX(filter('DL14. Buổi WOW 1-1'!E4:E503,'DL14. Buổi WOW 1-1'!J4:J503=$H$22),3),""""))"),46209.375)</f>
        <v>46209.375</v>
      </c>
      <c r="D45" s="21" t="str">
        <f aca="false">IFERROR(__xludf.dummyfunction("IF($H$22="""","""",IFERROR(INDEX(filter('DL14. Buổi WOW 1-1'!F4:F503,'DL14. Buổi WOW 1-1'!J4:J503=$H$22),3),""""))"),"self_booked (HV tự đặt)")</f>
        <v>self_booked (HV tự đặt)</v>
      </c>
      <c r="E45" s="21" t="str">
        <f aca="false">IFERROR(__xludf.dummyfunction("IF($H$22="""","""",IFERROR(INDEX(filter('DL14. Buổi WOW 1-1'!H4:H503,'DL14. Buổi WOW 1-1'!J4:J503=$H$22),3),""""))"),"Reading (Đọc)")</f>
        <v>Reading (Đọc)</v>
      </c>
      <c r="F45" s="21" t="str">
        <f aca="false">IFERROR(__xludf.dummyfunction("IF($H$22="""","""",IFERROR(INDEX(filter('DL14. Buổi WOW 1-1'!L4:L503,'DL14. Buổi WOW 1-1'!J4:J503=$H$22),3),""""))"),"booked (Đã đặt)")</f>
        <v>booked (Đã đặt)</v>
      </c>
      <c r="G45" s="21" t="str">
        <f aca="false">IFERROR(__xludf.dummyfunction("IF($H$22="""","""",IFERROR(INDEX(filter('DL14. Buổi WOW 1-1'!N4:N503,'DL14. Buổi WOW 1-1'!J4:J503=$H$22),3),""""))"),"")</f>
        <v/>
      </c>
      <c r="H45" s="179"/>
    </row>
    <row r="46" customFormat="false" ht="18" hidden="false" customHeight="true" outlineLevel="0" collapsed="false">
      <c r="A46" s="21" t="str">
        <f aca="false">IFERROR(__xludf.dummyfunction("IF($H$22="""","""",IFERROR(INDEX(filter('DL14. Buổi WOW 1-1'!A4:A503,'DL14. Buổi WOW 1-1'!J4:J503=$H$22),4),""""))"),"WOW-006")</f>
        <v>WOW-006</v>
      </c>
      <c r="B46" s="21" t="str">
        <f aca="false">IFERROR(__xludf.dummyfunction("IF($H$22="""","""",IFERROR(INDEX(filter('DL14. Buổi WOW 1-1'!D4:D503,'DL14. Buổi WOW 1-1'!J4:J503=$H$22),4),""""))"),"Lý Gia Khang")</f>
        <v>Lý Gia Khang</v>
      </c>
      <c r="C46" s="292" t="n">
        <f aca="false">IFERROR(__xludf.dummyfunction("IF($H$22="""","""",IFERROR(INDEX(filter('DL14. Buổi WOW 1-1'!E4:E503,'DL14. Buổi WOW 1-1'!J4:J503=$H$22),4),""""))"),46203.375)</f>
        <v>46203.375</v>
      </c>
      <c r="D46" s="21" t="str">
        <f aca="false">IFERROR(__xludf.dummyfunction("IF($H$22="""","""",IFERROR(INDEX(filter('DL14. Buổi WOW 1-1'!F4:F503,'DL14. Buổi WOW 1-1'!J4:J503=$H$22),4),""""))"),"academic_support (Hỗ trợ học thuật)")</f>
        <v>academic_support (Hỗ trợ học thuật)</v>
      </c>
      <c r="E46" s="21" t="str">
        <f aca="false">IFERROR(__xludf.dummyfunction("IF($H$22="""","""",IFERROR(INDEX(filter('DL14. Buổi WOW 1-1'!H4:H503,'DL14. Buổi WOW 1-1'!J4:J503=$H$22),4),""""))"),"Speaking (Nói)")</f>
        <v>Speaking (Nói)</v>
      </c>
      <c r="F46" s="21" t="str">
        <f aca="false">IFERROR(__xludf.dummyfunction("IF($H$22="""","""",IFERROR(INDEX(filter('DL14. Buổi WOW 1-1'!L4:L503,'DL14. Buổi WOW 1-1'!J4:J503=$H$22),4),""""))"),"completed (Đã hoàn thành)")</f>
        <v>completed (Đã hoàn thành)</v>
      </c>
      <c r="G46" s="21" t="str">
        <f aca="false">IFERROR(__xludf.dummyfunction("IF($H$22="""","""",IFERROR(INDEX(filter('DL14. Buổi WOW 1-1'!N4:N503,'DL14. Buổi WOW 1-1'!J4:J503=$H$22),4),""""))"),"improved (Tiến bộ rõ rệt)")</f>
        <v>improved (Tiến bộ rõ rệt)</v>
      </c>
      <c r="H46" s="179"/>
    </row>
    <row r="47" customFormat="false" ht="18" hidden="false" customHeight="true" outlineLevel="0" collapsed="false">
      <c r="A47" s="21" t="str">
        <f aca="false">IFERROR(__xludf.dummyfunction("IF($H$22="""","""",IFERROR(INDEX(filter('DL14. Buổi WOW 1-1'!A4:A503,'DL14. Buổi WOW 1-1'!J4:J503=$H$22),5),""""))"),"")</f>
        <v/>
      </c>
      <c r="B47" s="21" t="str">
        <f aca="false">IFERROR(__xludf.dummyfunction("IF($H$22="""","""",IFERROR(INDEX(filter('DL14. Buổi WOW 1-1'!D4:D503,'DL14. Buổi WOW 1-1'!J4:J503=$H$22),5),""""))"),"")</f>
        <v/>
      </c>
      <c r="C47" s="292" t="str">
        <f aca="false">IFERROR(__xludf.dummyfunction("IF($H$22="""","""",IFERROR(INDEX(filter('DL14. Buổi WOW 1-1'!E4:E503,'DL14. Buổi WOW 1-1'!J4:J503=$H$22),5),""""))"),"")</f>
        <v/>
      </c>
      <c r="D47" s="21" t="str">
        <f aca="false">IFERROR(__xludf.dummyfunction("IF($H$22="""","""",IFERROR(INDEX(filter('DL14. Buổi WOW 1-1'!F4:F503,'DL14. Buổi WOW 1-1'!J4:J503=$H$22),5),""""))"),"")</f>
        <v/>
      </c>
      <c r="E47" s="21" t="str">
        <f aca="false">IFERROR(__xludf.dummyfunction("IF($H$22="""","""",IFERROR(INDEX(filter('DL14. Buổi WOW 1-1'!H4:H503,'DL14. Buổi WOW 1-1'!J4:J503=$H$22),5),""""))"),"")</f>
        <v/>
      </c>
      <c r="F47" s="21" t="str">
        <f aca="false">IFERROR(__xludf.dummyfunction("IF($H$22="""","""",IFERROR(INDEX(filter('DL14. Buổi WOW 1-1'!L4:L503,'DL14. Buổi WOW 1-1'!J4:J503=$H$22),5),""""))"),"")</f>
        <v/>
      </c>
      <c r="G47" s="21" t="str">
        <f aca="false">IFERROR(__xludf.dummyfunction("IF($H$22="""","""",IFERROR(INDEX(filter('DL14. Buổi WOW 1-1'!N4:N503,'DL14. Buổi WOW 1-1'!J4:J503=$H$22),5),""""))"),"")</f>
        <v/>
      </c>
      <c r="H47" s="179"/>
    </row>
    <row r="48" customFormat="false" ht="18" hidden="false" customHeight="true" outlineLevel="0" collapsed="false">
      <c r="A48" s="21" t="str">
        <f aca="false">IFERROR(__xludf.dummyfunction("IF($H$22="""","""",IFERROR(INDEX(filter('DL14. Buổi WOW 1-1'!A4:A503,'DL14. Buổi WOW 1-1'!J4:J503=$H$22),6),""""))"),"")</f>
        <v/>
      </c>
      <c r="B48" s="21" t="str">
        <f aca="false">IFERROR(__xludf.dummyfunction("IF($H$22="""","""",IFERROR(INDEX(filter('DL14. Buổi WOW 1-1'!D4:D503,'DL14. Buổi WOW 1-1'!J4:J503=$H$22),6),""""))"),"")</f>
        <v/>
      </c>
      <c r="C48" s="292" t="str">
        <f aca="false">IFERROR(__xludf.dummyfunction("IF($H$22="""","""",IFERROR(INDEX(filter('DL14. Buổi WOW 1-1'!E4:E503,'DL14. Buổi WOW 1-1'!J4:J503=$H$22),6),""""))"),"")</f>
        <v/>
      </c>
      <c r="D48" s="21" t="str">
        <f aca="false">IFERROR(__xludf.dummyfunction("IF($H$22="""","""",IFERROR(INDEX(filter('DL14. Buổi WOW 1-1'!F4:F503,'DL14. Buổi WOW 1-1'!J4:J503=$H$22),6),""""))"),"")</f>
        <v/>
      </c>
      <c r="E48" s="21" t="str">
        <f aca="false">IFERROR(__xludf.dummyfunction("IF($H$22="""","""",IFERROR(INDEX(filter('DL14. Buổi WOW 1-1'!H4:H503,'DL14. Buổi WOW 1-1'!J4:J503=$H$22),6),""""))"),"")</f>
        <v/>
      </c>
      <c r="F48" s="21" t="str">
        <f aca="false">IFERROR(__xludf.dummyfunction("IF($H$22="""","""",IFERROR(INDEX(filter('DL14. Buổi WOW 1-1'!L4:L503,'DL14. Buổi WOW 1-1'!J4:J503=$H$22),6),""""))"),"")</f>
        <v/>
      </c>
      <c r="G48" s="21" t="str">
        <f aca="false">IFERROR(__xludf.dummyfunction("IF($H$22="""","""",IFERROR(INDEX(filter('DL14. Buổi WOW 1-1'!N4:N503,'DL14. Buổi WOW 1-1'!J4:J503=$H$22),6),""""))"),"")</f>
        <v/>
      </c>
      <c r="H48" s="179"/>
    </row>
    <row r="49" customFormat="false" ht="18" hidden="false" customHeight="true" outlineLevel="0" collapsed="false">
      <c r="A49" s="21" t="str">
        <f aca="false">IFERROR(__xludf.dummyfunction("IF($H$22="""","""",IFERROR(INDEX(filter('DL14. Buổi WOW 1-1'!A4:A503,'DL14. Buổi WOW 1-1'!J4:J503=$H$22),7),""""))"),"")</f>
        <v/>
      </c>
      <c r="B49" s="21" t="str">
        <f aca="false">IFERROR(__xludf.dummyfunction("IF($H$22="""","""",IFERROR(INDEX(filter('DL14. Buổi WOW 1-1'!D4:D503,'DL14. Buổi WOW 1-1'!J4:J503=$H$22),7),""""))"),"")</f>
        <v/>
      </c>
      <c r="C49" s="292" t="str">
        <f aca="false">IFERROR(__xludf.dummyfunction("IF($H$22="""","""",IFERROR(INDEX(filter('DL14. Buổi WOW 1-1'!E4:E503,'DL14. Buổi WOW 1-1'!J4:J503=$H$22),7),""""))"),"")</f>
        <v/>
      </c>
      <c r="D49" s="21" t="str">
        <f aca="false">IFERROR(__xludf.dummyfunction("IF($H$22="""","""",IFERROR(INDEX(filter('DL14. Buổi WOW 1-1'!F4:F503,'DL14. Buổi WOW 1-1'!J4:J503=$H$22),7),""""))"),"")</f>
        <v/>
      </c>
      <c r="E49" s="21" t="str">
        <f aca="false">IFERROR(__xludf.dummyfunction("IF($H$22="""","""",IFERROR(INDEX(filter('DL14. Buổi WOW 1-1'!H4:H503,'DL14. Buổi WOW 1-1'!J4:J503=$H$22),7),""""))"),"")</f>
        <v/>
      </c>
      <c r="F49" s="21" t="str">
        <f aca="false">IFERROR(__xludf.dummyfunction("IF($H$22="""","""",IFERROR(INDEX(filter('DL14. Buổi WOW 1-1'!L4:L503,'DL14. Buổi WOW 1-1'!J4:J503=$H$22),7),""""))"),"")</f>
        <v/>
      </c>
      <c r="G49" s="21" t="str">
        <f aca="false">IFERROR(__xludf.dummyfunction("IF($H$22="""","""",IFERROR(INDEX(filter('DL14. Buổi WOW 1-1'!N4:N503,'DL14. Buổi WOW 1-1'!J4:J503=$H$22),7),""""))"),"")</f>
        <v/>
      </c>
      <c r="H49" s="179"/>
    </row>
    <row r="50" customFormat="false" ht="18" hidden="false" customHeight="true" outlineLevel="0" collapsed="false">
      <c r="A50" s="21" t="str">
        <f aca="false">IFERROR(__xludf.dummyfunction("IF($H$22="""","""",IFERROR(INDEX(filter('DL14. Buổi WOW 1-1'!A4:A503,'DL14. Buổi WOW 1-1'!J4:J503=$H$22),8),""""))"),"")</f>
        <v/>
      </c>
      <c r="B50" s="21" t="str">
        <f aca="false">IFERROR(__xludf.dummyfunction("IF($H$22="""","""",IFERROR(INDEX(filter('DL14. Buổi WOW 1-1'!D4:D503,'DL14. Buổi WOW 1-1'!J4:J503=$H$22),8),""""))"),"")</f>
        <v/>
      </c>
      <c r="C50" s="292" t="str">
        <f aca="false">IFERROR(__xludf.dummyfunction("IF($H$22="""","""",IFERROR(INDEX(filter('DL14. Buổi WOW 1-1'!E4:E503,'DL14. Buổi WOW 1-1'!J4:J503=$H$22),8),""""))"),"")</f>
        <v/>
      </c>
      <c r="D50" s="21" t="str">
        <f aca="false">IFERROR(__xludf.dummyfunction("IF($H$22="""","""",IFERROR(INDEX(filter('DL14. Buổi WOW 1-1'!F4:F503,'DL14. Buổi WOW 1-1'!J4:J503=$H$22),8),""""))"),"")</f>
        <v/>
      </c>
      <c r="E50" s="21" t="str">
        <f aca="false">IFERROR(__xludf.dummyfunction("IF($H$22="""","""",IFERROR(INDEX(filter('DL14. Buổi WOW 1-1'!H4:H503,'DL14. Buổi WOW 1-1'!J4:J503=$H$22),8),""""))"),"")</f>
        <v/>
      </c>
      <c r="F50" s="21" t="str">
        <f aca="false">IFERROR(__xludf.dummyfunction("IF($H$22="""","""",IFERROR(INDEX(filter('DL14. Buổi WOW 1-1'!L4:L503,'DL14. Buổi WOW 1-1'!J4:J503=$H$22),8),""""))"),"")</f>
        <v/>
      </c>
      <c r="G50" s="21" t="str">
        <f aca="false">IFERROR(__xludf.dummyfunction("IF($H$22="""","""",IFERROR(INDEX(filter('DL14. Buổi WOW 1-1'!N4:N503,'DL14. Buổi WOW 1-1'!J4:J503=$H$22),8),""""))"),"")</f>
        <v/>
      </c>
      <c r="H50" s="179"/>
    </row>
    <row r="51" customFormat="false" ht="18" hidden="false" customHeight="true" outlineLevel="0" collapsed="false">
      <c r="A51" s="21" t="str">
        <f aca="false">IFERROR(__xludf.dummyfunction("IF($H$22="""","""",IFERROR(INDEX(filter('DL14. Buổi WOW 1-1'!A4:A503,'DL14. Buổi WOW 1-1'!J4:J503=$H$22),9),""""))"),"")</f>
        <v/>
      </c>
      <c r="B51" s="21" t="str">
        <f aca="false">IFERROR(__xludf.dummyfunction("IF($H$22="""","""",IFERROR(INDEX(filter('DL14. Buổi WOW 1-1'!D4:D503,'DL14. Buổi WOW 1-1'!J4:J503=$H$22),9),""""))"),"")</f>
        <v/>
      </c>
      <c r="C51" s="292" t="str">
        <f aca="false">IFERROR(__xludf.dummyfunction("IF($H$22="""","""",IFERROR(INDEX(filter('DL14. Buổi WOW 1-1'!E4:E503,'DL14. Buổi WOW 1-1'!J4:J503=$H$22),9),""""))"),"")</f>
        <v/>
      </c>
      <c r="D51" s="21" t="str">
        <f aca="false">IFERROR(__xludf.dummyfunction("IF($H$22="""","""",IFERROR(INDEX(filter('DL14. Buổi WOW 1-1'!F4:F503,'DL14. Buổi WOW 1-1'!J4:J503=$H$22),9),""""))"),"")</f>
        <v/>
      </c>
      <c r="E51" s="21" t="str">
        <f aca="false">IFERROR(__xludf.dummyfunction("IF($H$22="""","""",IFERROR(INDEX(filter('DL14. Buổi WOW 1-1'!H4:H503,'DL14. Buổi WOW 1-1'!J4:J503=$H$22),9),""""))"),"")</f>
        <v/>
      </c>
      <c r="F51" s="21" t="str">
        <f aca="false">IFERROR(__xludf.dummyfunction("IF($H$22="""","""",IFERROR(INDEX(filter('DL14. Buổi WOW 1-1'!L4:L503,'DL14. Buổi WOW 1-1'!J4:J503=$H$22),9),""""))"),"")</f>
        <v/>
      </c>
      <c r="G51" s="21" t="str">
        <f aca="false">IFERROR(__xludf.dummyfunction("IF($H$22="""","""",IFERROR(INDEX(filter('DL14. Buổi WOW 1-1'!N4:N503,'DL14. Buổi WOW 1-1'!J4:J503=$H$22),9),""""))"),"")</f>
        <v/>
      </c>
      <c r="H51" s="179"/>
    </row>
    <row r="52" customFormat="false" ht="18" hidden="false" customHeight="true" outlineLevel="0" collapsed="false">
      <c r="A52" s="21" t="str">
        <f aca="false">IFERROR(__xludf.dummyfunction("IF($H$22="""","""",IFERROR(INDEX(filter('DL14. Buổi WOW 1-1'!A4:A503,'DL14. Buổi WOW 1-1'!J4:J503=$H$22),10),""""))"),"")</f>
        <v/>
      </c>
      <c r="B52" s="21" t="str">
        <f aca="false">IFERROR(__xludf.dummyfunction("IF($H$22="""","""",IFERROR(INDEX(filter('DL14. Buổi WOW 1-1'!D4:D503,'DL14. Buổi WOW 1-1'!J4:J503=$H$22),10),""""))"),"")</f>
        <v/>
      </c>
      <c r="C52" s="292" t="str">
        <f aca="false">IFERROR(__xludf.dummyfunction("IF($H$22="""","""",IFERROR(INDEX(filter('DL14. Buổi WOW 1-1'!E4:E503,'DL14. Buổi WOW 1-1'!J4:J503=$H$22),10),""""))"),"")</f>
        <v/>
      </c>
      <c r="D52" s="21" t="str">
        <f aca="false">IFERROR(__xludf.dummyfunction("IF($H$22="""","""",IFERROR(INDEX(filter('DL14. Buổi WOW 1-1'!F4:F503,'DL14. Buổi WOW 1-1'!J4:J503=$H$22),10),""""))"),"")</f>
        <v/>
      </c>
      <c r="E52" s="21" t="str">
        <f aca="false">IFERROR(__xludf.dummyfunction("IF($H$22="""","""",IFERROR(INDEX(filter('DL14. Buổi WOW 1-1'!H4:H503,'DL14. Buổi WOW 1-1'!J4:J503=$H$22),10),""""))"),"")</f>
        <v/>
      </c>
      <c r="F52" s="21" t="str">
        <f aca="false">IFERROR(__xludf.dummyfunction("IF($H$22="""","""",IFERROR(INDEX(filter('DL14. Buổi WOW 1-1'!L4:L503,'DL14. Buổi WOW 1-1'!J4:J503=$H$22),10),""""))"),"")</f>
        <v/>
      </c>
      <c r="G52" s="21" t="str">
        <f aca="false">IFERROR(__xludf.dummyfunction("IF($H$22="""","""",IFERROR(INDEX(filter('DL14. Buổi WOW 1-1'!N4:N503,'DL14. Buổi WOW 1-1'!J4:J503=$H$22),10),""""))"),"")</f>
        <v/>
      </c>
      <c r="H52" s="179"/>
    </row>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3">
    <mergeCell ref="A1:F1"/>
    <mergeCell ref="A3:B3"/>
    <mergeCell ref="C3:E3"/>
    <mergeCell ref="A22:B22"/>
    <mergeCell ref="C22:F22"/>
    <mergeCell ref="A24:F24"/>
    <mergeCell ref="B25:F25"/>
    <mergeCell ref="B26:F26"/>
    <mergeCell ref="B27:F27"/>
    <mergeCell ref="B28:F28"/>
    <mergeCell ref="B29:F29"/>
    <mergeCell ref="B30:F30"/>
    <mergeCell ref="B31:F31"/>
    <mergeCell ref="B32:F32"/>
    <mergeCell ref="B33:F33"/>
    <mergeCell ref="B34:F34"/>
    <mergeCell ref="B35:F35"/>
    <mergeCell ref="A37:F37"/>
    <mergeCell ref="A38:B38"/>
    <mergeCell ref="D38:E38"/>
    <mergeCell ref="A39:B39"/>
    <mergeCell ref="D39:E39"/>
    <mergeCell ref="A41: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zeroHeight="false" outlineLevelRow="0" outlineLevelCol="0"/>
  <cols>
    <col collapsed="false" customWidth="true" hidden="false" outlineLevel="0" max="1" min="1" style="1" width="26.43"/>
    <col collapsed="false" customWidth="true" hidden="false" outlineLevel="0" max="2" min="2" style="1" width="16"/>
    <col collapsed="false" customWidth="true" hidden="false" outlineLevel="0" max="3" min="3" style="1" width="24"/>
    <col collapsed="false" customWidth="true" hidden="false" outlineLevel="0" max="5" min="4" style="1" width="18"/>
    <col collapsed="false" customWidth="true" hidden="false" outlineLevel="0" max="6" min="6" style="1" width="14"/>
    <col collapsed="false" customWidth="true" hidden="false" outlineLevel="0" max="7" min="7" style="1" width="8.71"/>
    <col collapsed="false" customWidth="true" hidden="true" outlineLevel="0" max="8" min="8" style="1" width="13"/>
    <col collapsed="false" customWidth="true" hidden="false" outlineLevel="0" max="26" min="9" style="1" width="8.71"/>
  </cols>
  <sheetData>
    <row r="1" customFormat="false" ht="31.5" hidden="false" customHeight="true" outlineLevel="0" collapsed="false">
      <c r="A1" s="257" t="s">
        <v>3786</v>
      </c>
      <c r="B1" s="257"/>
      <c r="C1" s="257"/>
      <c r="D1" s="257"/>
      <c r="E1" s="257"/>
      <c r="F1" s="257"/>
      <c r="G1" s="179"/>
      <c r="H1" s="179"/>
    </row>
    <row r="2" customFormat="false" ht="15" hidden="false" customHeight="true" outlineLevel="0" collapsed="false">
      <c r="A2" s="179"/>
      <c r="B2" s="179"/>
      <c r="C2" s="179"/>
      <c r="D2" s="179"/>
      <c r="E2" s="179"/>
      <c r="F2" s="179"/>
      <c r="G2" s="179"/>
      <c r="H2" s="179"/>
    </row>
    <row r="3" customFormat="false" ht="34.5" hidden="false" customHeight="true" outlineLevel="0" collapsed="false">
      <c r="A3" s="279" t="s">
        <v>3787</v>
      </c>
      <c r="B3" s="279"/>
      <c r="C3" s="280"/>
      <c r="D3" s="280"/>
      <c r="E3" s="280"/>
      <c r="F3" s="281" t="s">
        <v>3717</v>
      </c>
      <c r="G3" s="179"/>
      <c r="H3" s="179"/>
    </row>
    <row r="4" customFormat="false" ht="15" hidden="false" customHeight="true" outlineLevel="0" collapsed="false">
      <c r="A4" s="179"/>
      <c r="B4" s="179"/>
      <c r="C4" s="179"/>
      <c r="D4" s="179"/>
      <c r="E4" s="179"/>
      <c r="F4" s="179"/>
      <c r="G4" s="179"/>
      <c r="H4" s="179"/>
    </row>
    <row r="5" customFormat="false" ht="21.75" hidden="false" customHeight="true" outlineLevel="0" collapsed="false">
      <c r="A5" s="282" t="s">
        <v>3718</v>
      </c>
      <c r="B5" s="282" t="s">
        <v>2486</v>
      </c>
      <c r="C5" s="282" t="s">
        <v>2490</v>
      </c>
      <c r="D5" s="282" t="s">
        <v>2278</v>
      </c>
      <c r="E5" s="282" t="s">
        <v>2498</v>
      </c>
      <c r="F5" s="282" t="s">
        <v>250</v>
      </c>
      <c r="G5" s="179"/>
      <c r="H5" s="179"/>
    </row>
    <row r="6" customFormat="false" ht="15" hidden="false" customHeight="true" outlineLevel="0" collapsed="false">
      <c r="A6" s="238" t="b">
        <f aca="false">TRUE()</f>
        <v>1</v>
      </c>
      <c r="B6"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năng'!F4:F503&amp;"""")))&gt;0)),1),"""")"),"L-2026-00001")</f>
        <v>L-2026-00001</v>
      </c>
      <c r="C6" s="21" t="str">
        <f aca="false">IF($B6="","",IFERROR(VLOOKUP($B6,'DL02. Khách tiềm năng'!$A:$T,5,FALSE()),""))</f>
        <v>Ngô Thanh Tú</v>
      </c>
      <c r="D6" s="21" t="str">
        <f aca="false">IF($B6="","",IFERROR(VLOOKUP($B6,'DL02. Khách tiềm năng'!$A:$T,6,FALSE()),""))</f>
        <v>0901000001</v>
      </c>
      <c r="E6" s="21" t="str">
        <f aca="false">IF($B6="","",IFERROR(VLOOKUP($B6,'DL02. Khách tiềm năng'!$A:$T,14,FALSE()),""))</f>
        <v>facebook_ads (Quảng cáo Facebook)</v>
      </c>
      <c r="F6" s="21" t="str">
        <f aca="false">IF($B6="","",IFERROR(VLOOKUP($B6,'DL02. Khách tiềm năng'!$A:$T,16,FALSE()),""))</f>
        <v>new (Chưa liên hệ)</v>
      </c>
      <c r="G6" s="179"/>
      <c r="H6" s="179"/>
    </row>
    <row r="7" customFormat="false" ht="15" hidden="false" customHeight="true" outlineLevel="0" collapsed="false">
      <c r="A7" s="238" t="b">
        <f aca="false">FALSE()</f>
        <v>0</v>
      </c>
      <c r="B7"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năng'!F4:F503&amp;"""")))&gt;0)),2),"""")"),"L-2026-00002")</f>
        <v>L-2026-00002</v>
      </c>
      <c r="C7" s="21" t="str">
        <f aca="false">IF($B7="","",IFERROR(VLOOKUP($B7,'DL02. Khách tiềm năng'!$A:$T,5,FALSE()),""))</f>
        <v>Đỗ Quang Huy</v>
      </c>
      <c r="D7" s="21" t="str">
        <f aca="false">IF($B7="","",IFERROR(VLOOKUP($B7,'DL02. Khách tiềm năng'!$A:$T,6,FALSE()),""))</f>
        <v>0901000002</v>
      </c>
      <c r="E7" s="21" t="str">
        <f aca="false">IF($B7="","",IFERROR(VLOOKUP($B7,'DL02. Khách tiềm năng'!$A:$T,14,FALSE()),""))</f>
        <v>facebook_ads (Quảng cáo Facebook)</v>
      </c>
      <c r="F7" s="21" t="str">
        <f aca="false">IF($B7="","",IFERROR(VLOOKUP($B7,'DL02. Khách tiềm năng'!$A:$T,16,FALSE()),""))</f>
        <v>new (Chưa liên hệ)</v>
      </c>
      <c r="G7" s="179"/>
      <c r="H7" s="179"/>
    </row>
    <row r="8" customFormat="false" ht="15" hidden="false" customHeight="true" outlineLevel="0" collapsed="false">
      <c r="A8" s="238" t="b">
        <f aca="false">FALSE()</f>
        <v>0</v>
      </c>
      <c r="B8"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năng'!F4:F503&amp;"""")))&gt;0)),3),"""")"),"L-2026-00003")</f>
        <v>L-2026-00003</v>
      </c>
      <c r="C8" s="21" t="str">
        <f aca="false">IF($B8="","",IFERROR(VLOOKUP($B8,'DL02. Khách tiềm năng'!$A:$T,5,FALSE()),""))</f>
        <v>Lý Mỹ Linh</v>
      </c>
      <c r="D8" s="21" t="str">
        <f aca="false">IF($B8="","",IFERROR(VLOOKUP($B8,'DL02. Khách tiềm năng'!$A:$T,6,FALSE()),""))</f>
        <v>0901000003</v>
      </c>
      <c r="E8" s="21" t="str">
        <f aca="false">IF($B8="","",IFERROR(VLOOKUP($B8,'DL02. Khách tiềm năng'!$A:$T,14,FALSE()),""))</f>
        <v>facebook_ads (Quảng cáo Facebook)</v>
      </c>
      <c r="F8" s="21" t="str">
        <f aca="false">IF($B8="","",IFERROR(VLOOKUP($B8,'DL02. Khách tiềm năng'!$A:$T,16,FALSE()),""))</f>
        <v>contacted (Đã liên hệ, đang khai thác)</v>
      </c>
      <c r="G8" s="179"/>
      <c r="H8" s="179"/>
    </row>
    <row r="9" customFormat="false" ht="15" hidden="false" customHeight="true" outlineLevel="0" collapsed="false">
      <c r="A9" s="238" t="b">
        <f aca="false">FALSE()</f>
        <v>0</v>
      </c>
      <c r="B9"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năng'!F4:F503&amp;"""")))&gt;0)),4),"""")"),"L-2026-00004")</f>
        <v>L-2026-00004</v>
      </c>
      <c r="C9" s="21" t="str">
        <f aca="false">IF($B9="","",IFERROR(VLOOKUP($B9,'DL02. Khách tiềm năng'!$A:$T,5,FALSE()),""))</f>
        <v>Trịnh Văn Nam</v>
      </c>
      <c r="D9" s="21" t="str">
        <f aca="false">IF($B9="","",IFERROR(VLOOKUP($B9,'DL02. Khách tiềm năng'!$A:$T,6,FALSE()),""))</f>
        <v>0901000004</v>
      </c>
      <c r="E9" s="21" t="str">
        <f aca="false">IF($B9="","",IFERROR(VLOOKUP($B9,'DL02. Khách tiềm năng'!$A:$T,14,FALSE()),""))</f>
        <v>facebook_ads (Quảng cáo Facebook)</v>
      </c>
      <c r="F9" s="21" t="str">
        <f aca="false">IF($B9="","",IFERROR(VLOOKUP($B9,'DL02. Khách tiềm năng'!$A:$T,16,FALSE()),""))</f>
        <v>contacted (Đã liên hệ, đang khai thác)</v>
      </c>
      <c r="G9" s="179"/>
      <c r="H9" s="179"/>
    </row>
    <row r="10" customFormat="false" ht="15" hidden="false" customHeight="true" outlineLevel="0" collapsed="false">
      <c r="A10" s="238" t="b">
        <f aca="false">FALSE()</f>
        <v>0</v>
      </c>
      <c r="B10"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năng'!F4:F503&amp;"""")))&gt;0)),5),"""")"),"L-2026-00005")</f>
        <v>L-2026-00005</v>
      </c>
      <c r="C10" s="21" t="str">
        <f aca="false">IF($B10="","",IFERROR(VLOOKUP($B10,'DL02. Khách tiềm năng'!$A:$T,5,FALSE()),""))</f>
        <v>Cao Thị Oanh</v>
      </c>
      <c r="D10" s="21" t="str">
        <f aca="false">IF($B10="","",IFERROR(VLOOKUP($B10,'DL02. Khách tiềm năng'!$A:$T,6,FALSE()),""))</f>
        <v>0901000005</v>
      </c>
      <c r="E10" s="21" t="str">
        <f aca="false">IF($B10="","",IFERROR(VLOOKUP($B10,'DL02. Khách tiềm năng'!$A:$T,14,FALSE()),""))</f>
        <v>facebook_ads (Quảng cáo Facebook)</v>
      </c>
      <c r="F10" s="21" t="str">
        <f aca="false">IF($B10="","",IFERROR(VLOOKUP($B10,'DL02. Khách tiềm năng'!$A:$T,16,FALSE()),""))</f>
        <v>considering (Đang cân nhắc)</v>
      </c>
      <c r="G10" s="179"/>
      <c r="H10" s="179"/>
    </row>
    <row r="11" customFormat="false" ht="15" hidden="false" customHeight="true" outlineLevel="0" collapsed="false">
      <c r="A11" s="238" t="b">
        <f aca="false">FALSE()</f>
        <v>0</v>
      </c>
      <c r="B11"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năng'!F4:F503&amp;"""")))&gt;0)),6),"""")"),"L-2026-00006")</f>
        <v>L-2026-00006</v>
      </c>
      <c r="C11" s="21" t="str">
        <f aca="false">IF($B11="","",IFERROR(VLOOKUP($B11,'DL02. Khách tiềm năng'!$A:$T,5,FALSE()),""))</f>
        <v>Trần Minh Anh</v>
      </c>
      <c r="D11" s="21" t="str">
        <f aca="false">IF($B11="","",IFERROR(VLOOKUP($B11,'DL02. Khách tiềm năng'!$A:$T,6,FALSE()),""))</f>
        <v>0902000001</v>
      </c>
      <c r="E11" s="21" t="str">
        <f aca="false">IF($B11="","",IFERROR(VLOOKUP($B11,'DL02. Khách tiềm năng'!$A:$T,14,FALSE()),""))</f>
        <v>facebook_ads (Quảng cáo Facebook)</v>
      </c>
      <c r="F11" s="21" t="str">
        <f aca="false">IF($B11="","",IFERROR(VLOOKUP($B11,'DL02. Khách tiềm năng'!$A:$T,16,FALSE()),""))</f>
        <v>converted (Đã chuyển đổi - đã thành HV)</v>
      </c>
      <c r="G11" s="179"/>
      <c r="H11" s="179"/>
    </row>
    <row r="12" customFormat="false" ht="15" hidden="false" customHeight="true" outlineLevel="0" collapsed="false">
      <c r="A12" s="238" t="b">
        <f aca="false">FALSE()</f>
        <v>0</v>
      </c>
      <c r="B12"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năng'!F4:F503&amp;"""")))&gt;0)),7),"""")"),"L-2026-00007")</f>
        <v>L-2026-00007</v>
      </c>
      <c r="C12" s="21" t="str">
        <f aca="false">IF($B12="","",IFERROR(VLOOKUP($B12,'DL02. Khách tiềm năng'!$A:$T,5,FALSE()),""))</f>
        <v>Lê Thị Bích Ngọc</v>
      </c>
      <c r="D12" s="21" t="str">
        <f aca="false">IF($B12="","",IFERROR(VLOOKUP($B12,'DL02. Khách tiềm năng'!$A:$T,6,FALSE()),""))</f>
        <v>0902000002</v>
      </c>
      <c r="E12" s="21" t="str">
        <f aca="false">IF($B12="","",IFERROR(VLOOKUP($B12,'DL02. Khách tiềm năng'!$A:$T,14,FALSE()),""))</f>
        <v>facebook_ads (Quảng cáo Facebook)</v>
      </c>
      <c r="F12" s="21" t="str">
        <f aca="false">IF($B12="","",IFERROR(VLOOKUP($B12,'DL02. Khách tiềm năng'!$A:$T,16,FALSE()),""))</f>
        <v>converted (Đã chuyển đổi - đã thành HV)</v>
      </c>
      <c r="G12" s="179"/>
      <c r="H12" s="179"/>
    </row>
    <row r="13" customFormat="false" ht="15" hidden="false" customHeight="true" outlineLevel="0" collapsed="false">
      <c r="A13" s="238" t="b">
        <f aca="false">FALSE()</f>
        <v>0</v>
      </c>
      <c r="B13"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năng'!F4:F503&amp;"""")))&gt;0)),8),"""")"),"L-2026-00008")</f>
        <v>L-2026-00008</v>
      </c>
      <c r="C13" s="21" t="str">
        <f aca="false">IF($B13="","",IFERROR(VLOOKUP($B13,'DL02. Khách tiềm năng'!$A:$T,5,FALSE()),""))</f>
        <v>Phạm Quốc Cường</v>
      </c>
      <c r="D13" s="21" t="str">
        <f aca="false">IF($B13="","",IFERROR(VLOOKUP($B13,'DL02. Khách tiềm năng'!$A:$T,6,FALSE()),""))</f>
        <v>0902000003</v>
      </c>
      <c r="E13" s="21" t="str">
        <f aca="false">IF($B13="","",IFERROR(VLOOKUP($B13,'DL02. Khách tiềm năng'!$A:$T,14,FALSE()),""))</f>
        <v>facebook_ads (Quảng cáo Facebook)</v>
      </c>
      <c r="F13" s="21" t="str">
        <f aca="false">IF($B13="","",IFERROR(VLOOKUP($B13,'DL02. Khách tiềm năng'!$A:$T,16,FALSE()),""))</f>
        <v>converted (Đã chuyển đổi - đã thành HV)</v>
      </c>
      <c r="G13" s="179"/>
      <c r="H13" s="179"/>
    </row>
    <row r="14" customFormat="false" ht="15" hidden="false" customHeight="true" outlineLevel="0" collapsed="false">
      <c r="A14" s="238" t="b">
        <f aca="false">FALSE()</f>
        <v>0</v>
      </c>
      <c r="B14"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năng'!F4:F503&amp;"""")))&gt;0)),9),"""")"),"L-2026-00009")</f>
        <v>L-2026-00009</v>
      </c>
      <c r="C14" s="21" t="str">
        <f aca="false">IF($B14="","",IFERROR(VLOOKUP($B14,'DL02. Khách tiềm năng'!$A:$T,5,FALSE()),""))</f>
        <v>Nguyễn Thị Dung</v>
      </c>
      <c r="D14" s="21" t="str">
        <f aca="false">IF($B14="","",IFERROR(VLOOKUP($B14,'DL02. Khách tiềm năng'!$A:$T,6,FALSE()),""))</f>
        <v>0902000004</v>
      </c>
      <c r="E14" s="21" t="str">
        <f aca="false">IF($B14="","",IFERROR(VLOOKUP($B14,'DL02. Khách tiềm năng'!$A:$T,14,FALSE()),""))</f>
        <v>facebook_ads (Quảng cáo Facebook)</v>
      </c>
      <c r="F14" s="21" t="str">
        <f aca="false">IF($B14="","",IFERROR(VLOOKUP($B14,'DL02. Khách tiềm năng'!$A:$T,16,FALSE()),""))</f>
        <v>converted (Đã chuyển đổi - đã thành HV)</v>
      </c>
      <c r="G14" s="179"/>
      <c r="H14" s="179"/>
    </row>
    <row r="15" customFormat="false" ht="15" hidden="false" customHeight="true" outlineLevel="0" collapsed="false">
      <c r="A15" s="238" t="b">
        <f aca="false">FALSE()</f>
        <v>0</v>
      </c>
      <c r="B15"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năng'!F4:F503&amp;"""")))&gt;0)),10),"""")"),"L-2026-00010")</f>
        <v>L-2026-00010</v>
      </c>
      <c r="C15" s="21" t="str">
        <f aca="false">IF($B15="","",IFERROR(VLOOKUP($B15,'DL02. Khách tiềm năng'!$A:$T,5,FALSE()),""))</f>
        <v>Võ Hoàng Em</v>
      </c>
      <c r="D15" s="21" t="str">
        <f aca="false">IF($B15="","",IFERROR(VLOOKUP($B15,'DL02. Khách tiềm năng'!$A:$T,6,FALSE()),""))</f>
        <v>0902000005</v>
      </c>
      <c r="E15" s="21" t="str">
        <f aca="false">IF($B15="","",IFERROR(VLOOKUP($B15,'DL02. Khách tiềm năng'!$A:$T,14,FALSE()),""))</f>
        <v>facebook_ads (Quảng cáo Facebook)</v>
      </c>
      <c r="F15" s="21" t="str">
        <f aca="false">IF($B15="","",IFERROR(VLOOKUP($B15,'DL02. Khách tiềm năng'!$A:$T,16,FALSE()),""))</f>
        <v>converted (Đã chuyển đổi - đã thành HV)</v>
      </c>
      <c r="G15" s="179"/>
      <c r="H15" s="179"/>
    </row>
    <row r="16" customFormat="false" ht="15" hidden="false" customHeight="true" outlineLevel="0" collapsed="false">
      <c r="A16" s="238" t="b">
        <f aca="false">FALSE()</f>
        <v>0</v>
      </c>
      <c r="B16"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năng'!F4:F503&amp;"""")))&gt;0)),11),"""")"),"L-2026-00011")</f>
        <v>L-2026-00011</v>
      </c>
      <c r="C16" s="21" t="str">
        <f aca="false">IF($B16="","",IFERROR(VLOOKUP($B16,'DL02. Khách tiềm năng'!$A:$T,5,FALSE()),""))</f>
        <v>Đặng Thu Hà</v>
      </c>
      <c r="D16" s="21" t="str">
        <f aca="false">IF($B16="","",IFERROR(VLOOKUP($B16,'DL02. Khách tiềm năng'!$A:$T,6,FALSE()),""))</f>
        <v>0902000006</v>
      </c>
      <c r="E16" s="21" t="str">
        <f aca="false">IF($B16="","",IFERROR(VLOOKUP($B16,'DL02. Khách tiềm năng'!$A:$T,14,FALSE()),""))</f>
        <v>facebook_ads (Quảng cáo Facebook)</v>
      </c>
      <c r="F16" s="21" t="str">
        <f aca="false">IF($B16="","",IFERROR(VLOOKUP($B16,'DL02. Khách tiềm năng'!$A:$T,16,FALSE()),""))</f>
        <v>converted (Đã chuyển đổi - đã thành HV)</v>
      </c>
      <c r="G16" s="179"/>
      <c r="H16" s="179"/>
    </row>
    <row r="17" customFormat="false" ht="15" hidden="false" customHeight="true" outlineLevel="0" collapsed="false">
      <c r="A17" s="238" t="b">
        <f aca="false">FALSE()</f>
        <v>0</v>
      </c>
      <c r="B17"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năng'!F4:F503&amp;"""")))&gt;0)),12),"""")"),"L-2026-00012")</f>
        <v>L-2026-00012</v>
      </c>
      <c r="C17" s="21" t="str">
        <f aca="false">IF($B17="","",IFERROR(VLOOKUP($B17,'DL02. Khách tiềm năng'!$A:$T,5,FALSE()),""))</f>
        <v>Lý Gia Khang</v>
      </c>
      <c r="D17" s="21" t="str">
        <f aca="false">IF($B17="","",IFERROR(VLOOKUP($B17,'DL02. Khách tiềm năng'!$A:$T,6,FALSE()),""))</f>
        <v>0903000012</v>
      </c>
      <c r="E17" s="21" t="str">
        <f aca="false">IF($B17="","",IFERROR(VLOOKUP($B17,'DL02. Khách tiềm năng'!$A:$T,14,FALSE()),""))</f>
        <v>referral (Giới thiệu)</v>
      </c>
      <c r="F17" s="21" t="str">
        <f aca="false">IF($B17="","",IFERROR(VLOOKUP($B17,'DL02. Khách tiềm năng'!$A:$T,16,FALSE()),""))</f>
        <v>converted (Đã chuyển đổi - đã thành HV)</v>
      </c>
      <c r="G17" s="179"/>
      <c r="H17" s="179"/>
    </row>
    <row r="18" customFormat="false" ht="15" hidden="false" customHeight="true" outlineLevel="0" collapsed="false">
      <c r="A18" s="238" t="b">
        <f aca="false">FALSE()</f>
        <v>0</v>
      </c>
      <c r="B18"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năng'!F4:F503&amp;"""")))&gt;0)),13),"""")"),"L-2026-00013")</f>
        <v>L-2026-00013</v>
      </c>
      <c r="C18" s="21" t="str">
        <f aca="false">IF($B18="","",IFERROR(VLOOKUP($B18,'DL02. Khách tiềm năng'!$A:$T,5,FALSE()),""))</f>
        <v>Trương Mỹ Lan</v>
      </c>
      <c r="D18" s="21" t="str">
        <f aca="false">IF($B18="","",IFERROR(VLOOKUP($B18,'DL02. Khách tiềm năng'!$A:$T,6,FALSE()),""))</f>
        <v>0903000013</v>
      </c>
      <c r="E18" s="21" t="str">
        <f aca="false">IF($B18="","",IFERROR(VLOOKUP($B18,'DL02. Khách tiềm năng'!$A:$T,14,FALSE()),""))</f>
        <v>walk_in (Khách tự đến trực tiếp)</v>
      </c>
      <c r="F18" s="21" t="str">
        <f aca="false">IF($B18="","",IFERROR(VLOOKUP($B18,'DL02. Khách tiềm năng'!$A:$T,16,FALSE()),""))</f>
        <v>converted (Đã chuyển đổi - đã thành HV)</v>
      </c>
      <c r="G18" s="179"/>
      <c r="H18" s="179"/>
    </row>
    <row r="19" customFormat="false" ht="15" hidden="false" customHeight="true" outlineLevel="0" collapsed="false">
      <c r="A19" s="238" t="b">
        <f aca="false">FALSE()</f>
        <v>0</v>
      </c>
      <c r="B19"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năng'!F4:F503&amp;"""")))&gt;0)),14),"""")"),"L-2026-00014")</f>
        <v>L-2026-00014</v>
      </c>
      <c r="C19" s="21" t="str">
        <f aca="false">IF($B19="","",IFERROR(VLOOKUP($B19,'DL02. Khách tiềm năng'!$A:$T,5,FALSE()),""))</f>
        <v>Phan Đức Minh</v>
      </c>
      <c r="D19" s="21" t="str">
        <f aca="false">IF($B19="","",IFERROR(VLOOKUP($B19,'DL02. Khách tiềm năng'!$A:$T,6,FALSE()),""))</f>
        <v>0903000014</v>
      </c>
      <c r="E19" s="21" t="str">
        <f aca="false">IF($B19="","",IFERROR(VLOOKUP($B19,'DL02. Khách tiềm năng'!$A:$T,14,FALSE()),""))</f>
        <v>website (Form website ITTs)</v>
      </c>
      <c r="F19" s="21" t="str">
        <f aca="false">IF($B19="","",IFERROR(VLOOKUP($B19,'DL02. Khách tiềm năng'!$A:$T,16,FALSE()),""))</f>
        <v>converted (Đã chuyển đổi - đã thành HV)</v>
      </c>
      <c r="G19" s="179"/>
      <c r="H19" s="179"/>
    </row>
    <row r="20" customFormat="false" ht="15" hidden="false" customHeight="true" outlineLevel="0" collapsed="false">
      <c r="A20" s="238" t="b">
        <f aca="false">FALSE()</f>
        <v>0</v>
      </c>
      <c r="B20" s="138" t="str">
        <f aca="false">IFERROR(__xludf.dummyfunction("IFERROR(INDEX(filter('DL02. Khách tiềm năng'!A4:A503,IF($C$3="""",'DL02. Khách tiềm năng'!A4:A503&lt;&gt;"""",(ISNUMBER(SEARCH($C$3,'DL02. Khách tiềm năng'!A4:A503&amp;""""))+ISNUMBER(SEARCH($C$3,'DL02. Khách tiềm năng'!E4:E503&amp;""""))+ISNUMBER(SEARCH($C$3,'DL02. Kh"&amp;"ách tiềm năng'!F4:F503&amp;"""")))&gt;0)),15),"""")"),"L-2026-00015")</f>
        <v>L-2026-00015</v>
      </c>
      <c r="C20" s="21" t="str">
        <f aca="false">IF($B20="","",IFERROR(VLOOKUP($B20,'DL02. Khách tiềm năng'!$A:$T,5,FALSE()),""))</f>
        <v>Vũ Thảo Nhi</v>
      </c>
      <c r="D20" s="21" t="str">
        <f aca="false">IF($B20="","",IFERROR(VLOOKUP($B20,'DL02. Khách tiềm năng'!$A:$T,6,FALSE()),""))</f>
        <v>0903000015</v>
      </c>
      <c r="E20" s="21" t="str">
        <f aca="false">IF($B20="","",IFERROR(VLOOKUP($B20,'DL02. Khách tiềm năng'!$A:$T,14,FALSE()),""))</f>
        <v>zalo_oa (Zalo Official Account)</v>
      </c>
      <c r="F20" s="21" t="str">
        <f aca="false">IF($B20="","",IFERROR(VLOOKUP($B20,'DL02. Khách tiềm năng'!$A:$T,16,FALSE()),""))</f>
        <v>converted (Đã chuyển đổi - đã thành HV)</v>
      </c>
      <c r="G20" s="179"/>
      <c r="H20" s="179"/>
    </row>
    <row r="21" customFormat="false" ht="15" hidden="false" customHeight="true" outlineLevel="0" collapsed="false">
      <c r="A21" s="179"/>
      <c r="B21" s="179"/>
      <c r="C21" s="179"/>
      <c r="D21" s="179"/>
      <c r="E21" s="179"/>
      <c r="F21" s="179"/>
      <c r="G21" s="179"/>
      <c r="H21" s="179"/>
    </row>
    <row r="22" customFormat="false" ht="15" hidden="false" customHeight="true" outlineLevel="0" collapsed="false">
      <c r="A22" s="156" t="s">
        <v>3719</v>
      </c>
      <c r="B22" s="156"/>
      <c r="C22" s="283" t="str">
        <f aca="false" t="array" ref="C22:C22">IF((IFERROR(INDEX(B6:B20,MATCH(TRUE(),A6:A20,0)),""))="","",(IFERROR(INDEX(B6:B20,MATCH(TRUE(),A6:A20,0)),""))&amp;" - "&amp;IFERROR(VLOOKUP((IFERROR(INDEX(B6:B20,MATCH(TRUE(),A6:A20,0)),"")),'DL02. Khách tiềm năng'!$A:$T,5,FALSE()),""))</f>
        <v>L-2026-00001 - Ngô Thanh Tú</v>
      </c>
      <c r="D22" s="283"/>
      <c r="E22" s="283"/>
      <c r="F22" s="283"/>
      <c r="G22" s="179"/>
      <c r="H22" s="179" t="str">
        <f aca="false" t="array" ref="H22:H22">IFERROR(INDEX(B6:B20,MATCH(TRUE(),A6:A20,0)),"")</f>
        <v>L-2026-00001</v>
      </c>
    </row>
    <row r="23" customFormat="false" ht="15" hidden="false" customHeight="true" outlineLevel="0" collapsed="false">
      <c r="A23" s="179"/>
      <c r="B23" s="179"/>
      <c r="C23" s="179"/>
      <c r="D23" s="179"/>
      <c r="E23" s="179"/>
      <c r="F23" s="179"/>
      <c r="G23" s="179"/>
      <c r="H23" s="179"/>
    </row>
    <row r="24" customFormat="false" ht="24" hidden="false" customHeight="true" outlineLevel="0" collapsed="false">
      <c r="A24" s="284" t="s">
        <v>3720</v>
      </c>
      <c r="B24" s="284"/>
      <c r="C24" s="284"/>
      <c r="D24" s="284"/>
      <c r="E24" s="284"/>
      <c r="F24" s="284"/>
      <c r="G24" s="179"/>
      <c r="H24" s="179"/>
    </row>
    <row r="25" customFormat="false" ht="19.5" hidden="false" customHeight="true" outlineLevel="0" collapsed="false">
      <c r="A25" s="79" t="s">
        <v>2486</v>
      </c>
      <c r="B25" s="21" t="str">
        <f aca="false">IF($H$22="","(chưa chọn)",IFERROR(VLOOKUP($H$22,'DL02. Khách tiềm năng'!$A:$T,1,FALSE()),""))</f>
        <v>L-2026-00001</v>
      </c>
      <c r="C25" s="21"/>
      <c r="D25" s="21"/>
      <c r="E25" s="21"/>
      <c r="F25" s="21"/>
      <c r="G25" s="179"/>
      <c r="H25" s="179"/>
    </row>
    <row r="26" customFormat="false" ht="19.5" hidden="false" customHeight="true" outlineLevel="0" collapsed="false">
      <c r="A26" s="79" t="s">
        <v>2487</v>
      </c>
      <c r="B26" s="21" t="n">
        <f aca="false">IF($H$22="","(chưa chọn)",IFERROR(VLOOKUP($H$22,'DL02. Khách tiềm năng'!$A:$T,2,FALSE()),""))</f>
        <v>46208.4468865741</v>
      </c>
      <c r="C26" s="21"/>
      <c r="D26" s="21"/>
      <c r="E26" s="21"/>
      <c r="F26" s="21"/>
      <c r="G26" s="179"/>
      <c r="H26" s="179"/>
    </row>
    <row r="27" customFormat="false" ht="19.5" hidden="false" customHeight="true" outlineLevel="0" collapsed="false">
      <c r="A27" s="79" t="s">
        <v>3504</v>
      </c>
      <c r="B27" s="80" t="str">
        <f aca="false">IF($H$22="","(chưa chọn)",IFERROR(VLOOKUP($H$22,'DL02. Khách tiềm năng'!$A:$T,3,FALSE()),""))</f>
        <v>NV001</v>
      </c>
      <c r="C27" s="80"/>
      <c r="D27" s="80"/>
      <c r="E27" s="80"/>
      <c r="F27" s="80"/>
      <c r="G27" s="179"/>
      <c r="H27" s="179"/>
    </row>
    <row r="28" customFormat="false" ht="19.5" hidden="false" customHeight="true" outlineLevel="0" collapsed="false">
      <c r="A28" s="79" t="s">
        <v>2489</v>
      </c>
      <c r="B28" s="21" t="str">
        <f aca="false">IF($H$22="","(chưa chọn)",IFERROR(VLOOKUP($H$22,'DL02. Khách tiềm năng'!$A:$T,4,FALSE()),""))</f>
        <v/>
      </c>
      <c r="C28" s="21"/>
      <c r="D28" s="21"/>
      <c r="E28" s="21"/>
      <c r="F28" s="21"/>
      <c r="G28" s="179"/>
      <c r="H28" s="179"/>
    </row>
    <row r="29" customFormat="false" ht="19.5" hidden="false" customHeight="true" outlineLevel="0" collapsed="false">
      <c r="A29" s="79" t="s">
        <v>2490</v>
      </c>
      <c r="B29" s="21" t="str">
        <f aca="false">IF($H$22="","(chưa chọn)",IFERROR(VLOOKUP($H$22,'DL02. Khách tiềm năng'!$A:$T,5,FALSE()),""))</f>
        <v>Ngô Thanh Tú</v>
      </c>
      <c r="C29" s="21"/>
      <c r="D29" s="21"/>
      <c r="E29" s="21"/>
      <c r="F29" s="21"/>
      <c r="G29" s="179"/>
      <c r="H29" s="179"/>
    </row>
    <row r="30" customFormat="false" ht="19.5" hidden="false" customHeight="true" outlineLevel="0" collapsed="false">
      <c r="A30" s="79" t="s">
        <v>2278</v>
      </c>
      <c r="B30" s="21" t="str">
        <f aca="false">IF($H$22="","(chưa chọn)",IFERROR(VLOOKUP($H$22,'DL02. Khách tiềm năng'!$A:$T,6,FALSE()),""))</f>
        <v>0901000001</v>
      </c>
      <c r="C30" s="21"/>
      <c r="D30" s="21"/>
      <c r="E30" s="21"/>
      <c r="F30" s="21"/>
      <c r="G30" s="179"/>
      <c r="H30" s="179"/>
    </row>
    <row r="31" customFormat="false" ht="19.5" hidden="false" customHeight="true" outlineLevel="0" collapsed="false">
      <c r="A31" s="79" t="s">
        <v>2491</v>
      </c>
      <c r="B31" s="21" t="str">
        <f aca="false">IF($H$22="","(chưa chọn)",IFERROR(VLOOKUP($H$22,'DL02. Khách tiềm năng'!$A:$T,7,FALSE()),""))</f>
        <v>0901000001</v>
      </c>
      <c r="C31" s="21"/>
      <c r="D31" s="21"/>
      <c r="E31" s="21"/>
      <c r="F31" s="21"/>
      <c r="G31" s="179"/>
      <c r="H31" s="179"/>
    </row>
    <row r="32" customFormat="false" ht="19.5" hidden="false" customHeight="true" outlineLevel="0" collapsed="false">
      <c r="A32" s="79" t="s">
        <v>2492</v>
      </c>
      <c r="B32" s="21" t="str">
        <f aca="false">IF($H$22="","(chưa chọn)",IFERROR(VLOOKUP($H$22,'DL02. Khách tiềm năng'!$A:$T,8,FALSE()),""))</f>
        <v>working_people (Người đi làm)</v>
      </c>
      <c r="C32" s="21"/>
      <c r="D32" s="21"/>
      <c r="E32" s="21"/>
      <c r="F32" s="21"/>
      <c r="G32" s="179"/>
      <c r="H32" s="179"/>
    </row>
    <row r="33" customFormat="false" ht="19.5" hidden="false" customHeight="true" outlineLevel="0" collapsed="false">
      <c r="A33" s="79" t="s">
        <v>2493</v>
      </c>
      <c r="B33" s="21" t="str">
        <f aca="false">IF($H$22="","(chưa chọn)",IFERROR(VLOOKUP($H$22,'DL02. Khách tiềm năng'!$A:$T,9,FALSE()),""))</f>
        <v>study_abroad (Du học)</v>
      </c>
      <c r="C33" s="21"/>
      <c r="D33" s="21"/>
      <c r="E33" s="21"/>
      <c r="F33" s="21"/>
      <c r="G33" s="179"/>
      <c r="H33" s="179"/>
    </row>
    <row r="34" customFormat="false" ht="19.5" hidden="false" customHeight="true" outlineLevel="0" collapsed="false">
      <c r="A34" s="79" t="s">
        <v>2494</v>
      </c>
      <c r="B34" s="21" t="n">
        <f aca="false">IF($H$22="","(chưa chọn)",IFERROR(VLOOKUP($H$22,'DL02. Khách tiềm năng'!$A:$T,10,FALSE()),""))</f>
        <v>6.5</v>
      </c>
      <c r="C34" s="21"/>
      <c r="D34" s="21"/>
      <c r="E34" s="21"/>
      <c r="F34" s="21"/>
      <c r="G34" s="179"/>
      <c r="H34" s="179"/>
    </row>
    <row r="35" customFormat="false" ht="19.5" hidden="false" customHeight="true" outlineLevel="0" collapsed="false">
      <c r="A35" s="79" t="s">
        <v>2495</v>
      </c>
      <c r="B35" s="292" t="n">
        <f aca="false">IF($H$22="","(chưa chọn)",IFERROR(VLOOKUP($H$22,'DL02. Khách tiềm năng'!$A:$T,11,FALSE()),""))</f>
        <v>46228.375</v>
      </c>
      <c r="C35" s="292"/>
      <c r="D35" s="292"/>
      <c r="E35" s="292"/>
      <c r="F35" s="292"/>
      <c r="G35" s="179"/>
      <c r="H35" s="179"/>
    </row>
    <row r="36" customFormat="false" ht="19.5" hidden="false" customHeight="true" outlineLevel="0" collapsed="false">
      <c r="A36" s="79" t="s">
        <v>2496</v>
      </c>
      <c r="B36" s="21" t="str">
        <f aca="false">IF($H$22="","(chưa chọn)",IFERROR(VLOOKUP($H$22,'DL02. Khách tiềm năng'!$A:$T,12,FALSE()),""))</f>
        <v>Tối T2-4-6</v>
      </c>
      <c r="C36" s="21"/>
      <c r="D36" s="21"/>
      <c r="E36" s="21"/>
      <c r="F36" s="21"/>
      <c r="G36" s="179"/>
      <c r="H36" s="179"/>
    </row>
    <row r="37" customFormat="false" ht="19.5" hidden="false" customHeight="true" outlineLevel="0" collapsed="false">
      <c r="A37" s="79" t="s">
        <v>2497</v>
      </c>
      <c r="B37" s="21" t="str">
        <f aca="false">IF($H$22="","(chưa chọn)",IFERROR(VLOOKUP($H$22,'DL02. Khách tiềm năng'!$A:$T,13,FALSE()),""))</f>
        <v>offline (Tại trung tâm)</v>
      </c>
      <c r="C37" s="21"/>
      <c r="D37" s="21"/>
      <c r="E37" s="21"/>
      <c r="F37" s="21"/>
      <c r="G37" s="179"/>
      <c r="H37" s="179"/>
    </row>
    <row r="38" customFormat="false" ht="19.5" hidden="false" customHeight="true" outlineLevel="0" collapsed="false">
      <c r="A38" s="79" t="s">
        <v>2498</v>
      </c>
      <c r="B38" s="21" t="str">
        <f aca="false">IF($H$22="","(chưa chọn)",IFERROR(VLOOKUP($H$22,'DL02. Khách tiềm năng'!$A:$T,14,FALSE()),""))</f>
        <v>facebook_ads (Quảng cáo Facebook)</v>
      </c>
      <c r="C38" s="21"/>
      <c r="D38" s="21"/>
      <c r="E38" s="21"/>
      <c r="F38" s="21"/>
      <c r="G38" s="179"/>
      <c r="H38" s="179"/>
    </row>
    <row r="39" customFormat="false" ht="19.5" hidden="false" customHeight="true" outlineLevel="0" collapsed="false">
      <c r="A39" s="79" t="s">
        <v>2499</v>
      </c>
      <c r="B39" s="21" t="str">
        <f aca="false">IF($H$22="","(chưa chọn)",IFERROR(VLOOKUP($H$22,'DL02. Khách tiềm năng'!$A:$T,15,FALSE()),""))</f>
        <v>unknown (Chưa rõ)</v>
      </c>
      <c r="C39" s="21"/>
      <c r="D39" s="21"/>
      <c r="E39" s="21"/>
      <c r="F39" s="21"/>
      <c r="G39" s="179"/>
      <c r="H39" s="179"/>
    </row>
    <row r="40" customFormat="false" ht="19.5" hidden="false" customHeight="true" outlineLevel="0" collapsed="false">
      <c r="A40" s="79" t="s">
        <v>2500</v>
      </c>
      <c r="B40" s="21" t="str">
        <f aca="false">IF($H$22="","(chưa chọn)",IFERROR(VLOOKUP($H$22,'DL02. Khách tiềm năng'!$A:$T,16,FALSE()),""))</f>
        <v>new (Chưa liên hệ)</v>
      </c>
      <c r="C40" s="21"/>
      <c r="D40" s="21"/>
      <c r="E40" s="21"/>
      <c r="F40" s="21"/>
      <c r="G40" s="179"/>
      <c r="H40" s="179"/>
    </row>
    <row r="41" customFormat="false" ht="19.5" hidden="false" customHeight="true" outlineLevel="0" collapsed="false">
      <c r="A41" s="79" t="s">
        <v>2501</v>
      </c>
      <c r="B41" s="21" t="n">
        <f aca="false">IF($H$22="","(chưa chọn)",IFERROR(VLOOKUP($H$22,'DL02. Khách tiềm năng'!$A:$T,17,FALSE()),""))</f>
        <v>0</v>
      </c>
      <c r="C41" s="21"/>
      <c r="D41" s="21"/>
      <c r="E41" s="21"/>
      <c r="F41" s="21"/>
      <c r="G41" s="179"/>
      <c r="H41" s="179"/>
    </row>
    <row r="42" customFormat="false" ht="19.5" hidden="false" customHeight="true" outlineLevel="0" collapsed="false">
      <c r="A42" s="79" t="s">
        <v>2277</v>
      </c>
      <c r="B42" s="21" t="n">
        <f aca="false">IF($H$22="","(chưa chọn)",IFERROR(VLOOKUP($H$22,'DL02. Khách tiềm năng'!$A:$T,18,FALSE()),""))</f>
        <v>0</v>
      </c>
      <c r="C42" s="21"/>
      <c r="D42" s="21"/>
      <c r="E42" s="21"/>
      <c r="F42" s="21"/>
      <c r="G42" s="179"/>
      <c r="H42" s="179"/>
    </row>
    <row r="43" customFormat="false" ht="19.5" hidden="false" customHeight="true" outlineLevel="0" collapsed="false">
      <c r="A43" s="79" t="s">
        <v>2502</v>
      </c>
      <c r="B43" s="21" t="str">
        <f aca="false">IF($H$22="","(chưa chọn)",IFERROR(VLOOKUP($H$22,'DL02. Khách tiềm năng'!$A:$T,19,FALSE()),""))</f>
        <v>Lead mới từ form web</v>
      </c>
      <c r="C43" s="21"/>
      <c r="D43" s="21"/>
      <c r="E43" s="21"/>
      <c r="F43" s="21"/>
      <c r="G43" s="179"/>
      <c r="H43" s="179"/>
    </row>
    <row r="44" customFormat="false" ht="35.25" hidden="false" customHeight="true" outlineLevel="0" collapsed="false">
      <c r="A44" s="79" t="s">
        <v>3738</v>
      </c>
      <c r="B44" s="21" t="str">
        <f aca="false">IF($H$22="","(chưa chọn)",IFERROR(VLOOKUP($H$22,'DL02. Khách tiềm năng'!$A:$T,20,FALSE()),""))</f>
        <v>Lead đã giao cho NV nhưng quá 4 giờ (cấu hình slaLeadReassign_hours) chưa gọi. Việc cần làm: gọi gấp hoặc giao lại cho NV khác.</v>
      </c>
      <c r="C44" s="21"/>
      <c r="D44" s="21"/>
      <c r="E44" s="21"/>
      <c r="F44" s="21"/>
      <c r="G44" s="179"/>
      <c r="H44" s="179"/>
    </row>
    <row r="45" customFormat="false" ht="15" hidden="false" customHeight="true" outlineLevel="0" collapsed="false">
      <c r="A45" s="179"/>
      <c r="B45" s="179"/>
      <c r="C45" s="179"/>
      <c r="D45" s="179"/>
      <c r="E45" s="179"/>
      <c r="F45" s="179"/>
      <c r="G45" s="179"/>
      <c r="H45" s="179"/>
    </row>
    <row r="46" customFormat="false" ht="15" hidden="false" customHeight="true" outlineLevel="0" collapsed="false">
      <c r="A46" s="179"/>
      <c r="B46" s="179"/>
      <c r="C46" s="179"/>
      <c r="D46" s="179"/>
      <c r="E46" s="179"/>
      <c r="F46" s="179"/>
      <c r="G46" s="179"/>
      <c r="H46" s="179"/>
    </row>
    <row r="47" customFormat="false" ht="24" hidden="false" customHeight="true" outlineLevel="0" collapsed="false">
      <c r="A47" s="290" t="s">
        <v>3788</v>
      </c>
      <c r="B47" s="290"/>
      <c r="C47" s="290"/>
      <c r="D47" s="290"/>
      <c r="E47" s="290"/>
      <c r="F47" s="290"/>
      <c r="G47" s="179"/>
      <c r="H47" s="179"/>
    </row>
    <row r="48" customFormat="false" ht="25.5" hidden="false" customHeight="true" outlineLevel="0" collapsed="false">
      <c r="A48" s="79" t="s">
        <v>3789</v>
      </c>
      <c r="B48" s="79"/>
      <c r="C48" s="289" t="n">
        <f aca="false">IF($H$22="","",COUNTIF('DL03. Đặt lịch test'!B:B,$H$22))</f>
        <v>0</v>
      </c>
      <c r="D48" s="79" t="s">
        <v>3790</v>
      </c>
      <c r="E48" s="79"/>
      <c r="F48" s="289" t="n">
        <f aca="false">IF($H$22="","",COUNTIF('DL04. Tư vấn'!B:B,$H$22))</f>
        <v>0</v>
      </c>
      <c r="G48" s="179"/>
      <c r="H48" s="179"/>
    </row>
    <row r="49" customFormat="false" ht="25.5" hidden="false" customHeight="true" outlineLevel="0" collapsed="false">
      <c r="A49" s="79" t="s">
        <v>3791</v>
      </c>
      <c r="B49" s="79"/>
      <c r="C49" s="289" t="str">
        <f aca="false">IF($H$22="","",IF(COUNTIF('DL06. Đăng ký'!C:C,$H$22)&gt;0,"Đã đăng ký","Chưa"))</f>
        <v>Chưa</v>
      </c>
      <c r="D49" s="79" t="s">
        <v>3792</v>
      </c>
      <c r="E49" s="79"/>
      <c r="F49" s="289" t="str">
        <f aca="false">IFERROR(__xludf.dummyfunction("IF($H$22="""","""",IFERROR(INDEX(filter('DL03. Đặt lịch test'!K4:K503,'DL03. Đặt lịch test'!B4:B503=$H$22),1),""-""))"),"-")</f>
        <v>-</v>
      </c>
      <c r="G49" s="179"/>
      <c r="H49" s="179"/>
    </row>
    <row r="50" customFormat="false" ht="15" hidden="false" customHeight="true" outlineLevel="0" collapsed="false">
      <c r="A50" s="179"/>
      <c r="B50" s="179"/>
      <c r="C50" s="179"/>
      <c r="D50" s="179"/>
      <c r="E50" s="179"/>
      <c r="F50" s="179"/>
      <c r="G50" s="179"/>
      <c r="H50" s="179"/>
    </row>
    <row r="51" customFormat="false" ht="24" hidden="false" customHeight="true" outlineLevel="0" collapsed="false">
      <c r="A51" s="290" t="s">
        <v>3793</v>
      </c>
      <c r="B51" s="290"/>
      <c r="C51" s="290"/>
      <c r="D51" s="290"/>
      <c r="E51" s="290"/>
      <c r="F51" s="290"/>
      <c r="G51" s="179"/>
      <c r="H51" s="179"/>
    </row>
    <row r="52" customFormat="false" ht="19.5" hidden="false" customHeight="true" outlineLevel="0" collapsed="false">
      <c r="A52" s="282" t="s">
        <v>3794</v>
      </c>
      <c r="B52" s="282" t="s">
        <v>3250</v>
      </c>
      <c r="C52" s="282" t="s">
        <v>2497</v>
      </c>
      <c r="D52" s="282" t="s">
        <v>2694</v>
      </c>
      <c r="E52" s="282" t="s">
        <v>250</v>
      </c>
      <c r="F52" s="179"/>
      <c r="G52" s="179"/>
      <c r="H52" s="179"/>
    </row>
    <row r="53" customFormat="false" ht="18" hidden="false" customHeight="true" outlineLevel="0" collapsed="false">
      <c r="A53" s="21" t="str">
        <f aca="false">IFERROR(__xludf.dummyfunction("IF($H$22="""","""",IFERROR(INDEX(filter('DL03. Đặt lịch test'!A4:A503,'DL03. Đặt lịch test'!B4:B503=$H$22),1),""""))"),"")</f>
        <v/>
      </c>
      <c r="B53" s="178" t="str">
        <f aca="false">IFERROR(__xludf.dummyfunction("IF($H$22="""","""",IFERROR(INDEX(filter('DL03. Đặt lịch test'!C4:C503,'DL03. Đặt lịch test'!B4:B503=$H$22),1),""""))"),"")</f>
        <v/>
      </c>
      <c r="C53" s="21" t="str">
        <f aca="false">IFERROR(__xludf.dummyfunction("IF($H$22="""","""",IFERROR(INDEX(filter('DL03. Đặt lịch test'!D4:D503,'DL03. Đặt lịch test'!B4:B503=$H$22),1),""""))"),"")</f>
        <v/>
      </c>
      <c r="D53" s="21" t="str">
        <f aca="false">IFERROR(__xludf.dummyfunction("IF($H$22="""","""",IFERROR(INDEX(filter('DL03. Đặt lịch test'!K4:K503,'DL03. Đặt lịch test'!B4:B503=$H$22),1),""""))"),"")</f>
        <v/>
      </c>
      <c r="E53" s="21" t="str">
        <f aca="false">IFERROR(__xludf.dummyfunction("IF($H$22="""","""",IFERROR(INDEX(filter('DL03. Đặt lịch test'!J4:J503,'DL03. Đặt lịch test'!B4:B503=$H$22),1),""""))"),"")</f>
        <v/>
      </c>
      <c r="F53" s="179"/>
      <c r="G53" s="179"/>
      <c r="H53" s="179"/>
    </row>
    <row r="54" customFormat="false" ht="18" hidden="false" customHeight="true" outlineLevel="0" collapsed="false">
      <c r="A54" s="21" t="str">
        <f aca="false">IFERROR(__xludf.dummyfunction("IF($H$22="""","""",IFERROR(INDEX(filter('DL03. Đặt lịch test'!A4:A503,'DL03. Đặt lịch test'!B4:B503=$H$22),2),""""))"),"")</f>
        <v/>
      </c>
      <c r="B54" s="178" t="str">
        <f aca="false">IFERROR(__xludf.dummyfunction("IF($H$22="""","""",IFERROR(INDEX(filter('DL03. Đặt lịch test'!C4:C503,'DL03. Đặt lịch test'!B4:B503=$H$22),2),""""))"),"")</f>
        <v/>
      </c>
      <c r="C54" s="21" t="str">
        <f aca="false">IFERROR(__xludf.dummyfunction("IF($H$22="""","""",IFERROR(INDEX(filter('DL03. Đặt lịch test'!D4:D503,'DL03. Đặt lịch test'!B4:B503=$H$22),2),""""))"),"")</f>
        <v/>
      </c>
      <c r="D54" s="21" t="str">
        <f aca="false">IFERROR(__xludf.dummyfunction("IF($H$22="""","""",IFERROR(INDEX(filter('DL03. Đặt lịch test'!K4:K503,'DL03. Đặt lịch test'!B4:B503=$H$22),2),""""))"),"")</f>
        <v/>
      </c>
      <c r="E54" s="21" t="str">
        <f aca="false">IFERROR(__xludf.dummyfunction("IF($H$22="""","""",IFERROR(INDEX(filter('DL03. Đặt lịch test'!J4:J503,'DL03. Đặt lịch test'!B4:B503=$H$22),2),""""))"),"")</f>
        <v/>
      </c>
      <c r="F54" s="179"/>
      <c r="G54" s="179"/>
      <c r="H54" s="179"/>
    </row>
    <row r="55" customFormat="false" ht="18" hidden="false" customHeight="true" outlineLevel="0" collapsed="false">
      <c r="A55" s="21" t="str">
        <f aca="false">IFERROR(__xludf.dummyfunction("IF($H$22="""","""",IFERROR(INDEX(filter('DL03. Đặt lịch test'!A4:A503,'DL03. Đặt lịch test'!B4:B503=$H$22),3),""""))"),"")</f>
        <v/>
      </c>
      <c r="B55" s="178" t="str">
        <f aca="false">IFERROR(__xludf.dummyfunction("IF($H$22="""","""",IFERROR(INDEX(filter('DL03. Đặt lịch test'!C4:C503,'DL03. Đặt lịch test'!B4:B503=$H$22),3),""""))"),"")</f>
        <v/>
      </c>
      <c r="C55" s="21" t="str">
        <f aca="false">IFERROR(__xludf.dummyfunction("IF($H$22="""","""",IFERROR(INDEX(filter('DL03. Đặt lịch test'!D4:D503,'DL03. Đặt lịch test'!B4:B503=$H$22),3),""""))"),"")</f>
        <v/>
      </c>
      <c r="D55" s="21" t="str">
        <f aca="false">IFERROR(__xludf.dummyfunction("IF($H$22="""","""",IFERROR(INDEX(filter('DL03. Đặt lịch test'!K4:K503,'DL03. Đặt lịch test'!B4:B503=$H$22),3),""""))"),"")</f>
        <v/>
      </c>
      <c r="E55" s="21" t="str">
        <f aca="false">IFERROR(__xludf.dummyfunction("IF($H$22="""","""",IFERROR(INDEX(filter('DL03. Đặt lịch test'!J4:J503,'DL03. Đặt lịch test'!B4:B503=$H$22),3),""""))"),"")</f>
        <v/>
      </c>
      <c r="F55" s="179"/>
      <c r="G55" s="179"/>
      <c r="H55" s="179"/>
    </row>
    <row r="56" customFormat="false" ht="18" hidden="false" customHeight="true" outlineLevel="0" collapsed="false">
      <c r="A56" s="21" t="str">
        <f aca="false">IFERROR(__xludf.dummyfunction("IF($H$22="""","""",IFERROR(INDEX(filter('DL03. Đặt lịch test'!A4:A503,'DL03. Đặt lịch test'!B4:B503=$H$22),4),""""))"),"")</f>
        <v/>
      </c>
      <c r="B56" s="178" t="str">
        <f aca="false">IFERROR(__xludf.dummyfunction("IF($H$22="""","""",IFERROR(INDEX(filter('DL03. Đặt lịch test'!C4:C503,'DL03. Đặt lịch test'!B4:B503=$H$22),4),""""))"),"")</f>
        <v/>
      </c>
      <c r="C56" s="21" t="str">
        <f aca="false">IFERROR(__xludf.dummyfunction("IF($H$22="""","""",IFERROR(INDEX(filter('DL03. Đặt lịch test'!D4:D503,'DL03. Đặt lịch test'!B4:B503=$H$22),4),""""))"),"")</f>
        <v/>
      </c>
      <c r="D56" s="21" t="str">
        <f aca="false">IFERROR(__xludf.dummyfunction("IF($H$22="""","""",IFERROR(INDEX(filter('DL03. Đặt lịch test'!K4:K503,'DL03. Đặt lịch test'!B4:B503=$H$22),4),""""))"),"")</f>
        <v/>
      </c>
      <c r="E56" s="21" t="str">
        <f aca="false">IFERROR(__xludf.dummyfunction("IF($H$22="""","""",IFERROR(INDEX(filter('DL03. Đặt lịch test'!J4:J503,'DL03. Đặt lịch test'!B4:B503=$H$22),4),""""))"),"")</f>
        <v/>
      </c>
      <c r="F56" s="179"/>
      <c r="G56" s="179"/>
      <c r="H56" s="179"/>
    </row>
    <row r="57" customFormat="false" ht="15" hidden="false" customHeight="true" outlineLevel="0" collapsed="false">
      <c r="A57" s="179"/>
      <c r="B57" s="179"/>
      <c r="C57" s="179"/>
      <c r="D57" s="179"/>
      <c r="E57" s="179"/>
      <c r="F57" s="179"/>
      <c r="G57" s="179"/>
      <c r="H57" s="179"/>
    </row>
    <row r="58" customFormat="false" ht="24" hidden="false" customHeight="true" outlineLevel="0" collapsed="false">
      <c r="A58" s="290" t="s">
        <v>3795</v>
      </c>
      <c r="B58" s="290"/>
      <c r="C58" s="290"/>
      <c r="D58" s="290"/>
      <c r="E58" s="290"/>
      <c r="F58" s="290"/>
      <c r="G58" s="179"/>
      <c r="H58" s="179"/>
    </row>
    <row r="59" customFormat="false" ht="19.5" hidden="false" customHeight="true" outlineLevel="0" collapsed="false">
      <c r="A59" s="282" t="s">
        <v>3796</v>
      </c>
      <c r="B59" s="282" t="s">
        <v>255</v>
      </c>
      <c r="C59" s="282" t="s">
        <v>2737</v>
      </c>
      <c r="D59" s="282" t="s">
        <v>3439</v>
      </c>
      <c r="E59" s="179"/>
      <c r="F59" s="179"/>
      <c r="G59" s="179"/>
      <c r="H59" s="179"/>
    </row>
    <row r="60" customFormat="false" ht="18" hidden="false" customHeight="true" outlineLevel="0" collapsed="false">
      <c r="A60" s="21" t="str">
        <f aca="false">IFERROR(__xludf.dummyfunction("IF($H$22="""","""",IFERROR(INDEX(filter('DL04. Tư vấn'!A4:A503,'DL04. Tư vấn'!B4:B503=$H$22),1),""""))"),"")</f>
        <v/>
      </c>
      <c r="B60" s="21" t="str">
        <f aca="false">IFERROR(__xludf.dummyfunction("IF($H$22="""","""",IFERROR(INDEX(filter('DL04. Tư vấn'!D4:D503,'DL04. Tư vấn'!B4:B503=$H$22),1),""""))"),"")</f>
        <v/>
      </c>
      <c r="C60" s="21" t="str">
        <f aca="false">IFERROR(__xludf.dummyfunction("IF($H$22="""","""",IFERROR(INDEX(filter('DL04. Tư vấn'!G4:G503,'DL04. Tư vấn'!B4:B503=$H$22),1),""""))"),"")</f>
        <v/>
      </c>
      <c r="D60" s="21" t="str">
        <f aca="false">IFERROR(__xludf.dummyfunction("IF($H$22="""","""",IFERROR(INDEX(filter('DL04. Tư vấn'!K4:K503,'DL04. Tư vấn'!B4:B503=$H$22),1),""""))"),"")</f>
        <v/>
      </c>
      <c r="E60" s="179"/>
      <c r="F60" s="179"/>
      <c r="G60" s="179"/>
      <c r="H60" s="179"/>
    </row>
    <row r="61" customFormat="false" ht="18" hidden="false" customHeight="true" outlineLevel="0" collapsed="false">
      <c r="A61" s="21" t="str">
        <f aca="false">IFERROR(__xludf.dummyfunction("IF($H$22="""","""",IFERROR(INDEX(filter('DL04. Tư vấn'!A4:A503,'DL04. Tư vấn'!B4:B503=$H$22),2),""""))"),"")</f>
        <v/>
      </c>
      <c r="B61" s="21" t="str">
        <f aca="false">IFERROR(__xludf.dummyfunction("IF($H$22="""","""",IFERROR(INDEX(filter('DL04. Tư vấn'!D4:D503,'DL04. Tư vấn'!B4:B503=$H$22),2),""""))"),"")</f>
        <v/>
      </c>
      <c r="C61" s="21" t="str">
        <f aca="false">IFERROR(__xludf.dummyfunction("IF($H$22="""","""",IFERROR(INDEX(filter('DL04. Tư vấn'!G4:G503,'DL04. Tư vấn'!B4:B503=$H$22),2),""""))"),"")</f>
        <v/>
      </c>
      <c r="D61" s="21" t="str">
        <f aca="false">IFERROR(__xludf.dummyfunction("IF($H$22="""","""",IFERROR(INDEX(filter('DL04. Tư vấn'!K4:K503,'DL04. Tư vấn'!B4:B503=$H$22),2),""""))"),"")</f>
        <v/>
      </c>
      <c r="E61" s="179"/>
      <c r="F61" s="179"/>
      <c r="G61" s="179"/>
      <c r="H61" s="179"/>
    </row>
    <row r="62" customFormat="false" ht="18" hidden="false" customHeight="true" outlineLevel="0" collapsed="false">
      <c r="A62" s="21" t="str">
        <f aca="false">IFERROR(__xludf.dummyfunction("IF($H$22="""","""",IFERROR(INDEX(filter('DL04. Tư vấn'!A4:A503,'DL04. Tư vấn'!B4:B503=$H$22),3),""""))"),"")</f>
        <v/>
      </c>
      <c r="B62" s="21" t="str">
        <f aca="false">IFERROR(__xludf.dummyfunction("IF($H$22="""","""",IFERROR(INDEX(filter('DL04. Tư vấn'!D4:D503,'DL04. Tư vấn'!B4:B503=$H$22),3),""""))"),"")</f>
        <v/>
      </c>
      <c r="C62" s="21" t="str">
        <f aca="false">IFERROR(__xludf.dummyfunction("IF($H$22="""","""",IFERROR(INDEX(filter('DL04. Tư vấn'!G4:G503,'DL04. Tư vấn'!B4:B503=$H$22),3),""""))"),"")</f>
        <v/>
      </c>
      <c r="D62" s="21" t="str">
        <f aca="false">IFERROR(__xludf.dummyfunction("IF($H$22="""","""",IFERROR(INDEX(filter('DL04. Tư vấn'!K4:K503,'DL04. Tư vấn'!B4:B503=$H$22),3),""""))"),"")</f>
        <v/>
      </c>
      <c r="E62" s="179"/>
      <c r="F62" s="179"/>
      <c r="G62" s="179"/>
      <c r="H62" s="179"/>
    </row>
    <row r="63" customFormat="false" ht="18" hidden="false" customHeight="true" outlineLevel="0" collapsed="false">
      <c r="A63" s="21" t="str">
        <f aca="false">IFERROR(__xludf.dummyfunction("IF($H$22="""","""",IFERROR(INDEX(filter('DL04. Tư vấn'!A4:A503,'DL04. Tư vấn'!B4:B503=$H$22),4),""""))"),"")</f>
        <v/>
      </c>
      <c r="B63" s="21" t="str">
        <f aca="false">IFERROR(__xludf.dummyfunction("IF($H$22="""","""",IFERROR(INDEX(filter('DL04. Tư vấn'!D4:D503,'DL04. Tư vấn'!B4:B503=$H$22),4),""""))"),"")</f>
        <v/>
      </c>
      <c r="C63" s="21" t="str">
        <f aca="false">IFERROR(__xludf.dummyfunction("IF($H$22="""","""",IFERROR(INDEX(filter('DL04. Tư vấn'!G4:G503,'DL04. Tư vấn'!B4:B503=$H$22),4),""""))"),"")</f>
        <v/>
      </c>
      <c r="D63" s="21" t="str">
        <f aca="false">IFERROR(__xludf.dummyfunction("IF($H$22="""","""",IFERROR(INDEX(filter('DL04. Tư vấn'!K4:K503,'DL04. Tư vấn'!B4:B503=$H$22),4),""""))"),"")</f>
        <v/>
      </c>
      <c r="E63" s="179"/>
      <c r="F63" s="179"/>
      <c r="G63" s="179"/>
      <c r="H63" s="179"/>
    </row>
    <row r="64" customFormat="false" ht="15" hidden="false" customHeight="true" outlineLevel="0" collapsed="false">
      <c r="A64" s="179"/>
      <c r="B64" s="179"/>
      <c r="C64" s="179"/>
      <c r="D64" s="179"/>
      <c r="E64" s="179"/>
      <c r="F64" s="179"/>
      <c r="G64" s="179"/>
      <c r="H64" s="179"/>
    </row>
    <row r="65" customFormat="false" ht="24" hidden="false" customHeight="true" outlineLevel="0" collapsed="false">
      <c r="A65" s="290" t="s">
        <v>3797</v>
      </c>
      <c r="B65" s="290"/>
      <c r="C65" s="290"/>
      <c r="D65" s="290"/>
      <c r="E65" s="290"/>
      <c r="F65" s="290"/>
      <c r="G65" s="179"/>
      <c r="H65" s="179"/>
    </row>
    <row r="66" customFormat="false" ht="19.5" hidden="false" customHeight="true" outlineLevel="0" collapsed="false">
      <c r="A66" s="282" t="s">
        <v>3747</v>
      </c>
      <c r="B66" s="282" t="s">
        <v>3060</v>
      </c>
      <c r="C66" s="282" t="s">
        <v>3798</v>
      </c>
      <c r="D66" s="282" t="s">
        <v>250</v>
      </c>
      <c r="E66" s="179"/>
      <c r="F66" s="179"/>
      <c r="G66" s="179"/>
      <c r="H66" s="179"/>
    </row>
    <row r="67" customFormat="false" ht="18" hidden="false" customHeight="true" outlineLevel="0" collapsed="false">
      <c r="A67" s="21" t="str">
        <f aca="false">IFERROR(__xludf.dummyfunction("IF($H$22="""","""",IFERROR(INDEX(filter('DL06. Đăng ký'!A4:A503,'DL06. Đăng ký'!C4:C503=$H$22),1),""""))"),"")</f>
        <v/>
      </c>
      <c r="B67" s="21" t="str">
        <f aca="false">IFERROR(__xludf.dummyfunction("IF($H$22="""","""",IFERROR(INDEX(filter('DL06. Đăng ký'!B4:B503,'DL06. Đăng ký'!C4:C503=$H$22),1),""""))"),"")</f>
        <v/>
      </c>
      <c r="C67" s="21" t="str">
        <f aca="false">IFERROR(__xludf.dummyfunction("IF($H$22="""","""",IFERROR(INDEX(filter('DL06. Đăng ký'!E4:E503,'DL06. Đăng ký'!C4:C503=$H$22),1),""""))"),"")</f>
        <v/>
      </c>
      <c r="D67" s="21" t="str">
        <f aca="false">IFERROR(__xludf.dummyfunction("IF($H$22="""","""",IFERROR(INDEX(filter('DL06. Đăng ký'!F4:F503,'DL06. Đăng ký'!C4:C503=$H$22),1),""""))"),"")</f>
        <v/>
      </c>
      <c r="E67" s="179"/>
      <c r="F67" s="179"/>
      <c r="G67" s="179"/>
      <c r="H67" s="179"/>
    </row>
    <row r="68" customFormat="false" ht="18" hidden="false" customHeight="true" outlineLevel="0" collapsed="false">
      <c r="A68" s="21" t="str">
        <f aca="false">IFERROR(__xludf.dummyfunction("IF($H$22="""","""",IFERROR(INDEX(filter('DL06. Đăng ký'!A4:A503,'DL06. Đăng ký'!C4:C503=$H$22),2),""""))"),"")</f>
        <v/>
      </c>
      <c r="B68" s="21" t="str">
        <f aca="false">IFERROR(__xludf.dummyfunction("IF($H$22="""","""",IFERROR(INDEX(filter('DL06. Đăng ký'!B4:B503,'DL06. Đăng ký'!C4:C503=$H$22),2),""""))"),"")</f>
        <v/>
      </c>
      <c r="C68" s="21" t="str">
        <f aca="false">IFERROR(__xludf.dummyfunction("IF($H$22="""","""",IFERROR(INDEX(filter('DL06. Đăng ký'!E4:E503,'DL06. Đăng ký'!C4:C503=$H$22),2),""""))"),"")</f>
        <v/>
      </c>
      <c r="D68" s="21" t="str">
        <f aca="false">IFERROR(__xludf.dummyfunction("IF($H$22="""","""",IFERROR(INDEX(filter('DL06. Đăng ký'!F4:F503,'DL06. Đăng ký'!C4:C503=$H$22),2),""""))"),"")</f>
        <v/>
      </c>
      <c r="E68" s="179"/>
      <c r="F68" s="179"/>
      <c r="G68" s="179"/>
      <c r="H68" s="179"/>
    </row>
    <row r="69" customFormat="false" ht="18" hidden="false" customHeight="true" outlineLevel="0" collapsed="false">
      <c r="A69" s="21" t="str">
        <f aca="false">IFERROR(__xludf.dummyfunction("IF($H$22="""","""",IFERROR(INDEX(filter('DL06. Đăng ký'!A4:A503,'DL06. Đăng ký'!C4:C503=$H$22),3),""""))"),"")</f>
        <v/>
      </c>
      <c r="B69" s="21" t="str">
        <f aca="false">IFERROR(__xludf.dummyfunction("IF($H$22="""","""",IFERROR(INDEX(filter('DL06. Đăng ký'!B4:B503,'DL06. Đăng ký'!C4:C503=$H$22),3),""""))"),"")</f>
        <v/>
      </c>
      <c r="C69" s="21" t="str">
        <f aca="false">IFERROR(__xludf.dummyfunction("IF($H$22="""","""",IFERROR(INDEX(filter('DL06. Đăng ký'!E4:E503,'DL06. Đăng ký'!C4:C503=$H$22),3),""""))"),"")</f>
        <v/>
      </c>
      <c r="D69" s="21" t="str">
        <f aca="false">IFERROR(__xludf.dummyfunction("IF($H$22="""","""",IFERROR(INDEX(filter('DL06. Đăng ký'!F4:F503,'DL06. Đăng ký'!C4:C503=$H$22),3),""""))"),"")</f>
        <v/>
      </c>
      <c r="E69" s="179"/>
      <c r="F69" s="179"/>
      <c r="G69" s="179"/>
      <c r="H69" s="179"/>
    </row>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4">
    <mergeCell ref="A1:F1"/>
    <mergeCell ref="A3:B3"/>
    <mergeCell ref="C3:E3"/>
    <mergeCell ref="A22:B22"/>
    <mergeCell ref="C22:F22"/>
    <mergeCell ref="A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A47:F47"/>
    <mergeCell ref="A48:B48"/>
    <mergeCell ref="D48:E48"/>
    <mergeCell ref="A49:B49"/>
    <mergeCell ref="D49:E49"/>
    <mergeCell ref="A51:F51"/>
    <mergeCell ref="A58:F58"/>
    <mergeCell ref="A65:F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W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9.86"/>
    <col collapsed="false" customWidth="true" hidden="false" outlineLevel="0" max="2" min="2" style="1" width="15.29"/>
    <col collapsed="false" customWidth="true" hidden="false" outlineLevel="0" max="3" min="3" style="1" width="41"/>
    <col collapsed="false" customWidth="true" hidden="false" outlineLevel="0" max="4" min="4" style="1" width="8"/>
    <col collapsed="false" customWidth="true" hidden="false" outlineLevel="0" max="5" min="5" style="1" width="14.57"/>
    <col collapsed="false" customWidth="true" hidden="false" outlineLevel="0" max="6" min="6" style="1" width="11.71"/>
    <col collapsed="false" customWidth="true" hidden="false" outlineLevel="0" max="7" min="7" style="1" width="31.71"/>
    <col collapsed="false" customWidth="true" hidden="false" outlineLevel="0" max="8" min="8" style="1" width="50.71"/>
    <col collapsed="false" customWidth="true" hidden="false" outlineLevel="0" max="9" min="9" style="1" width="52.43"/>
    <col collapsed="false" customWidth="true" hidden="false" outlineLevel="0" max="23" min="10" style="1" width="8.71"/>
  </cols>
  <sheetData>
    <row r="1" customFormat="false" ht="31.5" hidden="false" customHeight="true" outlineLevel="0" collapsed="false">
      <c r="A1" s="303" t="s">
        <v>3799</v>
      </c>
      <c r="B1" s="303"/>
      <c r="C1" s="303"/>
      <c r="D1" s="303"/>
      <c r="E1" s="303"/>
      <c r="F1" s="303"/>
      <c r="G1" s="303"/>
      <c r="H1" s="303"/>
      <c r="I1" s="4"/>
      <c r="J1" s="4"/>
      <c r="K1" s="4"/>
      <c r="L1" s="4"/>
      <c r="M1" s="4"/>
      <c r="N1" s="4"/>
      <c r="O1" s="4"/>
      <c r="P1" s="4"/>
      <c r="Q1" s="4"/>
      <c r="R1" s="4"/>
      <c r="S1" s="4"/>
      <c r="T1" s="4"/>
      <c r="U1" s="4"/>
      <c r="V1" s="4"/>
      <c r="W1" s="4"/>
    </row>
    <row r="2" customFormat="false" ht="31.5" hidden="false" customHeight="true" outlineLevel="0" collapsed="false">
      <c r="A2" s="3" t="s">
        <v>3800</v>
      </c>
      <c r="B2" s="3"/>
      <c r="C2" s="3"/>
      <c r="D2" s="3"/>
      <c r="E2" s="3"/>
      <c r="F2" s="3"/>
      <c r="G2" s="3"/>
      <c r="H2" s="3"/>
      <c r="I2" s="4"/>
      <c r="J2" s="4"/>
      <c r="K2" s="4"/>
      <c r="L2" s="4"/>
      <c r="M2" s="4"/>
      <c r="N2" s="4"/>
      <c r="O2" s="4"/>
      <c r="P2" s="4"/>
      <c r="Q2" s="4"/>
      <c r="R2" s="4"/>
      <c r="S2" s="4"/>
      <c r="T2" s="4"/>
      <c r="U2" s="4"/>
      <c r="V2" s="4"/>
      <c r="W2" s="4"/>
    </row>
    <row r="3" customFormat="false" ht="24" hidden="false" customHeight="true" outlineLevel="0" collapsed="false">
      <c r="A3" s="20" t="s">
        <v>837</v>
      </c>
      <c r="B3" s="20" t="s">
        <v>3709</v>
      </c>
      <c r="C3" s="20" t="s">
        <v>2500</v>
      </c>
      <c r="D3" s="20" t="s">
        <v>2020</v>
      </c>
      <c r="E3" s="20" t="s">
        <v>3801</v>
      </c>
      <c r="F3" s="20" t="s">
        <v>3802</v>
      </c>
      <c r="G3" s="20" t="s">
        <v>3803</v>
      </c>
      <c r="H3" s="20" t="s">
        <v>2503</v>
      </c>
      <c r="I3" s="20" t="s">
        <v>2503</v>
      </c>
      <c r="J3" s="4"/>
      <c r="K3" s="4"/>
      <c r="L3" s="4"/>
      <c r="M3" s="4"/>
      <c r="N3" s="4"/>
      <c r="O3" s="4"/>
      <c r="P3" s="4"/>
      <c r="Q3" s="4"/>
      <c r="R3" s="4"/>
      <c r="S3" s="4"/>
      <c r="T3" s="4"/>
      <c r="U3" s="4"/>
      <c r="V3" s="4"/>
      <c r="W3" s="4"/>
    </row>
    <row r="4" customFormat="false" ht="58.5" hidden="false" customHeight="true" outlineLevel="0" collapsed="false">
      <c r="A4" s="185" t="str">
        <f aca="false">IFERROR(__xludf.dummyfunction("IFERROR(filter({'DL02. Khách tiềm năng'!A4:A500,'DL02. Khách tiềm năng'!E4:E500,'DL02. Khách tiềm năng'!P4:P500,'DL02. Khách tiềm năng'!C4:C500,'DL02. Khách tiềm năng'!D4:D500,'DL02. Khách tiềm năng'!Q4:Q500,'DL02. Khách tiềm năng'!S4:S500,'DL02. Khách ti"&amp;"ềm năng'!T4:T500},('DL02. Khách tiềm năng'!Q4:Q500&lt;=TODAY()+1)*('DL02. Khách tiềm năng'!Q4:Q500&gt;0)*(NOT(ISNUMBER(SEARCH(""rejected"",'DL02. Khách tiềm năng'!P4:P500))))*(NOT(ISNUMBER(SEARCH(""unreachable"",'DL02. Khách tiềm năng'!P4:P500))))),""Không có l"&amp;"ead cần follow-up hôm nay"")"),"L-2026-00003")</f>
        <v>L-2026-00003</v>
      </c>
      <c r="B4" s="4" t="str">
        <f aca="false">IFERROR(__xludf.dummyfunction("""COMPUTED_VALUE"""),"Lý Mỹ Linh")</f>
        <v>Lý Mỹ Linh</v>
      </c>
      <c r="C4" s="4" t="str">
        <f aca="false">IFERROR(__xludf.dummyfunction("""COMPUTED_VALUE"""),"contacted (Đã liên hệ, đang khai thác)")</f>
        <v>contacted (Đã liên hệ, đang khai thác)</v>
      </c>
      <c r="D4" s="304" t="str">
        <f aca="false">IFERROR(__xludf.dummyfunction("""COMPUTED_VALUE"""),"NV023")</f>
        <v>NV023</v>
      </c>
      <c r="E4" s="4" t="n">
        <f aca="false">IFERROR(__xludf.dummyfunction("""COMPUTED_VALUE"""),46206.4166666667)</f>
        <v>46206.4166666667</v>
      </c>
      <c r="F4" s="4" t="n">
        <f aca="false">IFERROR(__xludf.dummyfunction("""COMPUTED_VALUE"""),46208.375)</f>
        <v>46208.375</v>
      </c>
      <c r="G4" s="4" t="str">
        <f aca="false">IFERROR(__xludf.dummyfunction("""COMPUTED_VALUE"""),"Đã gọi, hẹn gọi lại hôm nay")</f>
        <v>Đã gọi, hẹn gọi lại hôm nay</v>
      </c>
      <c r="H4" s="253" t="str">
        <f aca="false">IFERROR(__xludf.dummyfunction("""COMPUTED_VALUE"""),"Sắp tới hẹn theo dõi lead (trong vòng 24 giờ). Việc cần làm: chuẩn bị liên hệ khách.")</f>
        <v>Sắp tới hẹn theo dõi lead (trong vòng 24 giờ). Việc cần làm: chuẩn bị liên hệ khách.</v>
      </c>
      <c r="I4" s="4"/>
      <c r="J4" s="4"/>
      <c r="K4" s="4"/>
      <c r="L4" s="4"/>
      <c r="M4" s="4"/>
      <c r="N4" s="4"/>
      <c r="O4" s="4"/>
      <c r="P4" s="4"/>
      <c r="Q4" s="4"/>
      <c r="R4" s="4"/>
      <c r="S4" s="4"/>
      <c r="T4" s="4"/>
      <c r="U4" s="4"/>
      <c r="V4" s="4"/>
      <c r="W4" s="4"/>
    </row>
    <row r="5" customFormat="false" ht="58.5" hidden="false" customHeight="true" outlineLevel="0" collapsed="false">
      <c r="A5" s="4" t="str">
        <f aca="false">IFERROR(__xludf.dummyfunction("""COMPUTED_VALUE"""),"L-2026-00005")</f>
        <v>L-2026-00005</v>
      </c>
      <c r="B5" s="4" t="str">
        <f aca="false">IFERROR(__xludf.dummyfunction("""COMPUTED_VALUE"""),"Cao Thị Oanh")</f>
        <v>Cao Thị Oanh</v>
      </c>
      <c r="C5" s="4" t="str">
        <f aca="false">IFERROR(__xludf.dummyfunction("""COMPUTED_VALUE"""),"considering (Đang cân nhắc)")</f>
        <v>considering (Đang cân nhắc)</v>
      </c>
      <c r="D5" s="304" t="str">
        <f aca="false">IFERROR(__xludf.dummyfunction("""COMPUTED_VALUE"""),"NV025")</f>
        <v>NV025</v>
      </c>
      <c r="E5" s="4" t="n">
        <f aca="false">IFERROR(__xludf.dummyfunction("""COMPUTED_VALUE"""),46202.5833333333)</f>
        <v>46202.5833333333</v>
      </c>
      <c r="F5" s="4" t="n">
        <f aca="false">IFERROR(__xludf.dummyfunction("""COMPUTED_VALUE"""),46207.375)</f>
        <v>46207.375</v>
      </c>
      <c r="G5" s="4" t="str">
        <f aca="false">IFERROR(__xludf.dummyfunction("""COMPUTED_VALUE"""),"Đã tư vấn, đang cân nhắc giá")</f>
        <v>Đã tư vấn, đang cân nhắc giá</v>
      </c>
      <c r="H5" s="253" t="str">
        <f aca="false">IFERROR(__xludf.dummyfunction("""COMPUTED_VALUE"""),"Sắp tới hẹn theo dõi lead (trong vòng 24 giờ). Việc cần làm: chuẩn bị liên hệ khách.")</f>
        <v>Sắp tới hẹn theo dõi lead (trong vòng 24 giờ). Việc cần làm: chuẩn bị liên hệ khách.</v>
      </c>
      <c r="I5" s="4"/>
      <c r="J5" s="4"/>
      <c r="K5" s="4"/>
      <c r="L5" s="4"/>
      <c r="M5" s="4"/>
      <c r="N5" s="4"/>
      <c r="O5" s="4"/>
      <c r="P5" s="4"/>
      <c r="Q5" s="4"/>
      <c r="R5" s="4"/>
      <c r="S5" s="4"/>
      <c r="T5" s="4"/>
      <c r="U5" s="4"/>
      <c r="V5" s="4"/>
      <c r="W5" s="4"/>
    </row>
    <row r="6" customFormat="false" ht="15" hidden="false" customHeight="true" outlineLevel="0" collapsed="false">
      <c r="A6" s="4"/>
      <c r="B6" s="4"/>
      <c r="C6" s="4"/>
      <c r="D6" s="4"/>
      <c r="E6" s="4"/>
      <c r="F6" s="4"/>
      <c r="G6" s="4"/>
      <c r="H6" s="4"/>
      <c r="I6" s="4"/>
      <c r="J6" s="4"/>
      <c r="K6" s="4"/>
      <c r="L6" s="4"/>
      <c r="M6" s="4"/>
      <c r="N6" s="4"/>
      <c r="O6" s="4"/>
      <c r="P6" s="4"/>
      <c r="Q6" s="4"/>
      <c r="R6" s="4"/>
      <c r="S6" s="4"/>
      <c r="T6" s="4"/>
      <c r="U6" s="4"/>
      <c r="V6" s="4"/>
      <c r="W6" s="4"/>
    </row>
    <row r="7" customFormat="false" ht="15" hidden="false" customHeight="true" outlineLevel="0" collapsed="false">
      <c r="A7" s="4"/>
      <c r="B7" s="4"/>
      <c r="C7" s="4"/>
      <c r="D7" s="4"/>
      <c r="E7" s="4"/>
      <c r="F7" s="4"/>
      <c r="G7" s="4"/>
      <c r="H7" s="4"/>
      <c r="I7" s="4"/>
      <c r="J7" s="4"/>
      <c r="K7" s="4"/>
      <c r="L7" s="4"/>
      <c r="M7" s="4"/>
      <c r="N7" s="4"/>
      <c r="O7" s="4"/>
      <c r="P7" s="4"/>
      <c r="Q7" s="4"/>
      <c r="R7" s="4"/>
      <c r="S7" s="4"/>
      <c r="T7" s="4"/>
      <c r="U7" s="4"/>
      <c r="V7" s="4"/>
      <c r="W7" s="4"/>
    </row>
    <row r="8" customFormat="false" ht="15" hidden="false" customHeight="true" outlineLevel="0" collapsed="false">
      <c r="A8" s="4"/>
      <c r="B8" s="4"/>
      <c r="C8" s="4"/>
      <c r="D8" s="4"/>
      <c r="E8" s="4"/>
      <c r="F8" s="4"/>
      <c r="G8" s="4"/>
      <c r="H8" s="4"/>
      <c r="I8" s="4"/>
      <c r="J8" s="4"/>
      <c r="K8" s="4"/>
      <c r="L8" s="4"/>
      <c r="M8" s="4"/>
      <c r="N8" s="4"/>
      <c r="O8" s="4"/>
      <c r="P8" s="4"/>
      <c r="Q8" s="4"/>
      <c r="R8" s="4"/>
      <c r="S8" s="4"/>
      <c r="T8" s="4"/>
      <c r="U8" s="4"/>
      <c r="V8" s="4"/>
      <c r="W8" s="4"/>
    </row>
    <row r="9" customFormat="false" ht="15" hidden="false" customHeight="true" outlineLevel="0" collapsed="false">
      <c r="A9" s="4"/>
      <c r="B9" s="4"/>
      <c r="C9" s="4"/>
      <c r="D9" s="4"/>
      <c r="E9" s="4"/>
      <c r="F9" s="4"/>
      <c r="G9" s="4"/>
      <c r="H9" s="4"/>
      <c r="I9" s="4"/>
      <c r="J9" s="4"/>
      <c r="K9" s="4"/>
      <c r="L9" s="4"/>
      <c r="M9" s="4"/>
      <c r="N9" s="4"/>
      <c r="O9" s="4"/>
      <c r="P9" s="4"/>
      <c r="Q9" s="4"/>
      <c r="R9" s="4"/>
      <c r="S9" s="4"/>
      <c r="T9" s="4"/>
      <c r="U9" s="4"/>
      <c r="V9" s="4"/>
      <c r="W9" s="4"/>
    </row>
    <row r="10" customFormat="false" ht="15" hidden="false" customHeight="true" outlineLevel="0" collapsed="false">
      <c r="A10" s="4"/>
      <c r="B10" s="4"/>
      <c r="C10" s="4"/>
      <c r="D10" s="4"/>
      <c r="E10" s="4"/>
      <c r="F10" s="4"/>
      <c r="G10" s="4"/>
      <c r="H10" s="4"/>
      <c r="I10" s="4"/>
      <c r="J10" s="4"/>
      <c r="K10" s="4"/>
      <c r="L10" s="4"/>
      <c r="M10" s="4"/>
      <c r="N10" s="4"/>
      <c r="O10" s="4"/>
      <c r="P10" s="4"/>
      <c r="Q10" s="4"/>
      <c r="R10" s="4"/>
      <c r="S10" s="4"/>
      <c r="T10" s="4"/>
      <c r="U10" s="4"/>
      <c r="V10" s="4"/>
      <c r="W10" s="4"/>
    </row>
    <row r="11" customFormat="false" ht="15" hidden="false" customHeight="true" outlineLevel="0" collapsed="false">
      <c r="A11" s="4"/>
      <c r="B11" s="4"/>
      <c r="C11" s="4"/>
      <c r="D11" s="4"/>
      <c r="E11" s="4"/>
      <c r="F11" s="4"/>
      <c r="G11" s="4"/>
      <c r="H11" s="4"/>
      <c r="I11" s="4"/>
      <c r="J11" s="4"/>
      <c r="K11" s="4"/>
      <c r="L11" s="4"/>
      <c r="M11" s="4"/>
      <c r="N11" s="4"/>
      <c r="O11" s="4"/>
      <c r="P11" s="4"/>
      <c r="Q11" s="4"/>
      <c r="R11" s="4"/>
      <c r="S11" s="4"/>
      <c r="T11" s="4"/>
      <c r="U11" s="4"/>
      <c r="V11" s="4"/>
      <c r="W11" s="4"/>
    </row>
    <row r="12" customFormat="false" ht="15" hidden="false" customHeight="true" outlineLevel="0" collapsed="false">
      <c r="A12" s="4"/>
      <c r="B12" s="4"/>
      <c r="C12" s="4"/>
      <c r="D12" s="4"/>
      <c r="E12" s="4"/>
      <c r="F12" s="4"/>
      <c r="G12" s="4"/>
      <c r="H12" s="4"/>
      <c r="I12" s="4"/>
      <c r="J12" s="4"/>
      <c r="K12" s="4"/>
      <c r="L12" s="4"/>
      <c r="M12" s="4"/>
      <c r="N12" s="4"/>
      <c r="O12" s="4"/>
      <c r="P12" s="4"/>
      <c r="Q12" s="4"/>
      <c r="R12" s="4"/>
      <c r="S12" s="4"/>
      <c r="T12" s="4"/>
      <c r="U12" s="4"/>
      <c r="V12" s="4"/>
      <c r="W12" s="4"/>
    </row>
    <row r="13" customFormat="false" ht="15" hidden="false" customHeight="true" outlineLevel="0" collapsed="false">
      <c r="A13" s="4"/>
      <c r="B13" s="4"/>
      <c r="C13" s="4"/>
      <c r="D13" s="4"/>
      <c r="E13" s="4"/>
      <c r="F13" s="4"/>
      <c r="G13" s="4"/>
      <c r="H13" s="4"/>
      <c r="I13" s="4"/>
      <c r="J13" s="4"/>
      <c r="K13" s="4"/>
      <c r="L13" s="4"/>
      <c r="M13" s="4"/>
      <c r="N13" s="4"/>
      <c r="O13" s="4"/>
      <c r="P13" s="4"/>
      <c r="Q13" s="4"/>
      <c r="R13" s="4"/>
      <c r="S13" s="4"/>
      <c r="T13" s="4"/>
      <c r="U13" s="4"/>
      <c r="V13" s="4"/>
      <c r="W13" s="4"/>
    </row>
    <row r="14" customFormat="false" ht="15" hidden="false" customHeight="true" outlineLevel="0" collapsed="false">
      <c r="A14" s="4"/>
      <c r="B14" s="4"/>
      <c r="C14" s="4"/>
      <c r="D14" s="4"/>
      <c r="E14" s="4"/>
      <c r="F14" s="4"/>
      <c r="G14" s="4"/>
      <c r="H14" s="4"/>
      <c r="I14" s="4"/>
      <c r="J14" s="4"/>
      <c r="K14" s="4"/>
      <c r="L14" s="4"/>
      <c r="M14" s="4"/>
      <c r="N14" s="4"/>
      <c r="O14" s="4"/>
      <c r="P14" s="4"/>
      <c r="Q14" s="4"/>
      <c r="R14" s="4"/>
      <c r="S14" s="4"/>
      <c r="T14" s="4"/>
      <c r="U14" s="4"/>
      <c r="V14" s="4"/>
      <c r="W14" s="4"/>
    </row>
    <row r="15" customFormat="false" ht="15" hidden="false" customHeight="true" outlineLevel="0" collapsed="false">
      <c r="A15" s="4"/>
      <c r="B15" s="4"/>
      <c r="C15" s="4"/>
      <c r="D15" s="4"/>
      <c r="E15" s="4"/>
      <c r="F15" s="4"/>
      <c r="G15" s="4"/>
      <c r="H15" s="4"/>
      <c r="I15" s="4"/>
      <c r="J15" s="4"/>
      <c r="K15" s="4"/>
      <c r="L15" s="4"/>
      <c r="M15" s="4"/>
      <c r="N15" s="4"/>
      <c r="O15" s="4"/>
      <c r="P15" s="4"/>
      <c r="Q15" s="4"/>
      <c r="R15" s="4"/>
      <c r="S15" s="4"/>
      <c r="T15" s="4"/>
      <c r="U15" s="4"/>
      <c r="V15" s="4"/>
      <c r="W15" s="4"/>
    </row>
    <row r="16" customFormat="false" ht="1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row>
    <row r="17" customFormat="false" ht="1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row>
    <row r="18" customFormat="false" ht="15"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row>
    <row r="19" customFormat="false" ht="15" hidden="false" customHeight="true" outlineLevel="0" collapsed="false">
      <c r="A19" s="4"/>
      <c r="B19" s="4"/>
      <c r="C19" s="4"/>
      <c r="D19" s="4"/>
      <c r="E19" s="4"/>
      <c r="F19" s="4"/>
      <c r="G19" s="4"/>
      <c r="H19" s="4"/>
      <c r="I19" s="4"/>
      <c r="J19" s="4"/>
      <c r="K19" s="4"/>
      <c r="L19" s="4"/>
      <c r="M19" s="4"/>
      <c r="N19" s="4"/>
      <c r="O19" s="4"/>
      <c r="P19" s="4"/>
      <c r="Q19" s="4"/>
      <c r="R19" s="4"/>
      <c r="S19" s="4"/>
      <c r="T19" s="4"/>
      <c r="U19" s="4"/>
      <c r="V19" s="4"/>
      <c r="W19" s="4"/>
    </row>
    <row r="20" customFormat="false" ht="1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row>
    <row r="21" customFormat="false" ht="15.7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row>
    <row r="22" customFormat="false" ht="15.7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row>
    <row r="23" customFormat="false" ht="15.7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row>
    <row r="24" customFormat="false" ht="15.7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row>
    <row r="25" customFormat="false" ht="15.7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row>
    <row r="26" customFormat="false" ht="15.7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row>
    <row r="27" customFormat="false" ht="15.7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row>
    <row r="28" customFormat="false" ht="15.7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row>
    <row r="41" customFormat="false" ht="15.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row>
    <row r="51" customFormat="false" ht="15.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mergeCells count="2">
    <mergeCell ref="A1:H1"/>
    <mergeCell ref="A2:H2"/>
  </mergeCells>
  <hyperlinks>
    <hyperlink ref="D4" r:id="rId2" location="gid=606075505&amp;range=A25" display="https://docs.google.com/spreadsheets/d/1OAJPbddbH3P62_oGNEZ0zuI5DCfJQM46VUyOex5GixE/edit#gid=606075505&amp;range=A25"/>
    <hyperlink ref="D5" r:id="rId3" location="gid=606075505&amp;range=A27" display="https://docs.google.com/spreadsheets/d/1OAJPbddbH3P62_oGNEZ0zuI5DCfJQM46VUyOex5GixE/edit#gid=606075505&amp;range=A2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4"/>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W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29"/>
    <col collapsed="false" customWidth="true" hidden="false" outlineLevel="0" max="2" min="2" style="1" width="21.29"/>
    <col collapsed="false" customWidth="true" hidden="false" outlineLevel="0" max="3" min="3" style="1" width="27.15"/>
    <col collapsed="false" customWidth="true" hidden="false" outlineLevel="0" max="4" min="4" style="1" width="25.85"/>
    <col collapsed="false" customWidth="true" hidden="false" outlineLevel="0" max="5" min="5" style="1" width="34.14"/>
    <col collapsed="false" customWidth="true" hidden="false" outlineLevel="0" max="6" min="6" style="1" width="39.29"/>
    <col collapsed="false" customWidth="true" hidden="false" outlineLevel="0" max="7" min="7" style="1" width="31.71"/>
    <col collapsed="false" customWidth="true" hidden="false" outlineLevel="0" max="8" min="8" style="1" width="52.43"/>
    <col collapsed="false" customWidth="true" hidden="false" outlineLevel="0" max="9" min="9" style="1" width="34.43"/>
    <col collapsed="false" customWidth="true" hidden="false" outlineLevel="0" max="23" min="10" style="1" width="8.71"/>
  </cols>
  <sheetData>
    <row r="1" customFormat="false" ht="31.5" hidden="false" customHeight="true" outlineLevel="0" collapsed="false">
      <c r="A1" s="305" t="s">
        <v>3804</v>
      </c>
      <c r="B1" s="305"/>
      <c r="C1" s="305"/>
      <c r="D1" s="305"/>
      <c r="E1" s="305"/>
      <c r="F1" s="305"/>
      <c r="G1" s="305"/>
      <c r="H1" s="305"/>
      <c r="I1" s="305"/>
      <c r="J1" s="4"/>
      <c r="K1" s="4"/>
      <c r="L1" s="4"/>
      <c r="M1" s="4"/>
      <c r="N1" s="4"/>
      <c r="O1" s="4"/>
      <c r="P1" s="4"/>
      <c r="Q1" s="4"/>
      <c r="R1" s="4"/>
      <c r="S1" s="4"/>
      <c r="T1" s="4"/>
      <c r="U1" s="4"/>
      <c r="V1" s="4"/>
      <c r="W1" s="4"/>
    </row>
    <row r="2" customFormat="false" ht="31.5" hidden="false" customHeight="true" outlineLevel="0" collapsed="false">
      <c r="A2" s="3" t="s">
        <v>3800</v>
      </c>
      <c r="B2" s="3"/>
      <c r="C2" s="3"/>
      <c r="D2" s="3"/>
      <c r="E2" s="3"/>
      <c r="F2" s="3"/>
      <c r="G2" s="3"/>
      <c r="H2" s="3"/>
      <c r="I2" s="3"/>
      <c r="J2" s="4"/>
      <c r="K2" s="4"/>
      <c r="L2" s="4"/>
      <c r="M2" s="4"/>
      <c r="N2" s="4"/>
      <c r="O2" s="4"/>
      <c r="P2" s="4"/>
      <c r="Q2" s="4"/>
      <c r="R2" s="4"/>
      <c r="S2" s="4"/>
      <c r="T2" s="4"/>
      <c r="U2" s="4"/>
      <c r="V2" s="4"/>
      <c r="W2" s="4"/>
    </row>
    <row r="3" customFormat="false" ht="24" hidden="false" customHeight="true" outlineLevel="0" collapsed="false">
      <c r="A3" s="306" t="s">
        <v>2017</v>
      </c>
      <c r="B3" s="306" t="s">
        <v>3709</v>
      </c>
      <c r="C3" s="306" t="s">
        <v>3712</v>
      </c>
      <c r="D3" s="306" t="s">
        <v>3713</v>
      </c>
      <c r="E3" s="306" t="s">
        <v>3805</v>
      </c>
      <c r="F3" s="306" t="s">
        <v>3806</v>
      </c>
      <c r="G3" s="306" t="s">
        <v>3077</v>
      </c>
      <c r="H3" s="306" t="s">
        <v>2503</v>
      </c>
      <c r="I3" s="306" t="s">
        <v>2503</v>
      </c>
      <c r="J3" s="4"/>
      <c r="K3" s="4"/>
      <c r="L3" s="4"/>
      <c r="M3" s="4"/>
      <c r="N3" s="4"/>
      <c r="O3" s="4"/>
      <c r="P3" s="4"/>
      <c r="Q3" s="4"/>
      <c r="R3" s="4"/>
      <c r="S3" s="4"/>
      <c r="T3" s="4"/>
      <c r="U3" s="4"/>
      <c r="V3" s="4"/>
      <c r="W3" s="4"/>
    </row>
    <row r="4" customFormat="false" ht="65.25" hidden="false" customHeight="true" outlineLevel="0" collapsed="false">
      <c r="A4" s="307" t="str">
        <f aca="false">IFERROR(__xludf.dummyfunction("IFERROR(filter({'DL09. Học viên'!A4:A500,'DL09. Học viên'!B4:B500,'DL09. Học viên'!R4:R500,'DL09. Học viên'!S4:S500,'DL09. Học viên'!T4:T500,'DL09. Học viên'!U4:U500,'DL09. Học viên'!W4:W500,'DL09. Học viên'!AD4:AD500},(ISNUMBER(SEARCH(""at_risk"",'DL09. "&amp;"Học viên'!R4:R500))+ISNUMBER(SEARCH(""off_track"",'DL09. Học viên'!R4:R500))+ISNUMBER(SEARCH(""at_risk"",'DL09. Học viên'!S4:S500))+ISNUMBER(SEARCH(""off_track"",'DL09. Học viên'!S4:S500))&gt;0)),""Không có HV at-risk"")"),"HV003")</f>
        <v>HV003</v>
      </c>
      <c r="B4" s="4" t="str">
        <f aca="false">IFERROR(__xludf.dummyfunction("""COMPUTED_VALUE"""),"Phạm Quốc Cường")</f>
        <v>Phạm Quốc Cường</v>
      </c>
      <c r="C4" s="4" t="str">
        <f aca="false">IFERROR(__xludf.dummyfunction("""COMPUTED_VALUE"""),"at_risk (Có nguy cơ)")</f>
        <v>at_risk (Có nguy cơ)</v>
      </c>
      <c r="D4" s="4" t="str">
        <f aca="false">IFERROR(__xludf.dummyfunction("""COMPUTED_VALUE"""),"on_track (Đang tiến bộ)")</f>
        <v>on_track (Đang tiến bộ)</v>
      </c>
      <c r="E4" s="4" t="str">
        <f aca="false">IFERROR(__xludf.dummyfunction("""COMPUTED_VALUE"""),"frequent_absence (Vắng nhiều)")</f>
        <v>frequent_absence (Vắng nhiều)</v>
      </c>
      <c r="F4" s="4"/>
      <c r="G4" s="4"/>
      <c r="H4" s="253" t="str">
        <f aca="false">IFERROR(__xludf.dummyfunction("""COMPUTED_VALUE"""),"HV vắng không phép từ 2 buổi trở lên (cấu hình thresholdAtRisk_absences). Việc cần làm: đánh dấu nguy cơ chuyên cần, học vụ liên hệ HV ngay.")</f>
        <v>HV vắng không phép từ 2 buổi trở lên (cấu hình thresholdAtRisk_absences). Việc cần làm: đánh dấu nguy cơ chuyên cần, học vụ liên hệ HV ngay.</v>
      </c>
      <c r="I4" s="4"/>
      <c r="J4" s="4"/>
      <c r="K4" s="4"/>
      <c r="L4" s="4"/>
      <c r="M4" s="4"/>
      <c r="N4" s="4"/>
      <c r="O4" s="4"/>
      <c r="P4" s="4"/>
      <c r="Q4" s="4"/>
      <c r="R4" s="4"/>
      <c r="S4" s="4"/>
      <c r="T4" s="4"/>
      <c r="U4" s="4"/>
      <c r="V4" s="4"/>
      <c r="W4" s="4"/>
    </row>
    <row r="5" customFormat="false" ht="65.25" hidden="false" customHeight="true" outlineLevel="0" collapsed="false">
      <c r="A5" s="4" t="str">
        <f aca="false">IFERROR(__xludf.dummyfunction("""COMPUTED_VALUE"""),"HV004")</f>
        <v>HV004</v>
      </c>
      <c r="B5" s="4" t="str">
        <f aca="false">IFERROR(__xludf.dummyfunction("""COMPUTED_VALUE"""),"Nguyễn Thị Dung")</f>
        <v>Nguyễn Thị Dung</v>
      </c>
      <c r="C5" s="4" t="str">
        <f aca="false">IFERROR(__xludf.dummyfunction("""COMPUTED_VALUE"""),"on_track (Đang đều đặn)")</f>
        <v>on_track (Đang đều đặn)</v>
      </c>
      <c r="D5" s="4" t="str">
        <f aca="false">IFERROR(__xludf.dummyfunction("""COMPUTED_VALUE"""),"at_risk (Có nguy cơ)")</f>
        <v>at_risk (Có nguy cơ)</v>
      </c>
      <c r="E5" s="4"/>
      <c r="F5" s="4" t="str">
        <f aca="false">IFERROR(__xludf.dummyfunction("""COMPUTED_VALUE"""),"homework_missing (Không làm bài)")</f>
        <v>homework_missing (Không làm bài)</v>
      </c>
      <c r="G5" s="4"/>
      <c r="H5" s="253" t="str">
        <f aca="false">IFERROR(__xludf.dummyfunction("""COMPUTED_VALUE"""),"HV thiếu bài tập từ 3 lần trở lên (cấu hình thresholdAtRisk_hw_missing). Việc cần làm: đánh dấu nguy cơ học thuật, can thiệp ngay.")</f>
        <v>HV thiếu bài tập từ 3 lần trở lên (cấu hình thresholdAtRisk_hw_missing). Việc cần làm: đánh dấu nguy cơ học thuật, can thiệp ngay.</v>
      </c>
      <c r="I5" s="4"/>
      <c r="J5" s="4"/>
      <c r="K5" s="4"/>
      <c r="L5" s="4"/>
      <c r="M5" s="4"/>
      <c r="N5" s="4"/>
      <c r="O5" s="4"/>
      <c r="P5" s="4"/>
      <c r="Q5" s="4"/>
      <c r="R5" s="4"/>
      <c r="S5" s="4"/>
      <c r="T5" s="4"/>
      <c r="U5" s="4"/>
      <c r="V5" s="4"/>
      <c r="W5" s="4"/>
    </row>
    <row r="6" customFormat="false" ht="65.25" hidden="false" customHeight="true" outlineLevel="0" collapsed="false">
      <c r="A6" s="4" t="str">
        <f aca="false">IFERROR(__xludf.dummyfunction("""COMPUTED_VALUE"""),"HV005")</f>
        <v>HV005</v>
      </c>
      <c r="B6" s="4" t="str">
        <f aca="false">IFERROR(__xludf.dummyfunction("""COMPUTED_VALUE"""),"Võ Hoàng Em")</f>
        <v>Võ Hoàng Em</v>
      </c>
      <c r="C6" s="4" t="str">
        <f aca="false">IFERROR(__xludf.dummyfunction("""COMPUTED_VALUE"""),"off_track (Sa sút nặng)")</f>
        <v>off_track (Sa sút nặng)</v>
      </c>
      <c r="D6" s="4" t="str">
        <f aca="false">IFERROR(__xludf.dummyfunction("""COMPUTED_VALUE"""),"off_track (Lệch tiến độ)")</f>
        <v>off_track (Lệch tiến độ)</v>
      </c>
      <c r="E6" s="4" t="str">
        <f aca="false">IFERROR(__xludf.dummyfunction("""COMPUTED_VALUE"""),"frequent_absence (Vắng nhiều)")</f>
        <v>frequent_absence (Vắng nhiều)</v>
      </c>
      <c r="F6" s="4" t="str">
        <f aca="false">IFERROR(__xludf.dummyfunction("""COMPUTED_VALUE"""),"homework_missing (Không làm bài)")</f>
        <v>homework_missing (Không làm bài)</v>
      </c>
      <c r="G6" s="4"/>
      <c r="H6" s="253" t="str">
        <f aca="false">IFERROR(__xludf.dummyfunction("""COMPUTED_VALUE"""),"HV vắng không phép từ 2 buổi trở lên (cấu hình thresholdAtRisk_absences). Việc cần làm: đánh dấu nguy cơ chuyên cần, học vụ liên hệ HV ngay.")</f>
        <v>HV vắng không phép từ 2 buổi trở lên (cấu hình thresholdAtRisk_absences). Việc cần làm: đánh dấu nguy cơ chuyên cần, học vụ liên hệ HV ngay.</v>
      </c>
      <c r="I6" s="4"/>
      <c r="J6" s="4"/>
      <c r="K6" s="4"/>
      <c r="L6" s="4"/>
      <c r="M6" s="4"/>
      <c r="N6" s="4"/>
      <c r="O6" s="4"/>
      <c r="P6" s="4"/>
      <c r="Q6" s="4"/>
      <c r="R6" s="4"/>
      <c r="S6" s="4"/>
      <c r="T6" s="4"/>
      <c r="U6" s="4"/>
      <c r="V6" s="4"/>
      <c r="W6" s="4"/>
    </row>
    <row r="7" customFormat="false" ht="15" hidden="false" customHeight="true" outlineLevel="0" collapsed="false">
      <c r="A7" s="4"/>
      <c r="B7" s="4"/>
      <c r="C7" s="4"/>
      <c r="D7" s="4"/>
      <c r="E7" s="4"/>
      <c r="F7" s="4"/>
      <c r="G7" s="4"/>
      <c r="H7" s="4"/>
      <c r="I7" s="4"/>
      <c r="J7" s="4"/>
      <c r="K7" s="4"/>
      <c r="L7" s="4"/>
      <c r="M7" s="4"/>
      <c r="N7" s="4"/>
      <c r="O7" s="4"/>
      <c r="P7" s="4"/>
      <c r="Q7" s="4"/>
      <c r="R7" s="4"/>
      <c r="S7" s="4"/>
      <c r="T7" s="4"/>
      <c r="U7" s="4"/>
      <c r="V7" s="4"/>
      <c r="W7" s="4"/>
    </row>
    <row r="8" customFormat="false" ht="15" hidden="false" customHeight="true" outlineLevel="0" collapsed="false">
      <c r="A8" s="4"/>
      <c r="B8" s="4"/>
      <c r="C8" s="4"/>
      <c r="D8" s="4"/>
      <c r="E8" s="4"/>
      <c r="F8" s="4"/>
      <c r="G8" s="4"/>
      <c r="H8" s="4"/>
      <c r="I8" s="4"/>
      <c r="J8" s="4"/>
      <c r="K8" s="4"/>
      <c r="L8" s="4"/>
      <c r="M8" s="4"/>
      <c r="N8" s="4"/>
      <c r="O8" s="4"/>
      <c r="P8" s="4"/>
      <c r="Q8" s="4"/>
      <c r="R8" s="4"/>
      <c r="S8" s="4"/>
      <c r="T8" s="4"/>
      <c r="U8" s="4"/>
      <c r="V8" s="4"/>
      <c r="W8" s="4"/>
    </row>
    <row r="9" customFormat="false" ht="15" hidden="false" customHeight="true" outlineLevel="0" collapsed="false">
      <c r="A9" s="4"/>
      <c r="B9" s="4"/>
      <c r="C9" s="4"/>
      <c r="D9" s="4"/>
      <c r="E9" s="4"/>
      <c r="F9" s="4"/>
      <c r="G9" s="4"/>
      <c r="H9" s="4"/>
      <c r="I9" s="4"/>
      <c r="J9" s="4"/>
      <c r="K9" s="4"/>
      <c r="L9" s="4"/>
      <c r="M9" s="4"/>
      <c r="N9" s="4"/>
      <c r="O9" s="4"/>
      <c r="P9" s="4"/>
      <c r="Q9" s="4"/>
      <c r="R9" s="4"/>
      <c r="S9" s="4"/>
      <c r="T9" s="4"/>
      <c r="U9" s="4"/>
      <c r="V9" s="4"/>
      <c r="W9" s="4"/>
    </row>
    <row r="10" customFormat="false" ht="15" hidden="false" customHeight="true" outlineLevel="0" collapsed="false">
      <c r="A10" s="4"/>
      <c r="B10" s="4"/>
      <c r="C10" s="4"/>
      <c r="D10" s="4"/>
      <c r="E10" s="4"/>
      <c r="F10" s="4"/>
      <c r="G10" s="4"/>
      <c r="H10" s="4"/>
      <c r="I10" s="4"/>
      <c r="J10" s="4"/>
      <c r="K10" s="4"/>
      <c r="L10" s="4"/>
      <c r="M10" s="4"/>
      <c r="N10" s="4"/>
      <c r="O10" s="4"/>
      <c r="P10" s="4"/>
      <c r="Q10" s="4"/>
      <c r="R10" s="4"/>
      <c r="S10" s="4"/>
      <c r="T10" s="4"/>
      <c r="U10" s="4"/>
      <c r="V10" s="4"/>
      <c r="W10" s="4"/>
    </row>
    <row r="11" customFormat="false" ht="15" hidden="false" customHeight="true" outlineLevel="0" collapsed="false">
      <c r="A11" s="4"/>
      <c r="B11" s="4"/>
      <c r="C11" s="4"/>
      <c r="D11" s="4"/>
      <c r="E11" s="4"/>
      <c r="F11" s="4"/>
      <c r="G11" s="4"/>
      <c r="H11" s="4"/>
      <c r="I11" s="4"/>
      <c r="J11" s="4"/>
      <c r="K11" s="4"/>
      <c r="L11" s="4"/>
      <c r="M11" s="4"/>
      <c r="N11" s="4"/>
      <c r="O11" s="4"/>
      <c r="P11" s="4"/>
      <c r="Q11" s="4"/>
      <c r="R11" s="4"/>
      <c r="S11" s="4"/>
      <c r="T11" s="4"/>
      <c r="U11" s="4"/>
      <c r="V11" s="4"/>
      <c r="W11" s="4"/>
    </row>
    <row r="12" customFormat="false" ht="15" hidden="false" customHeight="true" outlineLevel="0" collapsed="false">
      <c r="A12" s="4"/>
      <c r="B12" s="4"/>
      <c r="C12" s="4"/>
      <c r="D12" s="4"/>
      <c r="E12" s="4"/>
      <c r="F12" s="4"/>
      <c r="G12" s="4"/>
      <c r="H12" s="4"/>
      <c r="I12" s="4"/>
      <c r="J12" s="4"/>
      <c r="K12" s="4"/>
      <c r="L12" s="4"/>
      <c r="M12" s="4"/>
      <c r="N12" s="4"/>
      <c r="O12" s="4"/>
      <c r="P12" s="4"/>
      <c r="Q12" s="4"/>
      <c r="R12" s="4"/>
      <c r="S12" s="4"/>
      <c r="T12" s="4"/>
      <c r="U12" s="4"/>
      <c r="V12" s="4"/>
      <c r="W12" s="4"/>
    </row>
    <row r="13" customFormat="false" ht="15" hidden="false" customHeight="true" outlineLevel="0" collapsed="false">
      <c r="A13" s="4"/>
      <c r="B13" s="4"/>
      <c r="C13" s="4"/>
      <c r="D13" s="4"/>
      <c r="E13" s="4"/>
      <c r="F13" s="4"/>
      <c r="G13" s="4"/>
      <c r="H13" s="4"/>
      <c r="I13" s="4"/>
      <c r="J13" s="4"/>
      <c r="K13" s="4"/>
      <c r="L13" s="4"/>
      <c r="M13" s="4"/>
      <c r="N13" s="4"/>
      <c r="O13" s="4"/>
      <c r="P13" s="4"/>
      <c r="Q13" s="4"/>
      <c r="R13" s="4"/>
      <c r="S13" s="4"/>
      <c r="T13" s="4"/>
      <c r="U13" s="4"/>
      <c r="V13" s="4"/>
      <c r="W13" s="4"/>
    </row>
    <row r="14" customFormat="false" ht="15" hidden="false" customHeight="true" outlineLevel="0" collapsed="false">
      <c r="A14" s="4"/>
      <c r="B14" s="4"/>
      <c r="C14" s="4"/>
      <c r="D14" s="4"/>
      <c r="E14" s="4"/>
      <c r="F14" s="4"/>
      <c r="G14" s="4"/>
      <c r="H14" s="4"/>
      <c r="I14" s="4"/>
      <c r="J14" s="4"/>
      <c r="K14" s="4"/>
      <c r="L14" s="4"/>
      <c r="M14" s="4"/>
      <c r="N14" s="4"/>
      <c r="O14" s="4"/>
      <c r="P14" s="4"/>
      <c r="Q14" s="4"/>
      <c r="R14" s="4"/>
      <c r="S14" s="4"/>
      <c r="T14" s="4"/>
      <c r="U14" s="4"/>
      <c r="V14" s="4"/>
      <c r="W14" s="4"/>
    </row>
    <row r="15" customFormat="false" ht="15" hidden="false" customHeight="true" outlineLevel="0" collapsed="false">
      <c r="A15" s="4"/>
      <c r="B15" s="4"/>
      <c r="C15" s="4"/>
      <c r="D15" s="4"/>
      <c r="E15" s="4"/>
      <c r="F15" s="4"/>
      <c r="G15" s="4"/>
      <c r="H15" s="4"/>
      <c r="I15" s="4"/>
      <c r="J15" s="4"/>
      <c r="K15" s="4"/>
      <c r="L15" s="4"/>
      <c r="M15" s="4"/>
      <c r="N15" s="4"/>
      <c r="O15" s="4"/>
      <c r="P15" s="4"/>
      <c r="Q15" s="4"/>
      <c r="R15" s="4"/>
      <c r="S15" s="4"/>
      <c r="T15" s="4"/>
      <c r="U15" s="4"/>
      <c r="V15" s="4"/>
      <c r="W15" s="4"/>
    </row>
    <row r="16" customFormat="false" ht="1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row>
    <row r="17" customFormat="false" ht="1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row>
    <row r="18" customFormat="false" ht="15"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row>
    <row r="19" customFormat="false" ht="15" hidden="false" customHeight="true" outlineLevel="0" collapsed="false">
      <c r="A19" s="4"/>
      <c r="B19" s="4"/>
      <c r="C19" s="4"/>
      <c r="D19" s="4"/>
      <c r="E19" s="4"/>
      <c r="F19" s="4"/>
      <c r="G19" s="4"/>
      <c r="H19" s="4"/>
      <c r="I19" s="4"/>
      <c r="J19" s="4"/>
      <c r="K19" s="4"/>
      <c r="L19" s="4"/>
      <c r="M19" s="4"/>
      <c r="N19" s="4"/>
      <c r="O19" s="4"/>
      <c r="P19" s="4"/>
      <c r="Q19" s="4"/>
      <c r="R19" s="4"/>
      <c r="S19" s="4"/>
      <c r="T19" s="4"/>
      <c r="U19" s="4"/>
      <c r="V19" s="4"/>
      <c r="W19" s="4"/>
    </row>
    <row r="20" customFormat="false" ht="1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row>
    <row r="21" customFormat="false" ht="15.7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row>
    <row r="22" customFormat="false" ht="15.7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row>
    <row r="23" customFormat="false" ht="15.7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row>
    <row r="24" customFormat="false" ht="15.7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row>
    <row r="25" customFormat="false" ht="15.7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row>
    <row r="26" customFormat="false" ht="15.7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row>
    <row r="27" customFormat="false" ht="15.7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row>
    <row r="28" customFormat="false" ht="15.7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row>
    <row r="41" customFormat="false" ht="15.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row>
    <row r="51" customFormat="false" ht="15.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3" min="2" style="1" width="22"/>
    <col collapsed="false" customWidth="true" hidden="false" outlineLevel="0" max="4" min="4" style="1" width="31"/>
    <col collapsed="false" customWidth="true" hidden="false" outlineLevel="0" max="5" min="5" style="1" width="21.57"/>
    <col collapsed="false" customWidth="true" hidden="false" outlineLevel="0" max="10" min="6" style="1" width="20.85"/>
    <col collapsed="false" customWidth="true" hidden="false" outlineLevel="0" max="24" min="11" style="1" width="8.71"/>
  </cols>
  <sheetData>
    <row r="1" customFormat="false" ht="31.5" hidden="false" customHeight="true" outlineLevel="0" collapsed="false">
      <c r="A1" s="308" t="s">
        <v>3807</v>
      </c>
      <c r="B1" s="308"/>
      <c r="C1" s="308"/>
      <c r="D1" s="308"/>
      <c r="E1" s="308"/>
      <c r="F1" s="308"/>
      <c r="G1" s="308"/>
      <c r="H1" s="308"/>
      <c r="I1" s="308"/>
      <c r="J1" s="308"/>
    </row>
    <row r="2" customFormat="false" ht="31.5" hidden="false" customHeight="true" outlineLevel="0" collapsed="false">
      <c r="A2" s="3" t="s">
        <v>3800</v>
      </c>
      <c r="B2" s="3"/>
      <c r="C2" s="3"/>
      <c r="D2" s="3"/>
      <c r="E2" s="3"/>
      <c r="F2" s="3"/>
      <c r="G2" s="3"/>
      <c r="H2" s="3"/>
      <c r="I2" s="3"/>
      <c r="J2" s="3"/>
    </row>
    <row r="3" customFormat="false" ht="24" hidden="false" customHeight="true" outlineLevel="0" collapsed="false">
      <c r="A3" s="20" t="s">
        <v>3808</v>
      </c>
      <c r="B3" s="20" t="s">
        <v>2027</v>
      </c>
      <c r="C3" s="20" t="s">
        <v>3809</v>
      </c>
      <c r="D3" s="20" t="s">
        <v>2497</v>
      </c>
      <c r="E3" s="20" t="s">
        <v>162</v>
      </c>
      <c r="F3" s="20" t="s">
        <v>3810</v>
      </c>
      <c r="G3" s="20" t="s">
        <v>3803</v>
      </c>
      <c r="H3" s="20" t="s">
        <v>480</v>
      </c>
      <c r="I3" s="20" t="s">
        <v>2503</v>
      </c>
      <c r="J3" s="20" t="s">
        <v>2503</v>
      </c>
    </row>
    <row r="4" customFormat="false" ht="23.25" hidden="false" customHeight="true" outlineLevel="0" collapsed="false">
      <c r="A4" s="178" t="str">
        <f aca="false">IFERROR(__xludf.dummyfunction("IFERROR(filter({'DL03. Đặt lịch test'!A4:A500,'DL03. Đặt lịch test'!B4:B500,'DL03. Đặt lịch test'!C4:C500,'DL03. Đặt lịch test'!D4:D500,'DL03. Đặt lịch test'!G4:G500,'DL03. Đặt lịch test'!S4:S500,'DL03. Đặt lịch test'!F4:F500,'DL03. Đặt lịch test'!T4:T500"&amp;",'DL03. Đặt lịch test'!U4:U500},ISNUMBER(SEARCH(""pending"",'DL03. Đặt lịch test'!J4:J500))*(ISNUMBER(SEARCH(""on_time"",'DL03. Đặt lịch test'!G4:G500))+ISNUMBER(SEARCH(""late"",'DL03. Đặt lịch test'!G4:G500))&gt;0)),""Không có test chờ chấm"")"),"TB-2026-001")</f>
        <v>TB-2026-001</v>
      </c>
      <c r="B4" s="304" t="str">
        <f aca="false">IFERROR(__xludf.dummyfunction("""COMPUTED_VALUE"""),"L-2026-00004")</f>
        <v>L-2026-00004</v>
      </c>
      <c r="C4" s="309" t="n">
        <f aca="false">IFERROR(__xludf.dummyfunction("""COMPUTED_VALUE"""),46206.375)</f>
        <v>46206.375</v>
      </c>
      <c r="D4" s="4" t="str">
        <f aca="false">IFERROR(__xludf.dummyfunction("""COMPUTED_VALUE"""),"offline (Offline tại trung tâm)")</f>
        <v>offline (Offline tại trung tâm)</v>
      </c>
      <c r="E4" s="4" t="str">
        <f aca="false">IFERROR(__xludf.dummyfunction("""COMPUTED_VALUE"""),"on_time (Đúng giờ)")</f>
        <v>on_time (Đúng giờ)</v>
      </c>
      <c r="F4" s="4"/>
      <c r="G4" s="4"/>
      <c r="H4" s="4" t="str">
        <f aca="false">IFERROR(__xludf.dummyfunction("""COMPUTED_VALUE"""),"")</f>
        <v/>
      </c>
      <c r="I4" s="179" t="str">
        <f aca="false">IFERROR(__xludf.dummyfunction("""COMPUTED_VALUE"""),"")</f>
        <v/>
      </c>
      <c r="J4" s="179"/>
    </row>
    <row r="5" customFormat="false" ht="15" hidden="false" customHeight="true" outlineLevel="0" collapsed="false">
      <c r="A5" s="179"/>
      <c r="B5" s="179"/>
      <c r="C5" s="310"/>
      <c r="D5" s="179"/>
      <c r="E5" s="179"/>
      <c r="F5" s="179"/>
      <c r="G5" s="179"/>
      <c r="H5" s="179"/>
      <c r="I5" s="179"/>
      <c r="J5" s="179"/>
    </row>
    <row r="6" customFormat="false" ht="15" hidden="false" customHeight="true" outlineLevel="0" collapsed="false">
      <c r="A6" s="179"/>
      <c r="B6" s="179"/>
      <c r="C6" s="310"/>
      <c r="D6" s="179"/>
      <c r="E6" s="179"/>
      <c r="F6" s="179"/>
      <c r="G6" s="179"/>
      <c r="H6" s="179"/>
      <c r="I6" s="179"/>
      <c r="J6" s="179"/>
    </row>
    <row r="7" customFormat="false" ht="15" hidden="false" customHeight="true" outlineLevel="0" collapsed="false">
      <c r="A7" s="179"/>
      <c r="B7" s="179"/>
      <c r="C7" s="310"/>
      <c r="D7" s="179"/>
      <c r="E7" s="179"/>
      <c r="F7" s="179"/>
      <c r="G7" s="179"/>
      <c r="H7" s="179"/>
      <c r="I7" s="179"/>
      <c r="J7" s="179"/>
    </row>
    <row r="8" customFormat="false" ht="15" hidden="false" customHeight="true" outlineLevel="0" collapsed="false">
      <c r="A8" s="179"/>
      <c r="B8" s="179"/>
      <c r="C8" s="310"/>
      <c r="D8" s="179"/>
      <c r="E8" s="179"/>
      <c r="F8" s="179"/>
      <c r="G8" s="179"/>
      <c r="H8" s="179"/>
      <c r="I8" s="179"/>
      <c r="J8" s="179"/>
    </row>
    <row r="9" customFormat="false" ht="15" hidden="false" customHeight="true" outlineLevel="0" collapsed="false">
      <c r="A9" s="179"/>
      <c r="B9" s="179"/>
      <c r="C9" s="310"/>
      <c r="D9" s="179"/>
      <c r="E9" s="179"/>
      <c r="F9" s="179"/>
      <c r="G9" s="179"/>
      <c r="H9" s="179"/>
      <c r="I9" s="179"/>
      <c r="J9" s="179"/>
    </row>
    <row r="10" customFormat="false" ht="15" hidden="false" customHeight="true" outlineLevel="0" collapsed="false">
      <c r="A10" s="179"/>
      <c r="B10" s="179"/>
      <c r="C10" s="310"/>
      <c r="D10" s="179"/>
      <c r="E10" s="179"/>
      <c r="F10" s="179"/>
      <c r="G10" s="179"/>
      <c r="H10" s="179"/>
      <c r="I10" s="179"/>
      <c r="J10" s="179"/>
    </row>
    <row r="11" customFormat="false" ht="15" hidden="false" customHeight="true" outlineLevel="0" collapsed="false">
      <c r="A11" s="179"/>
      <c r="B11" s="179"/>
      <c r="C11" s="310"/>
      <c r="D11" s="179"/>
      <c r="E11" s="179"/>
      <c r="F11" s="179"/>
      <c r="G11" s="179"/>
      <c r="H11" s="179"/>
      <c r="I11" s="179"/>
      <c r="J11" s="179"/>
    </row>
    <row r="12" customFormat="false" ht="15" hidden="false" customHeight="true" outlineLevel="0" collapsed="false">
      <c r="A12" s="179"/>
      <c r="B12" s="179"/>
      <c r="C12" s="310"/>
      <c r="D12" s="179"/>
      <c r="E12" s="179"/>
      <c r="F12" s="179"/>
      <c r="G12" s="179"/>
      <c r="H12" s="179"/>
      <c r="I12" s="179"/>
      <c r="J12" s="179"/>
    </row>
    <row r="13" customFormat="false" ht="15" hidden="false" customHeight="true" outlineLevel="0" collapsed="false">
      <c r="A13" s="179"/>
      <c r="B13" s="179"/>
      <c r="C13" s="310"/>
      <c r="D13" s="179"/>
      <c r="E13" s="179"/>
      <c r="F13" s="179"/>
      <c r="G13" s="179"/>
      <c r="H13" s="179"/>
      <c r="I13" s="179"/>
      <c r="J13" s="179"/>
    </row>
    <row r="14" customFormat="false" ht="15" hidden="false" customHeight="true" outlineLevel="0" collapsed="false">
      <c r="A14" s="179"/>
      <c r="B14" s="179"/>
      <c r="C14" s="310"/>
      <c r="D14" s="179"/>
      <c r="E14" s="179"/>
      <c r="F14" s="179"/>
      <c r="G14" s="179"/>
      <c r="H14" s="179"/>
      <c r="I14" s="179"/>
      <c r="J14" s="179"/>
    </row>
    <row r="15" customFormat="false" ht="15" hidden="false" customHeight="true" outlineLevel="0" collapsed="false">
      <c r="A15" s="179"/>
      <c r="B15" s="179"/>
      <c r="C15" s="310"/>
      <c r="D15" s="179"/>
      <c r="E15" s="179"/>
      <c r="F15" s="179"/>
      <c r="G15" s="179"/>
      <c r="H15" s="179"/>
      <c r="I15" s="179"/>
      <c r="J15" s="179"/>
    </row>
    <row r="16" customFormat="false" ht="15" hidden="false" customHeight="true" outlineLevel="0" collapsed="false">
      <c r="A16" s="179"/>
      <c r="B16" s="179"/>
      <c r="C16" s="310"/>
      <c r="D16" s="179"/>
      <c r="E16" s="179"/>
      <c r="F16" s="179"/>
      <c r="G16" s="179"/>
      <c r="H16" s="179"/>
      <c r="I16" s="179"/>
      <c r="J16" s="179"/>
    </row>
    <row r="17" customFormat="false" ht="15" hidden="false" customHeight="true" outlineLevel="0" collapsed="false">
      <c r="A17" s="179"/>
      <c r="B17" s="179"/>
      <c r="C17" s="310"/>
      <c r="D17" s="179"/>
      <c r="E17" s="179"/>
      <c r="F17" s="179"/>
      <c r="G17" s="179"/>
      <c r="H17" s="179"/>
      <c r="I17" s="179"/>
      <c r="J17" s="179"/>
    </row>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J1"/>
    <mergeCell ref="A2:J2"/>
  </mergeCells>
  <hyperlinks>
    <hyperlink ref="B4" r:id="rId2" location="gid=727390249&amp;range=A7" display="https://docs.google.com/spreadsheets/d/1OAJPbddbH3P62_oGNEZ0zuI5DCfJQM46VUyOex5GixE/edit#gid=727390249&amp;range=A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2.71"/>
    <col collapsed="false" customWidth="true" hidden="false" outlineLevel="0" max="2" min="2" style="1" width="8.29"/>
    <col collapsed="false" customWidth="true" hidden="false" outlineLevel="0" max="5" min="3" style="1" width="22.43"/>
    <col collapsed="false" customWidth="true" hidden="false" outlineLevel="0" max="6" min="6" style="1" width="32.29"/>
    <col collapsed="false" customWidth="true" hidden="false" outlineLevel="0" max="7" min="7" style="1" width="21.14"/>
    <col collapsed="false" customWidth="true" hidden="false" outlineLevel="0" max="8" min="8" style="1" width="37.29"/>
    <col collapsed="false" customWidth="true" hidden="false" outlineLevel="0" max="9" min="9" style="1" width="83.71"/>
    <col collapsed="false" customWidth="true" hidden="false" outlineLevel="0" max="10" min="10" style="1" width="34.43"/>
    <col collapsed="false" customWidth="true" hidden="false" outlineLevel="0" max="24" min="11" style="1" width="8.71"/>
  </cols>
  <sheetData>
    <row r="1" customFormat="false" ht="31.5" hidden="false" customHeight="true" outlineLevel="0" collapsed="false">
      <c r="A1" s="311" t="s">
        <v>3811</v>
      </c>
      <c r="B1" s="311"/>
      <c r="C1" s="311"/>
      <c r="D1" s="311"/>
      <c r="E1" s="311"/>
      <c r="F1" s="311"/>
      <c r="G1" s="311"/>
      <c r="H1" s="311"/>
      <c r="I1" s="311"/>
      <c r="J1" s="311"/>
      <c r="K1" s="4"/>
      <c r="L1" s="4"/>
      <c r="M1" s="4"/>
      <c r="N1" s="4"/>
      <c r="O1" s="4"/>
      <c r="P1" s="4"/>
      <c r="Q1" s="4"/>
      <c r="R1" s="4"/>
      <c r="S1" s="4"/>
      <c r="T1" s="4"/>
      <c r="U1" s="4"/>
      <c r="V1" s="4"/>
      <c r="W1" s="4"/>
      <c r="X1" s="4"/>
    </row>
    <row r="2" customFormat="false" ht="31.5" hidden="false" customHeight="true" outlineLevel="0" collapsed="false">
      <c r="A2" s="3" t="s">
        <v>3800</v>
      </c>
      <c r="B2" s="3"/>
      <c r="C2" s="3"/>
      <c r="D2" s="3"/>
      <c r="E2" s="3"/>
      <c r="F2" s="3"/>
      <c r="G2" s="3"/>
      <c r="H2" s="3"/>
      <c r="I2" s="3"/>
      <c r="J2" s="3"/>
      <c r="K2" s="4"/>
      <c r="L2" s="4"/>
      <c r="M2" s="4"/>
      <c r="N2" s="4"/>
      <c r="O2" s="4"/>
      <c r="P2" s="4"/>
      <c r="Q2" s="4"/>
      <c r="R2" s="4"/>
      <c r="S2" s="4"/>
      <c r="T2" s="4"/>
      <c r="U2" s="4"/>
      <c r="V2" s="4"/>
      <c r="W2" s="4"/>
      <c r="X2" s="4"/>
    </row>
    <row r="3" customFormat="false" ht="24" hidden="false" customHeight="true" outlineLevel="0" collapsed="false">
      <c r="A3" s="20" t="s">
        <v>3812</v>
      </c>
      <c r="B3" s="20" t="s">
        <v>2017</v>
      </c>
      <c r="C3" s="20" t="s">
        <v>856</v>
      </c>
      <c r="D3" s="20" t="s">
        <v>1092</v>
      </c>
      <c r="E3" s="20" t="s">
        <v>3813</v>
      </c>
      <c r="F3" s="20" t="s">
        <v>861</v>
      </c>
      <c r="G3" s="20" t="s">
        <v>3814</v>
      </c>
      <c r="H3" s="20" t="s">
        <v>480</v>
      </c>
      <c r="I3" s="20" t="s">
        <v>2503</v>
      </c>
      <c r="J3" s="20" t="s">
        <v>2503</v>
      </c>
      <c r="K3" s="4"/>
      <c r="L3" s="4"/>
      <c r="M3" s="4"/>
      <c r="N3" s="4"/>
      <c r="O3" s="4"/>
      <c r="P3" s="4"/>
      <c r="Q3" s="4"/>
      <c r="R3" s="4"/>
      <c r="S3" s="4"/>
      <c r="T3" s="4"/>
      <c r="U3" s="4"/>
      <c r="V3" s="4"/>
      <c r="W3" s="4"/>
      <c r="X3" s="4"/>
    </row>
    <row r="4" customFormat="false" ht="51" hidden="false" customHeight="true" outlineLevel="0" collapsed="false">
      <c r="A4" s="240" t="str">
        <f aca="false">IFERROR(__xludf.dummyfunction("IFERROR(filter({'DL06. Đăng ký'!A4:A500,'DL06. Đăng ký'!B4:B500,'DL06. Đăng ký'!M4:M500,'DL06. Đăng ký'!N4:N500,'DL06. Đăng ký'!O4:O500,'DL06. Đăng ký'!P4:P500,'DL06. Đăng ký'!G4:G500,'DL06. Đăng ký'!S4:S500,'DL06. Đăng ký'!T4:T500},(ISNUMBER(SEARCH(""par"&amp;"tial"",'DL06. Đăng ký'!P4:P500))+ISNUMBER(SEARCH(""unpaid"",'DL06. Đăng ký'!P4:P500))&gt;0)*('DL06. Đăng ký'!O4:O500&gt;0)),""Không có payment chờ thu"")"),"ENR-2026-006")</f>
        <v>ENR-2026-006</v>
      </c>
      <c r="B4" s="304" t="str">
        <f aca="false">IFERROR(__xludf.dummyfunction("""COMPUTED_VALUE"""),"HV006")</f>
        <v>HV006</v>
      </c>
      <c r="C4" s="312" t="n">
        <f aca="false">IFERROR(__xludf.dummyfunction("""COMPUTED_VALUE"""),13500000)</f>
        <v>13500000</v>
      </c>
      <c r="D4" s="312" t="n">
        <f aca="false">IFERROR(__xludf.dummyfunction("""COMPUTED_VALUE"""),5000000)</f>
        <v>5000000</v>
      </c>
      <c r="E4" s="312" t="n">
        <f aca="false">IFERROR(__xludf.dummyfunction("""COMPUTED_VALUE"""),8500000)</f>
        <v>8500000</v>
      </c>
      <c r="F4" s="4" t="str">
        <f aca="false">IFERROR(__xludf.dummyfunction("""COMPUTED_VALUE"""),"partial (Đã thanh toán 1 phần)")</f>
        <v>partial (Đã thanh toán 1 phần)</v>
      </c>
      <c r="G4" s="309" t="n">
        <f aca="false">IFERROR(__xludf.dummyfunction("""COMPUTED_VALUE"""),46192.375)</f>
        <v>46192.375</v>
      </c>
      <c r="H4" s="4" t="str">
        <f aca="false">IFERROR(__xludf.dummyfunction("""COMPUTED_VALUE"""),"")</f>
        <v/>
      </c>
      <c r="I4" s="253" t="str">
        <f aca="false">IFERROR(__xludf.dummyfunction("""COMPUTED_VALUE"""),"Khoản giảm giá vượt mức cho phép 1.000.000đ (cấu hình thresholdDiscount_approval). Việc cần làm: trình cấp trên duyệt trước khi áp dụng.")</f>
        <v>Khoản giảm giá vượt mức cho phép 1.000.000đ (cấu hình thresholdDiscount_approval). Việc cần làm: trình cấp trên duyệt trước khi áp dụng.</v>
      </c>
      <c r="J4" s="4"/>
      <c r="K4" s="4"/>
      <c r="L4" s="4"/>
      <c r="M4" s="4"/>
      <c r="N4" s="4"/>
      <c r="O4" s="4"/>
      <c r="P4" s="4"/>
      <c r="Q4" s="4"/>
      <c r="R4" s="4"/>
      <c r="S4" s="4"/>
      <c r="T4" s="4"/>
      <c r="U4" s="4"/>
      <c r="V4" s="4"/>
      <c r="W4" s="4"/>
      <c r="X4" s="4"/>
    </row>
    <row r="5" customFormat="false" ht="51" hidden="false" customHeight="true" outlineLevel="0" collapsed="false">
      <c r="A5" s="4" t="str">
        <f aca="false">IFERROR(__xludf.dummyfunction("""COMPUTED_VALUE"""),"ENR-2026-007")</f>
        <v>ENR-2026-007</v>
      </c>
      <c r="B5" s="304" t="str">
        <f aca="false">IFERROR(__xludf.dummyfunction("""COMPUTED_VALUE"""),"HV007")</f>
        <v>HV007</v>
      </c>
      <c r="C5" s="312" t="n">
        <f aca="false">IFERROR(__xludf.dummyfunction("""COMPUTED_VALUE"""),14000000)</f>
        <v>14000000</v>
      </c>
      <c r="D5" s="312" t="n">
        <f aca="false">IFERROR(__xludf.dummyfunction("""COMPUTED_VALUE"""),5000000)</f>
        <v>5000000</v>
      </c>
      <c r="E5" s="312" t="n">
        <f aca="false">IFERROR(__xludf.dummyfunction("""COMPUTED_VALUE"""),9000000)</f>
        <v>9000000</v>
      </c>
      <c r="F5" s="4" t="str">
        <f aca="false">IFERROR(__xludf.dummyfunction("""COMPUTED_VALUE"""),"partial (Đã thanh toán 1 phần)")</f>
        <v>partial (Đã thanh toán 1 phần)</v>
      </c>
      <c r="G5" s="309" t="n">
        <f aca="false">IFERROR(__xludf.dummyfunction("""COMPUTED_VALUE"""),46168.375)</f>
        <v>46168.375</v>
      </c>
      <c r="H5" s="4" t="str">
        <f aca="false">IFERROR(__xludf.dummyfunction("""COMPUTED_VALUE"""),"")</f>
        <v/>
      </c>
      <c r="I5" s="253" t="str">
        <f aca="false">IFERROR(__xludf.dummyfunction("""COMPUTED_VALUE"""),"Đăng ký đã hủy. Chính sách hoàn tiền (cấu hình): hoàn 100% nếu hủy trong 7 ngày, hoàn một phần nếu trong 14 ngày, hoàn mức thấp nếu trong 30 ngày, quá thì không hoàn. Việc cần làm: kiểm tra ngày hủy và xử lý hoàn tiền.")</f>
        <v>Đăng ký đã hủy. Chính sách hoàn tiền (cấu hình): hoàn 100% nếu hủy trong 7 ngày, hoàn một phần nếu trong 14 ngày, hoàn mức thấp nếu trong 30 ngày, quá thì không hoàn. Việc cần làm: kiểm tra ngày hủy và xử lý hoàn tiền.</v>
      </c>
      <c r="J5" s="4"/>
      <c r="K5" s="4"/>
      <c r="L5" s="4"/>
      <c r="M5" s="4"/>
      <c r="N5" s="4"/>
      <c r="O5" s="4"/>
      <c r="P5" s="4"/>
      <c r="Q5" s="4"/>
      <c r="R5" s="4"/>
      <c r="S5" s="4"/>
      <c r="T5" s="4"/>
      <c r="U5" s="4"/>
      <c r="V5" s="4"/>
      <c r="W5" s="4"/>
      <c r="X5" s="4"/>
    </row>
    <row r="6" customFormat="false" ht="51" hidden="false" customHeight="true" outlineLevel="0" collapsed="false">
      <c r="A6" s="4" t="str">
        <f aca="false">IFERROR(__xludf.dummyfunction("""COMPUTED_VALUE"""),"ENR-2026-008")</f>
        <v>ENR-2026-008</v>
      </c>
      <c r="B6" s="304" t="str">
        <f aca="false">IFERROR(__xludf.dummyfunction("""COMPUTED_VALUE"""),"HV008")</f>
        <v>HV008</v>
      </c>
      <c r="C6" s="312" t="n">
        <f aca="false">IFERROR(__xludf.dummyfunction("""COMPUTED_VALUE"""),22000000)</f>
        <v>22000000</v>
      </c>
      <c r="D6" s="312" t="n">
        <f aca="false">IFERROR(__xludf.dummyfunction("""COMPUTED_VALUE"""),5000000)</f>
        <v>5000000</v>
      </c>
      <c r="E6" s="312" t="n">
        <f aca="false">IFERROR(__xludf.dummyfunction("""COMPUTED_VALUE"""),17000000)</f>
        <v>17000000</v>
      </c>
      <c r="F6" s="4" t="str">
        <f aca="false">IFERROR(__xludf.dummyfunction("""COMPUTED_VALUE"""),"partial (Đã thanh toán 1 phần)")</f>
        <v>partial (Đã thanh toán 1 phần)</v>
      </c>
      <c r="G6" s="309" t="n">
        <f aca="false">IFERROR(__xludf.dummyfunction("""COMPUTED_VALUE"""),46203.375)</f>
        <v>46203.375</v>
      </c>
      <c r="H6" s="4" t="str">
        <f aca="false">IFERROR(__xludf.dummyfunction("""COMPUTED_VALUE"""),"")</f>
        <v/>
      </c>
      <c r="I6" s="253" t="str">
        <f aca="false">IFERROR(__xludf.dummyfunction("""COMPUTED_VALUE"""),"")</f>
        <v/>
      </c>
      <c r="J6" s="4"/>
      <c r="K6" s="4"/>
      <c r="L6" s="4"/>
      <c r="M6" s="4"/>
      <c r="N6" s="4"/>
      <c r="O6" s="4"/>
      <c r="P6" s="4"/>
      <c r="Q6" s="4"/>
      <c r="R6" s="4"/>
      <c r="S6" s="4"/>
      <c r="T6" s="4"/>
      <c r="U6" s="4"/>
      <c r="V6" s="4"/>
      <c r="W6" s="4"/>
      <c r="X6" s="4"/>
    </row>
    <row r="7" customFormat="false" ht="51" hidden="false" customHeight="true" outlineLevel="0" collapsed="false">
      <c r="A7" s="4" t="str">
        <f aca="false">IFERROR(__xludf.dummyfunction("""COMPUTED_VALUE"""),"ENR-2026-011")</f>
        <v>ENR-2026-011</v>
      </c>
      <c r="B7" s="304" t="str">
        <f aca="false">IFERROR(__xludf.dummyfunction("""COMPUTED_VALUE"""),"HV011")</f>
        <v>HV011</v>
      </c>
      <c r="C7" s="312" t="n">
        <f aca="false">IFERROR(__xludf.dummyfunction("""COMPUTED_VALUE"""),20000000)</f>
        <v>20000000</v>
      </c>
      <c r="D7" s="312" t="n">
        <f aca="false">IFERROR(__xludf.dummyfunction("""COMPUTED_VALUE"""),12000000)</f>
        <v>12000000</v>
      </c>
      <c r="E7" s="312" t="n">
        <f aca="false">IFERROR(__xludf.dummyfunction("""COMPUTED_VALUE"""),8000000)</f>
        <v>8000000</v>
      </c>
      <c r="F7" s="4" t="str">
        <f aca="false">IFERROR(__xludf.dummyfunction("""COMPUTED_VALUE"""),"partial (Đã thanh toán 1 phần)")</f>
        <v>partial (Đã thanh toán 1 phần)</v>
      </c>
      <c r="G7" s="309" t="n">
        <f aca="false">IFERROR(__xludf.dummyfunction("""COMPUTED_VALUE"""),46182.375)</f>
        <v>46182.375</v>
      </c>
      <c r="H7" s="4" t="str">
        <f aca="false">IFERROR(__xludf.dummyfunction("""COMPUTED_VALUE"""),"")</f>
        <v/>
      </c>
      <c r="I7" s="253" t="str">
        <f aca="false">IFERROR(__xludf.dummyfunction("""COMPUTED_VALUE"""),"Còn khoản học phí chưa đóng và đã quá hạn 14 ngày (cấu hình slaPayment_grace_days). Việc cần làm: nhắc HV đóng phần còn lại ngay.")</f>
        <v>Còn khoản học phí chưa đóng và đã quá hạn 14 ngày (cấu hình slaPayment_grace_days). Việc cần làm: nhắc HV đóng phần còn lại ngay.</v>
      </c>
      <c r="J7" s="4"/>
      <c r="K7" s="4"/>
      <c r="L7" s="4"/>
      <c r="M7" s="4"/>
      <c r="N7" s="4"/>
      <c r="O7" s="4"/>
      <c r="P7" s="4"/>
      <c r="Q7" s="4"/>
      <c r="R7" s="4"/>
      <c r="S7" s="4"/>
      <c r="T7" s="4"/>
      <c r="U7" s="4"/>
      <c r="V7" s="4"/>
      <c r="W7" s="4"/>
      <c r="X7" s="4"/>
    </row>
    <row r="8" customFormat="false" ht="15" hidden="false" customHeight="true" outlineLevel="0" collapsed="false">
      <c r="A8" s="4"/>
      <c r="B8" s="4"/>
      <c r="C8" s="4"/>
      <c r="D8" s="4"/>
      <c r="E8" s="4"/>
      <c r="F8" s="4"/>
      <c r="G8" s="4"/>
      <c r="H8" s="4"/>
      <c r="I8" s="253"/>
      <c r="J8" s="4"/>
      <c r="K8" s="4"/>
      <c r="L8" s="4"/>
      <c r="M8" s="4"/>
      <c r="N8" s="4"/>
      <c r="O8" s="4"/>
      <c r="P8" s="4"/>
      <c r="Q8" s="4"/>
      <c r="R8" s="4"/>
      <c r="S8" s="4"/>
      <c r="T8" s="4"/>
      <c r="U8" s="4"/>
      <c r="V8" s="4"/>
      <c r="W8" s="4"/>
      <c r="X8" s="4"/>
    </row>
    <row r="9" customFormat="false" ht="15" hidden="false" customHeight="true" outlineLevel="0" collapsed="false">
      <c r="A9" s="4"/>
      <c r="B9" s="4"/>
      <c r="C9" s="4"/>
      <c r="D9" s="4"/>
      <c r="E9" s="4"/>
      <c r="F9" s="4"/>
      <c r="G9" s="4"/>
      <c r="H9" s="4"/>
      <c r="I9" s="253"/>
      <c r="J9" s="4"/>
      <c r="K9" s="4"/>
      <c r="L9" s="4"/>
      <c r="M9" s="4"/>
      <c r="N9" s="4"/>
      <c r="O9" s="4"/>
      <c r="P9" s="4"/>
      <c r="Q9" s="4"/>
      <c r="R9" s="4"/>
      <c r="S9" s="4"/>
      <c r="T9" s="4"/>
      <c r="U9" s="4"/>
      <c r="V9" s="4"/>
      <c r="W9" s="4"/>
      <c r="X9" s="4"/>
    </row>
    <row r="10" customFormat="false" ht="15" hidden="false" customHeight="true" outlineLevel="0" collapsed="false">
      <c r="A10" s="4"/>
      <c r="B10" s="4"/>
      <c r="C10" s="4"/>
      <c r="D10" s="4"/>
      <c r="E10" s="4"/>
      <c r="F10" s="4"/>
      <c r="G10" s="4"/>
      <c r="H10" s="4"/>
      <c r="I10" s="253"/>
      <c r="J10" s="4"/>
      <c r="K10" s="4"/>
      <c r="L10" s="4"/>
      <c r="M10" s="4"/>
      <c r="N10" s="4"/>
      <c r="O10" s="4"/>
      <c r="P10" s="4"/>
      <c r="Q10" s="4"/>
      <c r="R10" s="4"/>
      <c r="S10" s="4"/>
      <c r="T10" s="4"/>
      <c r="U10" s="4"/>
      <c r="V10" s="4"/>
      <c r="W10" s="4"/>
      <c r="X10" s="4"/>
    </row>
    <row r="11" customFormat="false" ht="15" hidden="false" customHeight="true" outlineLevel="0" collapsed="false">
      <c r="A11" s="4"/>
      <c r="B11" s="4"/>
      <c r="C11" s="4"/>
      <c r="D11" s="4"/>
      <c r="E11" s="4"/>
      <c r="F11" s="4"/>
      <c r="G11" s="4"/>
      <c r="H11" s="4"/>
      <c r="I11" s="253"/>
      <c r="J11" s="4"/>
      <c r="K11" s="4"/>
      <c r="L11" s="4"/>
      <c r="M11" s="4"/>
      <c r="N11" s="4"/>
      <c r="O11" s="4"/>
      <c r="P11" s="4"/>
      <c r="Q11" s="4"/>
      <c r="R11" s="4"/>
      <c r="S11" s="4"/>
      <c r="T11" s="4"/>
      <c r="U11" s="4"/>
      <c r="V11" s="4"/>
      <c r="W11" s="4"/>
      <c r="X11" s="4"/>
    </row>
    <row r="12" customFormat="false" ht="15" hidden="false" customHeight="true" outlineLevel="0" collapsed="false">
      <c r="A12" s="4"/>
      <c r="B12" s="4"/>
      <c r="C12" s="4"/>
      <c r="D12" s="4"/>
      <c r="E12" s="4"/>
      <c r="F12" s="4"/>
      <c r="G12" s="4"/>
      <c r="H12" s="4"/>
      <c r="I12" s="253"/>
      <c r="J12" s="4"/>
      <c r="K12" s="4"/>
      <c r="L12" s="4"/>
      <c r="M12" s="4"/>
      <c r="N12" s="4"/>
      <c r="O12" s="4"/>
      <c r="P12" s="4"/>
      <c r="Q12" s="4"/>
      <c r="R12" s="4"/>
      <c r="S12" s="4"/>
      <c r="T12" s="4"/>
      <c r="U12" s="4"/>
      <c r="V12" s="4"/>
      <c r="W12" s="4"/>
      <c r="X12" s="4"/>
    </row>
    <row r="13" customFormat="false" ht="15" hidden="false" customHeight="true" outlineLevel="0" collapsed="false">
      <c r="A13" s="4"/>
      <c r="B13" s="4"/>
      <c r="C13" s="4"/>
      <c r="D13" s="4"/>
      <c r="E13" s="4"/>
      <c r="F13" s="4"/>
      <c r="G13" s="4"/>
      <c r="H13" s="4"/>
      <c r="I13" s="253"/>
      <c r="J13" s="4"/>
      <c r="K13" s="4"/>
      <c r="L13" s="4"/>
      <c r="M13" s="4"/>
      <c r="N13" s="4"/>
      <c r="O13" s="4"/>
      <c r="P13" s="4"/>
      <c r="Q13" s="4"/>
      <c r="R13" s="4"/>
      <c r="S13" s="4"/>
      <c r="T13" s="4"/>
      <c r="U13" s="4"/>
      <c r="V13" s="4"/>
      <c r="W13" s="4"/>
      <c r="X13" s="4"/>
    </row>
    <row r="14" customFormat="false" ht="15" hidden="false" customHeight="true" outlineLevel="0" collapsed="false">
      <c r="A14" s="4"/>
      <c r="B14" s="4"/>
      <c r="C14" s="4"/>
      <c r="D14" s="4"/>
      <c r="E14" s="4"/>
      <c r="F14" s="4"/>
      <c r="G14" s="4"/>
      <c r="H14" s="4"/>
      <c r="I14" s="253"/>
      <c r="J14" s="4"/>
      <c r="K14" s="4"/>
      <c r="L14" s="4"/>
      <c r="M14" s="4"/>
      <c r="N14" s="4"/>
      <c r="O14" s="4"/>
      <c r="P14" s="4"/>
      <c r="Q14" s="4"/>
      <c r="R14" s="4"/>
      <c r="S14" s="4"/>
      <c r="T14" s="4"/>
      <c r="U14" s="4"/>
      <c r="V14" s="4"/>
      <c r="W14" s="4"/>
      <c r="X14" s="4"/>
    </row>
    <row r="15" customFormat="false" ht="15" hidden="false" customHeight="true" outlineLevel="0" collapsed="false">
      <c r="A15" s="4"/>
      <c r="B15" s="4"/>
      <c r="C15" s="4"/>
      <c r="D15" s="4"/>
      <c r="E15" s="4"/>
      <c r="F15" s="4"/>
      <c r="G15" s="4"/>
      <c r="H15" s="4"/>
      <c r="I15" s="253"/>
      <c r="J15" s="4"/>
      <c r="K15" s="4"/>
      <c r="L15" s="4"/>
      <c r="M15" s="4"/>
      <c r="N15" s="4"/>
      <c r="O15" s="4"/>
      <c r="P15" s="4"/>
      <c r="Q15" s="4"/>
      <c r="R15" s="4"/>
      <c r="S15" s="4"/>
      <c r="T15" s="4"/>
      <c r="U15" s="4"/>
      <c r="V15" s="4"/>
      <c r="W15" s="4"/>
      <c r="X15" s="4"/>
    </row>
    <row r="16" customFormat="false" ht="15" hidden="false" customHeight="true" outlineLevel="0" collapsed="false">
      <c r="A16" s="4"/>
      <c r="B16" s="4"/>
      <c r="C16" s="4"/>
      <c r="D16" s="4"/>
      <c r="E16" s="4"/>
      <c r="F16" s="4"/>
      <c r="G16" s="4"/>
      <c r="H16" s="4"/>
      <c r="I16" s="253"/>
      <c r="J16" s="4"/>
      <c r="K16" s="4"/>
      <c r="L16" s="4"/>
      <c r="M16" s="4"/>
      <c r="N16" s="4"/>
      <c r="O16" s="4"/>
      <c r="P16" s="4"/>
      <c r="Q16" s="4"/>
      <c r="R16" s="4"/>
      <c r="S16" s="4"/>
      <c r="T16" s="4"/>
      <c r="U16" s="4"/>
      <c r="V16" s="4"/>
      <c r="W16" s="4"/>
      <c r="X16" s="4"/>
    </row>
    <row r="17" customFormat="false" ht="15" hidden="false" customHeight="true" outlineLevel="0" collapsed="false">
      <c r="A17" s="4"/>
      <c r="B17" s="4"/>
      <c r="C17" s="4"/>
      <c r="D17" s="4"/>
      <c r="E17" s="4"/>
      <c r="F17" s="4"/>
      <c r="G17" s="4"/>
      <c r="H17" s="4"/>
      <c r="I17" s="253"/>
      <c r="J17" s="4"/>
      <c r="K17" s="4"/>
      <c r="L17" s="4"/>
      <c r="M17" s="4"/>
      <c r="N17" s="4"/>
      <c r="O17" s="4"/>
      <c r="P17" s="4"/>
      <c r="Q17" s="4"/>
      <c r="R17" s="4"/>
      <c r="S17" s="4"/>
      <c r="T17" s="4"/>
      <c r="U17" s="4"/>
      <c r="V17" s="4"/>
      <c r="W17" s="4"/>
      <c r="X17" s="4"/>
    </row>
    <row r="18" customFormat="false" ht="15" hidden="false" customHeight="true" outlineLevel="0" collapsed="false">
      <c r="A18" s="4"/>
      <c r="B18" s="4"/>
      <c r="C18" s="4"/>
      <c r="D18" s="4"/>
      <c r="E18" s="4"/>
      <c r="F18" s="4"/>
      <c r="G18" s="4"/>
      <c r="H18" s="4"/>
      <c r="I18" s="253"/>
      <c r="J18" s="4"/>
      <c r="K18" s="4"/>
      <c r="L18" s="4"/>
      <c r="M18" s="4"/>
      <c r="N18" s="4"/>
      <c r="O18" s="4"/>
      <c r="P18" s="4"/>
      <c r="Q18" s="4"/>
      <c r="R18" s="4"/>
      <c r="S18" s="4"/>
      <c r="T18" s="4"/>
      <c r="U18" s="4"/>
      <c r="V18" s="4"/>
      <c r="W18" s="4"/>
      <c r="X18" s="4"/>
    </row>
    <row r="19" customFormat="false" ht="15" hidden="false" customHeight="true" outlineLevel="0" collapsed="false">
      <c r="A19" s="4"/>
      <c r="B19" s="4"/>
      <c r="C19" s="4"/>
      <c r="D19" s="4"/>
      <c r="E19" s="4"/>
      <c r="F19" s="4"/>
      <c r="G19" s="4"/>
      <c r="H19" s="4"/>
      <c r="I19" s="253"/>
      <c r="J19" s="4"/>
      <c r="K19" s="4"/>
      <c r="L19" s="4"/>
      <c r="M19" s="4"/>
      <c r="N19" s="4"/>
      <c r="O19" s="4"/>
      <c r="P19" s="4"/>
      <c r="Q19" s="4"/>
      <c r="R19" s="4"/>
      <c r="S19" s="4"/>
      <c r="T19" s="4"/>
      <c r="U19" s="4"/>
      <c r="V19" s="4"/>
      <c r="W19" s="4"/>
      <c r="X19" s="4"/>
    </row>
    <row r="20" customFormat="false" ht="1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c r="X20" s="4"/>
    </row>
    <row r="21" customFormat="false" ht="15.7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row>
    <row r="22" customFormat="false" ht="15.7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c r="X22" s="4"/>
    </row>
    <row r="23" customFormat="false" ht="15.7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c r="X23" s="4"/>
    </row>
    <row r="24" customFormat="false" ht="15.7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row>
    <row r="25" customFormat="false" ht="15.7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c r="X25" s="4"/>
    </row>
    <row r="26" customFormat="false" ht="15.7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c r="X26" s="4"/>
    </row>
    <row r="27" customFormat="false" ht="15.7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c r="X27" s="4"/>
    </row>
    <row r="28" customFormat="false" ht="15.7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row>
    <row r="41" customFormat="false" ht="15.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row>
    <row r="51" customFormat="false" ht="15.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sheetData>
  <mergeCells count="2">
    <mergeCell ref="A1:J1"/>
    <mergeCell ref="A2:J2"/>
  </mergeCells>
  <hyperlinks>
    <hyperlink ref="B4" r:id="rId2" location="gid=2126531056&amp;range=A9" display="https://docs.google.com/spreadsheets/d/1OAJPbddbH3P62_oGNEZ0zuI5DCfJQM46VUyOex5GixE/edit#gid=2126531056&amp;range=A9"/>
    <hyperlink ref="B5" r:id="rId3" location="gid=2126531056&amp;range=A10" display="https://docs.google.com/spreadsheets/d/1OAJPbddbH3P62_oGNEZ0zuI5DCfJQM46VUyOex5GixE/edit#gid=2126531056&amp;range=A10"/>
    <hyperlink ref="B6" r:id="rId4" location="gid=2126531056&amp;range=A11" display="https://docs.google.com/spreadsheets/d/1OAJPbddbH3P62_oGNEZ0zuI5DCfJQM46VUyOex5GixE/edit#gid=2126531056&amp;range=A11"/>
    <hyperlink ref="B7" r:id="rId5" location="gid=2126531056&amp;range=A14" display="https://docs.google.com/spreadsheets/d/1OAJPbddbH3P62_oGNEZ0zuI5DCfJQM46VUyOex5GixE/edit#gid=2126531056&amp;range=A1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1.29"/>
    <col collapsed="false" customWidth="true" hidden="false" outlineLevel="0" max="2" min="2" style="1" width="51"/>
    <col collapsed="false" customWidth="true" hidden="false" outlineLevel="0" max="3" min="3" style="1" width="17.43"/>
    <col collapsed="false" customWidth="true" hidden="false" outlineLevel="0" max="4" min="4" style="1" width="21.71"/>
    <col collapsed="false" customWidth="true" hidden="false" outlineLevel="0" max="5" min="5" style="1" width="18"/>
    <col collapsed="false" customWidth="true" hidden="false" outlineLevel="0" max="6" min="6" style="1" width="17"/>
    <col collapsed="false" customWidth="true" hidden="false" outlineLevel="0" max="7" min="7" style="1" width="11.43"/>
    <col collapsed="false" customWidth="true" hidden="false" outlineLevel="0" max="8" min="8" style="1" width="25.85"/>
    <col collapsed="false" customWidth="true" hidden="false" outlineLevel="0" max="26" min="9" style="1" width="8.71"/>
  </cols>
  <sheetData>
    <row r="1" customFormat="false" ht="31.5" hidden="false" customHeight="true" outlineLevel="0" collapsed="false">
      <c r="A1" s="313" t="str">
        <f aca="false">"LỚP SẮP KHAI GIẢNG (≤ "&amp;thresholdClassStart_days&amp;" ngày)"</f>
        <v>LỚP SẮP KHAI GIẢNG (≤ 14 ngày)</v>
      </c>
      <c r="B1" s="313"/>
      <c r="C1" s="313"/>
      <c r="D1" s="313"/>
      <c r="E1" s="313"/>
      <c r="F1" s="313"/>
      <c r="G1" s="313"/>
      <c r="H1" s="313"/>
      <c r="I1" s="4"/>
      <c r="J1" s="4"/>
      <c r="K1" s="4"/>
      <c r="L1" s="4"/>
      <c r="M1" s="4"/>
      <c r="N1" s="4"/>
      <c r="O1" s="4"/>
      <c r="P1" s="4"/>
      <c r="Q1" s="4"/>
      <c r="R1" s="4"/>
      <c r="S1" s="4"/>
      <c r="T1" s="4"/>
      <c r="U1" s="4"/>
      <c r="V1" s="4"/>
      <c r="W1" s="4"/>
      <c r="X1" s="4"/>
      <c r="Y1" s="4"/>
      <c r="Z1" s="4"/>
    </row>
    <row r="2" customFormat="false" ht="31.5" hidden="false" customHeight="true" outlineLevel="0" collapsed="false">
      <c r="A2" s="3" t="s">
        <v>3800</v>
      </c>
      <c r="B2" s="3"/>
      <c r="C2" s="3"/>
      <c r="D2" s="3"/>
      <c r="E2" s="3"/>
      <c r="F2" s="3"/>
      <c r="G2" s="3"/>
      <c r="H2" s="3"/>
      <c r="I2" s="4"/>
      <c r="J2" s="4"/>
      <c r="K2" s="4"/>
      <c r="L2" s="4"/>
      <c r="M2" s="4"/>
      <c r="N2" s="4"/>
      <c r="O2" s="4"/>
      <c r="P2" s="4"/>
      <c r="Q2" s="4"/>
      <c r="R2" s="4"/>
      <c r="S2" s="4"/>
      <c r="T2" s="4"/>
      <c r="U2" s="4"/>
      <c r="V2" s="4"/>
      <c r="W2" s="4"/>
      <c r="X2" s="4"/>
      <c r="Y2" s="4"/>
      <c r="Z2" s="4"/>
    </row>
    <row r="3" customFormat="false" ht="24" hidden="false" customHeight="true" outlineLevel="0" collapsed="false">
      <c r="A3" s="20" t="s">
        <v>3167</v>
      </c>
      <c r="B3" s="20" t="s">
        <v>3168</v>
      </c>
      <c r="C3" s="20" t="s">
        <v>3798</v>
      </c>
      <c r="D3" s="20" t="s">
        <v>3815</v>
      </c>
      <c r="E3" s="20" t="s">
        <v>3816</v>
      </c>
      <c r="F3" s="20" t="s">
        <v>3773</v>
      </c>
      <c r="G3" s="20" t="s">
        <v>313</v>
      </c>
      <c r="H3" s="20" t="s">
        <v>250</v>
      </c>
      <c r="I3" s="4"/>
      <c r="J3" s="4"/>
      <c r="K3" s="4"/>
      <c r="L3" s="4"/>
      <c r="M3" s="4"/>
      <c r="N3" s="4"/>
      <c r="O3" s="4"/>
      <c r="P3" s="4"/>
      <c r="Q3" s="4"/>
      <c r="R3" s="4"/>
      <c r="S3" s="4"/>
      <c r="T3" s="4"/>
      <c r="U3" s="4"/>
      <c r="V3" s="4"/>
      <c r="W3" s="4"/>
      <c r="X3" s="4"/>
      <c r="Y3" s="4"/>
      <c r="Z3" s="4"/>
    </row>
    <row r="4" customFormat="false" ht="33" hidden="false" customHeight="true" outlineLevel="0" collapsed="false">
      <c r="A4" s="314" t="str">
        <f aca="false">IFERROR(__xludf.dummyfunction("IFERROR(filter({'DL10. Lớp học'!A4:A500,'DL10. Lớp học'!B4:B500,'DL10. Lớp học'!C4:C500,'DL10. Lớp học'!E4:E500,'DL10. Lớp học'!F4:F500,'DL10. Lớp học'!J4:J500,'DL10. Lớp học'!H4:H500,'DL10. Lớp học'!K4:K500},('DL10. Lớp học'!F4:F500&gt;=TODAY())*('DL10. Lớp"&amp;" học'!F4:F500&lt;=TODAY()+thresholdClassStart_days)*(ISNUMBER(SEARCH(""open"",'DL10. Lớp học'!K4:K500))+ISNUMBER(SEARCH(""planning"",'DL10. Lớp học'!K4:K500))&gt;0)),""Không có lớp KG trong 14 ngày"")"),"LOP-IELTS-6.0-15")</f>
        <v>LOP-IELTS-6.0-15</v>
      </c>
      <c r="B4" s="4" t="str">
        <f aca="false">IFERROR(__xludf.dummyfunction("""COMPUTED_VALUE"""),"PRIVATE Nguyễn Loan - 36H OFF CN4 (07/2026)")</f>
        <v>PRIVATE Nguyễn Loan - 36H OFF CN4 (07/2026)</v>
      </c>
      <c r="C4" s="304" t="str">
        <f aca="false">IFERROR(__xludf.dummyfunction("""COMPUTED_VALUE"""),"CRS-IELTS-6.0")</f>
        <v>CRS-IELTS-6.0</v>
      </c>
      <c r="D4" s="4" t="str">
        <f aca="false">IFERROR(__xludf.dummyfunction("""COMPUTED_VALUE"""),"T2-T4-T6, 19h-20h30")</f>
        <v>T2-T4-T6, 19h-20h30</v>
      </c>
      <c r="E4" s="315" t="n">
        <f aca="false">IFERROR(__xludf.dummyfunction("""COMPUTED_VALUE"""),46211)</f>
        <v>46211</v>
      </c>
      <c r="F4" s="141" t="n">
        <f aca="false">IFERROR(__xludf.dummyfunction("""COMPUTED_VALUE"""),0)</f>
        <v>0</v>
      </c>
      <c r="G4" s="304" t="str">
        <f aca="false">IFERROR(__xludf.dummyfunction("""COMPUTED_VALUE"""),"NV014")</f>
        <v>NV014</v>
      </c>
      <c r="H4" s="4" t="str">
        <f aca="false">IFERROR(__xludf.dummyfunction("""COMPUTED_VALUE"""),"open (Đang tuyển sinh)")</f>
        <v>open (Đang tuyển sinh)</v>
      </c>
      <c r="I4" s="4"/>
      <c r="J4" s="4"/>
      <c r="K4" s="4"/>
      <c r="L4" s="4"/>
      <c r="M4" s="4"/>
      <c r="N4" s="4"/>
      <c r="O4" s="4"/>
      <c r="P4" s="4"/>
      <c r="Q4" s="4"/>
      <c r="R4" s="4"/>
      <c r="S4" s="4"/>
      <c r="T4" s="4"/>
      <c r="U4" s="4"/>
      <c r="V4" s="4"/>
      <c r="W4" s="4"/>
      <c r="X4" s="4"/>
      <c r="Y4" s="4"/>
      <c r="Z4" s="4"/>
    </row>
    <row r="5" customFormat="false" ht="33" hidden="false" customHeight="true" outlineLevel="0" collapsed="false">
      <c r="A5" s="4" t="str">
        <f aca="false">IFERROR(__xludf.dummyfunction("""COMPUTED_VALUE"""),"LOP-FOUND-02")</f>
        <v>LOP-FOUND-02</v>
      </c>
      <c r="B5" s="4" t="str">
        <f aca="false">IFERROR(__xludf.dummyfunction("""COMPUTED_VALUE"""),"Foundation Tối T2-T4-T6 (07/2026)")</f>
        <v>Foundation Tối T2-T4-T6 (07/2026)</v>
      </c>
      <c r="C5" s="304" t="str">
        <f aca="false">IFERROR(__xludf.dummyfunction("""COMPUTED_VALUE"""),"CRS-FOUND-01")</f>
        <v>CRS-FOUND-01</v>
      </c>
      <c r="D5" s="4" t="str">
        <f aca="false">IFERROR(__xludf.dummyfunction("""COMPUTED_VALUE"""),"T2-T4-T6, 19h-20h30")</f>
        <v>T2-T4-T6, 19h-20h30</v>
      </c>
      <c r="E5" s="315" t="n">
        <f aca="false">IFERROR(__xludf.dummyfunction("""COMPUTED_VALUE"""),46218)</f>
        <v>46218</v>
      </c>
      <c r="F5" s="141" t="n">
        <f aca="false">IFERROR(__xludf.dummyfunction("""COMPUTED_VALUE"""),0)</f>
        <v>0</v>
      </c>
      <c r="G5" s="304" t="str">
        <f aca="false">IFERROR(__xludf.dummyfunction("""COMPUTED_VALUE"""),"NV005")</f>
        <v>NV005</v>
      </c>
      <c r="H5" s="4" t="str">
        <f aca="false">IFERROR(__xludf.dummyfunction("""COMPUTED_VALUE"""),"open (Đang tuyển sinh)")</f>
        <v>open (Đang tuyển sinh)</v>
      </c>
      <c r="I5" s="4"/>
      <c r="J5" s="4"/>
      <c r="K5" s="4"/>
      <c r="L5" s="4"/>
      <c r="M5" s="4"/>
      <c r="N5" s="4"/>
      <c r="O5" s="4"/>
      <c r="P5" s="4"/>
      <c r="Q5" s="4"/>
      <c r="R5" s="4"/>
      <c r="S5" s="4"/>
      <c r="T5" s="4"/>
      <c r="U5" s="4"/>
      <c r="V5" s="4"/>
      <c r="W5" s="4"/>
      <c r="X5" s="4"/>
      <c r="Y5" s="4"/>
      <c r="Z5" s="4"/>
    </row>
    <row r="6" customFormat="false" ht="15" hidden="false" customHeight="true" outlineLevel="0" collapsed="false">
      <c r="A6" s="4"/>
      <c r="B6" s="4"/>
      <c r="C6" s="4"/>
      <c r="D6" s="4"/>
      <c r="E6" s="4"/>
      <c r="F6" s="4"/>
      <c r="G6" s="4"/>
      <c r="H6" s="4"/>
      <c r="I6" s="4"/>
      <c r="J6" s="4"/>
      <c r="K6" s="4"/>
      <c r="L6" s="4"/>
      <c r="M6" s="4"/>
      <c r="N6" s="4"/>
      <c r="O6" s="4"/>
      <c r="P6" s="4"/>
      <c r="Q6" s="4"/>
      <c r="R6" s="4"/>
      <c r="S6" s="4"/>
      <c r="T6" s="4"/>
      <c r="U6" s="4"/>
      <c r="V6" s="4"/>
      <c r="W6" s="4"/>
      <c r="X6" s="4"/>
      <c r="Y6" s="4"/>
      <c r="Z6" s="4"/>
    </row>
    <row r="7" customFormat="false" ht="15" hidden="false" customHeight="true" outlineLevel="0" collapsed="false">
      <c r="A7" s="4"/>
      <c r="B7" s="4"/>
      <c r="C7" s="4"/>
      <c r="D7" s="4"/>
      <c r="E7" s="4"/>
      <c r="F7" s="4"/>
      <c r="G7" s="4"/>
      <c r="H7" s="4"/>
      <c r="I7" s="4"/>
      <c r="J7" s="4"/>
      <c r="K7" s="4"/>
      <c r="L7" s="4"/>
      <c r="M7" s="4"/>
      <c r="N7" s="4"/>
      <c r="O7" s="4"/>
      <c r="P7" s="4"/>
      <c r="Q7" s="4"/>
      <c r="R7" s="4"/>
      <c r="S7" s="4"/>
      <c r="T7" s="4"/>
      <c r="U7" s="4"/>
      <c r="V7" s="4"/>
      <c r="W7" s="4"/>
      <c r="X7" s="4"/>
      <c r="Y7" s="4"/>
      <c r="Z7" s="4"/>
    </row>
    <row r="8" customFormat="false" ht="15" hidden="false" customHeight="true" outlineLevel="0" collapsed="false">
      <c r="A8" s="4"/>
      <c r="B8" s="4"/>
      <c r="C8" s="4"/>
      <c r="D8" s="4"/>
      <c r="E8" s="4"/>
      <c r="F8" s="4"/>
      <c r="G8" s="4"/>
      <c r="H8" s="4"/>
      <c r="I8" s="4"/>
      <c r="J8" s="4"/>
      <c r="K8" s="4"/>
      <c r="L8" s="4"/>
      <c r="M8" s="4"/>
      <c r="N8" s="4"/>
      <c r="O8" s="4"/>
      <c r="P8" s="4"/>
      <c r="Q8" s="4"/>
      <c r="R8" s="4"/>
      <c r="S8" s="4"/>
      <c r="T8" s="4"/>
      <c r="U8" s="4"/>
      <c r="V8" s="4"/>
      <c r="W8" s="4"/>
      <c r="X8" s="4"/>
      <c r="Y8" s="4"/>
      <c r="Z8" s="4"/>
    </row>
    <row r="9" customFormat="false" ht="15" hidden="false" customHeight="true" outlineLevel="0" collapsed="false">
      <c r="A9" s="4"/>
      <c r="B9" s="4"/>
      <c r="C9" s="4"/>
      <c r="D9" s="4"/>
      <c r="E9" s="4"/>
      <c r="F9" s="4"/>
      <c r="G9" s="4"/>
      <c r="H9" s="4"/>
      <c r="I9" s="4"/>
      <c r="J9" s="4"/>
      <c r="K9" s="4"/>
      <c r="L9" s="4"/>
      <c r="M9" s="4"/>
      <c r="N9" s="4"/>
      <c r="O9" s="4"/>
      <c r="P9" s="4"/>
      <c r="Q9" s="4"/>
      <c r="R9" s="4"/>
      <c r="S9" s="4"/>
      <c r="T9" s="4"/>
      <c r="U9" s="4"/>
      <c r="V9" s="4"/>
      <c r="W9" s="4"/>
      <c r="X9" s="4"/>
      <c r="Y9" s="4"/>
      <c r="Z9" s="4"/>
    </row>
    <row r="10" customFormat="false" ht="15" hidden="false" customHeight="true" outlineLevel="0" collapsed="false">
      <c r="A10" s="4"/>
      <c r="B10" s="4"/>
      <c r="C10" s="4"/>
      <c r="D10" s="4"/>
      <c r="E10" s="4"/>
      <c r="F10" s="4"/>
      <c r="G10" s="4"/>
      <c r="H10" s="4"/>
      <c r="I10" s="4"/>
      <c r="J10" s="4"/>
      <c r="K10" s="4"/>
      <c r="L10" s="4"/>
      <c r="M10" s="4"/>
      <c r="N10" s="4"/>
      <c r="O10" s="4"/>
      <c r="P10" s="4"/>
      <c r="Q10" s="4"/>
      <c r="R10" s="4"/>
      <c r="S10" s="4"/>
      <c r="T10" s="4"/>
      <c r="U10" s="4"/>
      <c r="V10" s="4"/>
      <c r="W10" s="4"/>
      <c r="X10" s="4"/>
      <c r="Y10" s="4"/>
      <c r="Z10" s="4"/>
    </row>
    <row r="11" customFormat="false" ht="15" hidden="false" customHeight="true" outlineLevel="0" collapsed="false">
      <c r="A11" s="4"/>
      <c r="B11" s="4"/>
      <c r="C11" s="4"/>
      <c r="D11" s="4"/>
      <c r="E11" s="4"/>
      <c r="F11" s="4"/>
      <c r="G11" s="4"/>
      <c r="H11" s="4"/>
      <c r="I11" s="4"/>
      <c r="J11" s="4"/>
      <c r="K11" s="4"/>
      <c r="L11" s="4"/>
      <c r="M11" s="4"/>
      <c r="N11" s="4"/>
      <c r="O11" s="4"/>
      <c r="P11" s="4"/>
      <c r="Q11" s="4"/>
      <c r="R11" s="4"/>
      <c r="S11" s="4"/>
      <c r="T11" s="4"/>
      <c r="U11" s="4"/>
      <c r="V11" s="4"/>
      <c r="W11" s="4"/>
      <c r="X11" s="4"/>
      <c r="Y11" s="4"/>
      <c r="Z11" s="4"/>
    </row>
    <row r="12" customFormat="false" ht="15" hidden="false" customHeight="true" outlineLevel="0" collapsed="false">
      <c r="A12" s="4"/>
      <c r="B12" s="4"/>
      <c r="C12" s="4"/>
      <c r="D12" s="4"/>
      <c r="E12" s="4"/>
      <c r="F12" s="4"/>
      <c r="G12" s="4"/>
      <c r="H12" s="4"/>
      <c r="I12" s="4"/>
      <c r="J12" s="4"/>
      <c r="K12" s="4"/>
      <c r="L12" s="4"/>
      <c r="M12" s="4"/>
      <c r="N12" s="4"/>
      <c r="O12" s="4"/>
      <c r="P12" s="4"/>
      <c r="Q12" s="4"/>
      <c r="R12" s="4"/>
      <c r="S12" s="4"/>
      <c r="T12" s="4"/>
      <c r="U12" s="4"/>
      <c r="V12" s="4"/>
      <c r="W12" s="4"/>
      <c r="X12" s="4"/>
      <c r="Y12" s="4"/>
      <c r="Z12" s="4"/>
    </row>
    <row r="13" customFormat="false" ht="15" hidden="false" customHeight="true" outlineLevel="0" collapsed="false">
      <c r="A13" s="4"/>
      <c r="B13" s="4"/>
      <c r="C13" s="4"/>
      <c r="D13" s="4"/>
      <c r="E13" s="4"/>
      <c r="F13" s="4"/>
      <c r="G13" s="4"/>
      <c r="H13" s="4"/>
      <c r="I13" s="4"/>
      <c r="J13" s="4"/>
      <c r="K13" s="4"/>
      <c r="L13" s="4"/>
      <c r="M13" s="4"/>
      <c r="N13" s="4"/>
      <c r="O13" s="4"/>
      <c r="P13" s="4"/>
      <c r="Q13" s="4"/>
      <c r="R13" s="4"/>
      <c r="S13" s="4"/>
      <c r="T13" s="4"/>
      <c r="U13" s="4"/>
      <c r="V13" s="4"/>
      <c r="W13" s="4"/>
      <c r="X13" s="4"/>
      <c r="Y13" s="4"/>
      <c r="Z13" s="4"/>
    </row>
    <row r="14" customFormat="false" ht="15" hidden="false" customHeight="tru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row>
    <row r="15" customFormat="false" ht="15" hidden="false" customHeight="tru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row>
    <row r="16" customFormat="false" ht="1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1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5"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5" hidden="false" customHeight="tru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5.7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5.7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5.7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5.7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5.7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H1"/>
    <mergeCell ref="A2:H2"/>
  </mergeCells>
  <hyperlinks>
    <hyperlink ref="C4" r:id="rId2" location="gid=1822988190&amp;range=A7" display="https://docs.google.com/spreadsheets/d/1OAJPbddbH3P62_oGNEZ0zuI5DCfJQM46VUyOex5GixE/edit#gid=1822988190&amp;range=A7"/>
    <hyperlink ref="G4" r:id="rId3" location="gid=606075505&amp;range=A17" display="https://docs.google.com/spreadsheets/d/1OAJPbddbH3P62_oGNEZ0zuI5DCfJQM46VUyOex5GixE/edit#gid=606075505&amp;range=A17"/>
    <hyperlink ref="C5" r:id="rId4" location="gid=1822988190&amp;range=A4" display="https://docs.google.com/spreadsheets/d/1OAJPbddbH3P62_oGNEZ0zuI5DCfJQM46VUyOex5GixE/edit#gid=1822988190&amp;range=A4"/>
    <hyperlink ref="G5" r:id="rId5" location="gid=606075505&amp;range=A8" display="https://docs.google.com/spreadsheets/d/1OAJPbddbH3P62_oGNEZ0zuI5DCfJQM46VUyOex5GixE/edit#gid=606075505&amp;range=A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9.29"/>
    <col collapsed="false" customWidth="true" hidden="false" outlineLevel="0" max="2" min="2" style="1" width="8.43"/>
    <col collapsed="false" customWidth="true" hidden="false" outlineLevel="0" max="3" min="3" style="1" width="32.57"/>
    <col collapsed="false" customWidth="true" hidden="false" outlineLevel="0" max="4" min="4" style="1" width="24.86"/>
    <col collapsed="false" customWidth="true" hidden="false" outlineLevel="0" max="5" min="5" style="1" width="29.43"/>
    <col collapsed="false" customWidth="true" hidden="false" outlineLevel="0" max="6" min="6" style="1" width="22.57"/>
    <col collapsed="false" customWidth="true" hidden="false" outlineLevel="0" max="7" min="7" style="1" width="24.57"/>
    <col collapsed="false" customWidth="true" hidden="false" outlineLevel="0" max="8" min="8" style="1" width="64.43"/>
    <col collapsed="false" customWidth="true" hidden="false" outlineLevel="0" max="9" min="9" style="1" width="38.86"/>
    <col collapsed="false" customWidth="true" hidden="false" outlineLevel="0" max="26" min="10" style="1" width="8.71"/>
  </cols>
  <sheetData>
    <row r="1" customFormat="false" ht="31.5" hidden="false" customHeight="true" outlineLevel="0" collapsed="false">
      <c r="A1" s="131" t="s">
        <v>3817</v>
      </c>
      <c r="B1" s="131"/>
      <c r="C1" s="131"/>
      <c r="D1" s="131"/>
      <c r="E1" s="131"/>
      <c r="F1" s="131"/>
      <c r="G1" s="131"/>
      <c r="H1" s="131"/>
      <c r="I1" s="131"/>
      <c r="J1" s="4"/>
      <c r="K1" s="4"/>
      <c r="L1" s="4"/>
      <c r="M1" s="4"/>
      <c r="N1" s="4"/>
      <c r="O1" s="4"/>
      <c r="P1" s="4"/>
      <c r="Q1" s="4"/>
      <c r="R1" s="4"/>
      <c r="S1" s="4"/>
      <c r="T1" s="4"/>
      <c r="U1" s="4"/>
      <c r="V1" s="4"/>
      <c r="W1" s="4"/>
      <c r="X1" s="4"/>
      <c r="Y1" s="4"/>
      <c r="Z1" s="4"/>
    </row>
    <row r="2" customFormat="false" ht="31.5" hidden="false" customHeight="true" outlineLevel="0" collapsed="false">
      <c r="A2" s="3" t="s">
        <v>3800</v>
      </c>
      <c r="B2" s="3"/>
      <c r="C2" s="3"/>
      <c r="D2" s="3"/>
      <c r="E2" s="3"/>
      <c r="F2" s="3"/>
      <c r="G2" s="3"/>
      <c r="H2" s="3"/>
      <c r="I2" s="3"/>
      <c r="J2" s="4"/>
      <c r="K2" s="4"/>
      <c r="L2" s="4"/>
      <c r="M2" s="4"/>
      <c r="N2" s="4"/>
      <c r="O2" s="4"/>
      <c r="P2" s="4"/>
      <c r="Q2" s="4"/>
      <c r="R2" s="4"/>
      <c r="S2" s="4"/>
      <c r="T2" s="4"/>
      <c r="U2" s="4"/>
      <c r="V2" s="4"/>
      <c r="W2" s="4"/>
      <c r="X2" s="4"/>
      <c r="Y2" s="4"/>
      <c r="Z2" s="4"/>
    </row>
    <row r="3" customFormat="false" ht="24" hidden="false" customHeight="true" outlineLevel="0" collapsed="false">
      <c r="A3" s="20" t="s">
        <v>2041</v>
      </c>
      <c r="B3" s="20" t="s">
        <v>2017</v>
      </c>
      <c r="C3" s="20" t="s">
        <v>470</v>
      </c>
      <c r="D3" s="20" t="s">
        <v>3589</v>
      </c>
      <c r="E3" s="20" t="s">
        <v>250</v>
      </c>
      <c r="F3" s="20" t="s">
        <v>3818</v>
      </c>
      <c r="G3" s="20" t="s">
        <v>3587</v>
      </c>
      <c r="H3" s="20" t="s">
        <v>2503</v>
      </c>
      <c r="I3" s="20" t="s">
        <v>2503</v>
      </c>
      <c r="J3" s="4"/>
      <c r="K3" s="4"/>
      <c r="L3" s="4"/>
      <c r="M3" s="4"/>
      <c r="N3" s="4"/>
      <c r="O3" s="4"/>
      <c r="P3" s="4"/>
      <c r="Q3" s="4"/>
      <c r="R3" s="4"/>
      <c r="S3" s="4"/>
      <c r="T3" s="4"/>
      <c r="U3" s="4"/>
      <c r="V3" s="4"/>
      <c r="W3" s="4"/>
      <c r="X3" s="4"/>
      <c r="Y3" s="4"/>
      <c r="Z3" s="4"/>
    </row>
    <row r="4" customFormat="false" ht="53.25" hidden="false" customHeight="true" outlineLevel="0" collapsed="false">
      <c r="A4" s="185" t="str">
        <f aca="false">IFERROR(__xludf.dummyfunction("IFERROR(filter({'DL17. Khiếu nại'!A4:A500,'DL17. Khiếu nại'!B4:B500,'DL17. Khiếu nại'!G4:G500,'DL17. Khiếu nại'!H4:H500,'DL17. Khiếu nại'!J4:J500,'DL17. Khiếu nại'!K4:K500,'DL17. Khiếu nại'!F4:F500,'DL17. Khiếu nại'!T4:T500},NOT(ISNUMBER(SEARCH(""resolved"&amp;""",'DL17. Khiếu nại'!J4:J500)))),""Không có KN đang xử lý"")"),"KN-2026-001")</f>
        <v>KN-2026-001</v>
      </c>
      <c r="B4" s="304" t="str">
        <f aca="false">IFERROR(__xludf.dummyfunction("""COMPUTED_VALUE"""),"HV005")</f>
        <v>HV005</v>
      </c>
      <c r="C4" s="4" t="str">
        <f aca="false">IFERROR(__xludf.dummyfunction("""COMPUTED_VALUE"""),"teacher (Về 1 GV cụ thể)")</f>
        <v>teacher (Về 1 GV cụ thể)</v>
      </c>
      <c r="D4" s="4" t="str">
        <f aca="false">IFERROR(__xludf.dummyfunction("""COMPUTED_VALUE"""),"high (Cao)")</f>
        <v>high (Cao)</v>
      </c>
      <c r="E4" s="4" t="str">
        <f aca="false">IFERROR(__xludf.dummyfunction("""COMPUTED_VALUE"""),"assigned (Đã phân công)")</f>
        <v>assigned (Đã phân công)</v>
      </c>
      <c r="F4" s="4"/>
      <c r="G4" s="309" t="n">
        <f aca="false">IFERROR(__xludf.dummyfunction("""COMPUTED_VALUE"""),46203.4166666667)</f>
        <v>46203.4166666667</v>
      </c>
      <c r="H4" s="253" t="str">
        <f aca="false">IFERROR(__xludf.dummyfunction("""COMPUTED_VALUE"""),"Khiếu nại mức cao đã quá 4 giờ (cấu hình slaKN_high_hours) chưa xử lý xong. Việc cần làm: quản lý tham gia xử lý gấp.")</f>
        <v>Khiếu nại mức cao đã quá 4 giờ (cấu hình slaKN_high_hours) chưa xử lý xong. Việc cần làm: quản lý tham gia xử lý gấp.</v>
      </c>
      <c r="I4" s="4"/>
      <c r="J4" s="4"/>
      <c r="K4" s="4"/>
      <c r="L4" s="4"/>
      <c r="M4" s="4"/>
      <c r="N4" s="4"/>
      <c r="O4" s="4"/>
      <c r="P4" s="4"/>
      <c r="Q4" s="4"/>
      <c r="R4" s="4"/>
      <c r="S4" s="4"/>
      <c r="T4" s="4"/>
      <c r="U4" s="4"/>
      <c r="V4" s="4"/>
      <c r="W4" s="4"/>
      <c r="X4" s="4"/>
      <c r="Y4" s="4"/>
      <c r="Z4" s="4"/>
    </row>
    <row r="5" customFormat="false" ht="53.25" hidden="false" customHeight="true" outlineLevel="0" collapsed="false">
      <c r="A5" s="4" t="str">
        <f aca="false">IFERROR(__xludf.dummyfunction("""COMPUTED_VALUE"""),"KN-2026-002")</f>
        <v>KN-2026-002</v>
      </c>
      <c r="B5" s="304" t="str">
        <f aca="false">IFERROR(__xludf.dummyfunction("""COMPUTED_VALUE"""),"HV004")</f>
        <v>HV004</v>
      </c>
      <c r="C5" s="4" t="str">
        <f aca="false">IFERROR(__xludf.dummyfunction("""COMPUTED_VALUE"""),"service (Thái độ phục vụ)")</f>
        <v>service (Thái độ phục vụ)</v>
      </c>
      <c r="D5" s="4" t="str">
        <f aca="false">IFERROR(__xludf.dummyfunction("""COMPUTED_VALUE"""),"medium (Trung bình)")</f>
        <v>medium (Trung bình)</v>
      </c>
      <c r="E5" s="4" t="str">
        <f aca="false">IFERROR(__xludf.dummyfunction("""COMPUTED_VALUE"""),"assigned (Đã phân công)")</f>
        <v>assigned (Đã phân công)</v>
      </c>
      <c r="F5" s="4"/>
      <c r="G5" s="309" t="n">
        <f aca="false">IFERROR(__xludf.dummyfunction("""COMPUTED_VALUE"""),46205.375)</f>
        <v>46205.375</v>
      </c>
      <c r="H5" s="253" t="str">
        <f aca="false">IFERROR(__xludf.dummyfunction("""COMPUTED_VALUE"""),"Khiếu nại mức trung bình đã quá 48 giờ (cấu hình slaKN_medium_hours) chưa xử lý. Việc cần làm: xử lý ngay.")</f>
        <v>Khiếu nại mức trung bình đã quá 48 giờ (cấu hình slaKN_medium_hours) chưa xử lý. Việc cần làm: xử lý ngay.</v>
      </c>
      <c r="I5" s="4"/>
      <c r="J5" s="4"/>
      <c r="K5" s="4"/>
      <c r="L5" s="4"/>
      <c r="M5" s="4"/>
      <c r="N5" s="4"/>
      <c r="O5" s="4"/>
      <c r="P5" s="4"/>
      <c r="Q5" s="4"/>
      <c r="R5" s="4"/>
      <c r="S5" s="4"/>
      <c r="T5" s="4"/>
      <c r="U5" s="4"/>
      <c r="V5" s="4"/>
      <c r="W5" s="4"/>
      <c r="X5" s="4"/>
      <c r="Y5" s="4"/>
      <c r="Z5" s="4"/>
    </row>
    <row r="6" customFormat="false" ht="53.25" hidden="false" customHeight="true" outlineLevel="0" collapsed="false">
      <c r="A6" s="4" t="str">
        <f aca="false">IFERROR(__xludf.dummyfunction("""COMPUTED_VALUE"""),"KN-2026-003")</f>
        <v>KN-2026-003</v>
      </c>
      <c r="B6" s="304" t="str">
        <f aca="false">IFERROR(__xludf.dummyfunction("""COMPUTED_VALUE"""),"HV003")</f>
        <v>HV003</v>
      </c>
      <c r="C6" s="4" t="str">
        <f aca="false">IFERROR(__xludf.dummyfunction("""COMPUTED_VALUE"""),"schedule (Lịch học)")</f>
        <v>schedule (Lịch học)</v>
      </c>
      <c r="D6" s="4" t="str">
        <f aca="false">IFERROR(__xludf.dummyfunction("""COMPUTED_VALUE"""),"low (Thấp)")</f>
        <v>low (Thấp)</v>
      </c>
      <c r="E6" s="4" t="str">
        <f aca="false">IFERROR(__xludf.dummyfunction("""COMPUTED_VALUE"""),"new (Mới tiếp nhận)")</f>
        <v>new (Mới tiếp nhận)</v>
      </c>
      <c r="F6" s="4"/>
      <c r="G6" s="309" t="n">
        <f aca="false">IFERROR(__xludf.dummyfunction("""COMPUTED_VALUE"""),46204.375)</f>
        <v>46204.375</v>
      </c>
      <c r="H6" s="253" t="str">
        <f aca="false">IFERROR(__xludf.dummyfunction("""COMPUTED_VALUE"""),"Khiếu nại mới đã quá 2 giờ (cấu hình slaKN_assignment_hours) chưa phân công người xử lý. Việc cần làm: phân công gấp.")</f>
        <v>Khiếu nại mới đã quá 2 giờ (cấu hình slaKN_assignment_hours) chưa phân công người xử lý. Việc cần làm: phân công gấp.</v>
      </c>
      <c r="I6" s="4"/>
      <c r="J6" s="4"/>
      <c r="K6" s="4"/>
      <c r="L6" s="4"/>
      <c r="M6" s="4"/>
      <c r="N6" s="4"/>
      <c r="O6" s="4"/>
      <c r="P6" s="4"/>
      <c r="Q6" s="4"/>
      <c r="R6" s="4"/>
      <c r="S6" s="4"/>
      <c r="T6" s="4"/>
      <c r="U6" s="4"/>
      <c r="V6" s="4"/>
      <c r="W6" s="4"/>
      <c r="X6" s="4"/>
      <c r="Y6" s="4"/>
      <c r="Z6" s="4"/>
    </row>
    <row r="7" customFormat="false" ht="53.25" hidden="false" customHeight="true" outlineLevel="0" collapsed="false">
      <c r="A7" s="4" t="str">
        <f aca="false">IFERROR(__xludf.dummyfunction("""COMPUTED_VALUE"""),"KN-2026-005")</f>
        <v>KN-2026-005</v>
      </c>
      <c r="B7" s="304" t="str">
        <f aca="false">IFERROR(__xludf.dummyfunction("""COMPUTED_VALUE"""),"HV006")</f>
        <v>HV006</v>
      </c>
      <c r="C7" s="4" t="str">
        <f aca="false">IFERROR(__xludf.dummyfunction("""COMPUTED_VALUE"""),"other (Khác)")</f>
        <v>other (Khác)</v>
      </c>
      <c r="D7" s="4" t="str">
        <f aca="false">IFERROR(__xludf.dummyfunction("""COMPUTED_VALUE"""),"medium (Trung bình)")</f>
        <v>medium (Trung bình)</v>
      </c>
      <c r="E7" s="4" t="str">
        <f aca="false">IFERROR(__xludf.dummyfunction("""COMPUTED_VALUE"""),"new (Mới tiếp nhận)")</f>
        <v>new (Mới tiếp nhận)</v>
      </c>
      <c r="F7" s="4"/>
      <c r="G7" s="309" t="n">
        <f aca="false">IFERROR(__xludf.dummyfunction("""COMPUTED_VALUE"""),46208.4468865741)</f>
        <v>46208.4468865741</v>
      </c>
      <c r="H7" s="253" t="str">
        <f aca="false">IFERROR(__xludf.dummyfunction("""COMPUTED_VALUE"""),"Khiếu nại mới đã quá 2 giờ (cấu hình slaKN_assignment_hours) chưa phân công người xử lý. Việc cần làm: phân công gấp.")</f>
        <v>Khiếu nại mới đã quá 2 giờ (cấu hình slaKN_assignment_hours) chưa phân công người xử lý. Việc cần làm: phân công gấp.</v>
      </c>
      <c r="I7" s="4"/>
      <c r="J7" s="4"/>
      <c r="K7" s="4"/>
      <c r="L7" s="4"/>
      <c r="M7" s="4"/>
      <c r="N7" s="4"/>
      <c r="O7" s="4"/>
      <c r="P7" s="4"/>
      <c r="Q7" s="4"/>
      <c r="R7" s="4"/>
      <c r="S7" s="4"/>
      <c r="T7" s="4"/>
      <c r="U7" s="4"/>
      <c r="V7" s="4"/>
      <c r="W7" s="4"/>
      <c r="X7" s="4"/>
      <c r="Y7" s="4"/>
      <c r="Z7" s="4"/>
    </row>
    <row r="8" customFormat="false" ht="15" hidden="false" customHeight="true" outlineLevel="0" collapsed="false">
      <c r="A8" s="4"/>
      <c r="B8" s="4"/>
      <c r="C8" s="4"/>
      <c r="D8" s="4"/>
      <c r="E8" s="4"/>
      <c r="F8" s="4"/>
      <c r="G8" s="4"/>
      <c r="H8" s="4"/>
      <c r="I8" s="4"/>
      <c r="J8" s="4"/>
      <c r="K8" s="4"/>
      <c r="L8" s="4"/>
      <c r="M8" s="4"/>
      <c r="N8" s="4"/>
      <c r="O8" s="4"/>
      <c r="P8" s="4"/>
      <c r="Q8" s="4"/>
      <c r="R8" s="4"/>
      <c r="S8" s="4"/>
      <c r="T8" s="4"/>
      <c r="U8" s="4"/>
      <c r="V8" s="4"/>
      <c r="W8" s="4"/>
      <c r="X8" s="4"/>
      <c r="Y8" s="4"/>
      <c r="Z8" s="4"/>
    </row>
    <row r="9" customFormat="false" ht="15" hidden="false" customHeight="true" outlineLevel="0" collapsed="false">
      <c r="A9" s="4"/>
      <c r="B9" s="4"/>
      <c r="C9" s="4"/>
      <c r="D9" s="4"/>
      <c r="E9" s="4"/>
      <c r="F9" s="4"/>
      <c r="G9" s="4"/>
      <c r="H9" s="4"/>
      <c r="I9" s="4"/>
      <c r="J9" s="4"/>
      <c r="K9" s="4"/>
      <c r="L9" s="4"/>
      <c r="M9" s="4"/>
      <c r="N9" s="4"/>
      <c r="O9" s="4"/>
      <c r="P9" s="4"/>
      <c r="Q9" s="4"/>
      <c r="R9" s="4"/>
      <c r="S9" s="4"/>
      <c r="T9" s="4"/>
      <c r="U9" s="4"/>
      <c r="V9" s="4"/>
      <c r="W9" s="4"/>
      <c r="X9" s="4"/>
      <c r="Y9" s="4"/>
      <c r="Z9" s="4"/>
    </row>
    <row r="10" customFormat="false" ht="15" hidden="false" customHeight="true" outlineLevel="0" collapsed="false">
      <c r="A10" s="4"/>
      <c r="B10" s="4"/>
      <c r="C10" s="4"/>
      <c r="D10" s="4"/>
      <c r="E10" s="4"/>
      <c r="F10" s="4"/>
      <c r="G10" s="4"/>
      <c r="H10" s="4"/>
      <c r="I10" s="4"/>
      <c r="J10" s="4"/>
      <c r="K10" s="4"/>
      <c r="L10" s="4"/>
      <c r="M10" s="4"/>
      <c r="N10" s="4"/>
      <c r="O10" s="4"/>
      <c r="P10" s="4"/>
      <c r="Q10" s="4"/>
      <c r="R10" s="4"/>
      <c r="S10" s="4"/>
      <c r="T10" s="4"/>
      <c r="U10" s="4"/>
      <c r="V10" s="4"/>
      <c r="W10" s="4"/>
      <c r="X10" s="4"/>
      <c r="Y10" s="4"/>
      <c r="Z10" s="4"/>
    </row>
    <row r="11" customFormat="false" ht="15" hidden="false" customHeight="true" outlineLevel="0" collapsed="false">
      <c r="A11" s="4"/>
      <c r="B11" s="4"/>
      <c r="C11" s="4"/>
      <c r="D11" s="4"/>
      <c r="E11" s="4"/>
      <c r="F11" s="4"/>
      <c r="G11" s="4"/>
      <c r="H11" s="4"/>
      <c r="I11" s="4"/>
      <c r="J11" s="4"/>
      <c r="K11" s="4"/>
      <c r="L11" s="4"/>
      <c r="M11" s="4"/>
      <c r="N11" s="4"/>
      <c r="O11" s="4"/>
      <c r="P11" s="4"/>
      <c r="Q11" s="4"/>
      <c r="R11" s="4"/>
      <c r="S11" s="4"/>
      <c r="T11" s="4"/>
      <c r="U11" s="4"/>
      <c r="V11" s="4"/>
      <c r="W11" s="4"/>
      <c r="X11" s="4"/>
      <c r="Y11" s="4"/>
      <c r="Z11" s="4"/>
    </row>
    <row r="12" customFormat="false" ht="15" hidden="false" customHeight="true" outlineLevel="0" collapsed="false">
      <c r="A12" s="4"/>
      <c r="B12" s="4"/>
      <c r="C12" s="4"/>
      <c r="D12" s="4"/>
      <c r="E12" s="4"/>
      <c r="F12" s="4"/>
      <c r="G12" s="4"/>
      <c r="H12" s="4"/>
      <c r="I12" s="4"/>
      <c r="J12" s="4"/>
      <c r="K12" s="4"/>
      <c r="L12" s="4"/>
      <c r="M12" s="4"/>
      <c r="N12" s="4"/>
      <c r="O12" s="4"/>
      <c r="P12" s="4"/>
      <c r="Q12" s="4"/>
      <c r="R12" s="4"/>
      <c r="S12" s="4"/>
      <c r="T12" s="4"/>
      <c r="U12" s="4"/>
      <c r="V12" s="4"/>
      <c r="W12" s="4"/>
      <c r="X12" s="4"/>
      <c r="Y12" s="4"/>
      <c r="Z12" s="4"/>
    </row>
    <row r="13" customFormat="false" ht="15" hidden="false" customHeight="true" outlineLevel="0" collapsed="false">
      <c r="A13" s="4"/>
      <c r="B13" s="4"/>
      <c r="C13" s="4"/>
      <c r="D13" s="4"/>
      <c r="E13" s="4"/>
      <c r="F13" s="4"/>
      <c r="G13" s="4"/>
      <c r="H13" s="4"/>
      <c r="I13" s="4"/>
      <c r="J13" s="4"/>
      <c r="K13" s="4"/>
      <c r="L13" s="4"/>
      <c r="M13" s="4"/>
      <c r="N13" s="4"/>
      <c r="O13" s="4"/>
      <c r="P13" s="4"/>
      <c r="Q13" s="4"/>
      <c r="R13" s="4"/>
      <c r="S13" s="4"/>
      <c r="T13" s="4"/>
      <c r="U13" s="4"/>
      <c r="V13" s="4"/>
      <c r="W13" s="4"/>
      <c r="X13" s="4"/>
      <c r="Y13" s="4"/>
      <c r="Z13" s="4"/>
    </row>
    <row r="14" customFormat="false" ht="15" hidden="false" customHeight="tru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row>
    <row r="15" customFormat="false" ht="15" hidden="false" customHeight="tru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row>
    <row r="16" customFormat="false" ht="1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1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5"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5" hidden="false" customHeight="tru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5.7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5.7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5.7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5.7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5.7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I1"/>
    <mergeCell ref="A2:I2"/>
  </mergeCells>
  <hyperlinks>
    <hyperlink ref="B4" r:id="rId2" location="gid=2126531056&amp;range=A8" display="https://docs.google.com/spreadsheets/d/1OAJPbddbH3P62_oGNEZ0zuI5DCfJQM46VUyOex5GixE/edit#gid=2126531056&amp;range=A8"/>
    <hyperlink ref="B5" r:id="rId3" location="gid=2126531056&amp;range=A7" display="https://docs.google.com/spreadsheets/d/1OAJPbddbH3P62_oGNEZ0zuI5DCfJQM46VUyOex5GixE/edit#gid=2126531056&amp;range=A7"/>
    <hyperlink ref="B6" r:id="rId4" location="gid=2126531056&amp;range=A6" display="https://docs.google.com/spreadsheets/d/1OAJPbddbH3P62_oGNEZ0zuI5DCfJQM46VUyOex5GixE/edit#gid=2126531056&amp;range=A6"/>
    <hyperlink ref="B7" r:id="rId5" location="gid=2126531056&amp;range=A9" display="https://docs.google.com/spreadsheets/d/1OAJPbddbH3P62_oGNEZ0zuI5DCfJQM46VUyOex5GixE/edit#gid=2126531056&amp;range=A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3.57"/>
    <col collapsed="false" customWidth="true" hidden="false" outlineLevel="0" max="2" min="2" style="1" width="30.43"/>
    <col collapsed="false" customWidth="true" hidden="false" outlineLevel="0" max="3" min="3" style="1" width="48.43"/>
    <col collapsed="false" customWidth="true" hidden="false" outlineLevel="0" max="8" min="4" style="1" width="16.57"/>
    <col collapsed="false" customWidth="true" hidden="false" outlineLevel="0" max="26" min="9" style="1" width="8.71"/>
  </cols>
  <sheetData>
    <row r="1" customFormat="false" ht="31.5" hidden="false" customHeight="true" outlineLevel="0" collapsed="false">
      <c r="A1" s="147" t="s">
        <v>3819</v>
      </c>
      <c r="B1" s="147"/>
      <c r="C1" s="147"/>
      <c r="D1" s="147"/>
      <c r="E1" s="147"/>
      <c r="F1" s="147"/>
      <c r="G1" s="147"/>
      <c r="H1" s="147"/>
    </row>
    <row r="2" customFormat="false" ht="24" hidden="false" customHeight="true" outlineLevel="0" collapsed="false">
      <c r="A2" s="3" t="s">
        <v>3820</v>
      </c>
      <c r="B2" s="3"/>
      <c r="C2" s="3"/>
      <c r="D2" s="3"/>
      <c r="E2" s="3"/>
      <c r="F2" s="3"/>
      <c r="G2" s="3"/>
      <c r="H2" s="3"/>
    </row>
    <row r="3" customFormat="false" ht="40.5" hidden="false" customHeight="true" outlineLevel="0" collapsed="false">
      <c r="A3" s="97" t="s">
        <v>2020</v>
      </c>
      <c r="B3" s="97" t="s">
        <v>3709</v>
      </c>
      <c r="C3" s="97" t="s">
        <v>41</v>
      </c>
      <c r="D3" s="97" t="s">
        <v>3821</v>
      </c>
      <c r="E3" s="97" t="s">
        <v>3822</v>
      </c>
      <c r="F3" s="97" t="s">
        <v>2297</v>
      </c>
      <c r="G3" s="97" t="s">
        <v>3823</v>
      </c>
      <c r="H3" s="97" t="s">
        <v>3824</v>
      </c>
    </row>
    <row r="4" customFormat="false" ht="23.25" hidden="false" customHeight="true" outlineLevel="0" collapsed="false">
      <c r="A4" s="21" t="str">
        <f aca="false">IFERROR('DL01. Nhân viên'!A4,"")</f>
        <v>NV001</v>
      </c>
      <c r="B4" s="21" t="str">
        <f aca="false">IFERROR('DL01. Nhân viên'!B4,"")</f>
        <v>Nguyễn Hoàng Anh Kiệt</v>
      </c>
      <c r="C4" s="21" t="str">
        <f aca="false">IFERROR('DL01. Nhân viên'!C4,"")</f>
        <v>sales_staff (NV Tư vấn (EC))</v>
      </c>
      <c r="D4" s="138" t="n">
        <f aca="false">IF('DL01. Nhân viên'!A4="",0,COUNTIF('DL02. Khách tiềm năng'!C:C,"*"&amp;'DL01. Nhân viên'!A4&amp;"*"))</f>
        <v>5</v>
      </c>
      <c r="E4" s="138" t="n">
        <f aca="false">IF('DL01. Nhân viên'!A4="",0,COUNTIF('DL03. Đặt lịch test'!S:S,"*"&amp;'DL01. Nhân viên'!A4&amp;"*"))</f>
        <v>0</v>
      </c>
      <c r="F4" s="138" t="n">
        <f aca="false">IF('DL01. Nhân viên'!A4="",0,COUNTIF('DL04. Tư vấn'!D:D,"*"&amp;'DL01. Nhân viên'!A4&amp;"*"))</f>
        <v>4</v>
      </c>
      <c r="G4" s="138" t="n">
        <f aca="false">IF('DL01. Nhân viên'!A4="",0,COUNTIFS('DL08. Xếp lớp &amp; Nhập học'!F:F,"*"&amp;'DL01. Nhân viên'!A4&amp;"*",'DL08. Xếp lớp &amp; Nhập học'!K:K,"&lt;&gt;completed*"))</f>
        <v>0</v>
      </c>
      <c r="H4" s="138" t="n">
        <f aca="false">IF('DL01. Nhân viên'!A4="",0,COUNTIFS('DL17. Khiếu nại'!K:K,"*"&amp;'DL01. Nhân viên'!A4&amp;"*",'DL17. Khiếu nại'!J:J,"&lt;&gt;resolved*"))</f>
        <v>0</v>
      </c>
    </row>
    <row r="5" customFormat="false" ht="23.25" hidden="false" customHeight="true" outlineLevel="0" collapsed="false">
      <c r="A5" s="21" t="str">
        <f aca="false">IFERROR('DL01. Nhân viên'!A5,"")</f>
        <v>NV002</v>
      </c>
      <c r="B5" s="21" t="str">
        <f aca="false">IFERROR('DL01. Nhân viên'!B5,"")</f>
        <v>Nguyễn Văn Thanh Thuyên</v>
      </c>
      <c r="C5" s="21" t="str">
        <f aca="false">IFERROR('DL01. Nhân viên'!C5,"")</f>
        <v>sales_staff (NV Tư vấn (EC))</v>
      </c>
      <c r="D5" s="138" t="n">
        <f aca="false">IF('DL01. Nhân viên'!A5="",0,COUNTIF('DL02. Khách tiềm năng'!C:C,"*"&amp;'DL01. Nhân viên'!A5&amp;"*"))</f>
        <v>4</v>
      </c>
      <c r="E5" s="138" t="n">
        <f aca="false">IF('DL01. Nhân viên'!A5="",0,COUNTIF('DL03. Đặt lịch test'!S:S,"*"&amp;'DL01. Nhân viên'!A5&amp;"*"))</f>
        <v>0</v>
      </c>
      <c r="F5" s="138" t="n">
        <f aca="false">IF('DL01. Nhân viên'!A5="",0,COUNTIF('DL04. Tư vấn'!D:D,"*"&amp;'DL01. Nhân viên'!A5&amp;"*"))</f>
        <v>2</v>
      </c>
      <c r="G5" s="138" t="n">
        <f aca="false">IF('DL01. Nhân viên'!A5="",0,COUNTIFS('DL08. Xếp lớp &amp; Nhập học'!F:F,"*"&amp;'DL01. Nhân viên'!A5&amp;"*",'DL08. Xếp lớp &amp; Nhập học'!K:K,"&lt;&gt;completed*"))</f>
        <v>0</v>
      </c>
      <c r="H5" s="138" t="n">
        <f aca="false">IF('DL01. Nhân viên'!A5="",0,COUNTIFS('DL17. Khiếu nại'!K:K,"*"&amp;'DL01. Nhân viên'!A5&amp;"*",'DL17. Khiếu nại'!J:J,"&lt;&gt;resolved*"))</f>
        <v>0</v>
      </c>
    </row>
    <row r="6" customFormat="false" ht="23.25" hidden="false" customHeight="true" outlineLevel="0" collapsed="false">
      <c r="A6" s="21" t="str">
        <f aca="false">IFERROR('DL01. Nhân viên'!A6,"")</f>
        <v>NV003</v>
      </c>
      <c r="B6" s="21" t="str">
        <f aca="false">IFERROR('DL01. Nhân viên'!B6,"")</f>
        <v>Nguyễn Thanh Kiu</v>
      </c>
      <c r="C6" s="21" t="str">
        <f aca="false">IFERROR('DL01. Nhân viên'!C6,"")</f>
        <v>wow_coach (Giáo viên WOW)</v>
      </c>
      <c r="D6" s="138" t="n">
        <f aca="false">IF('DL01. Nhân viên'!A6="",0,COUNTIF('DL02. Khách tiềm năng'!C:C,"*"&amp;'DL01. Nhân viên'!A6&amp;"*"))</f>
        <v>0</v>
      </c>
      <c r="E6" s="138" t="n">
        <f aca="false">IF('DL01. Nhân viên'!A6="",0,COUNTIF('DL03. Đặt lịch test'!S:S,"*"&amp;'DL01. Nhân viên'!A6&amp;"*"))</f>
        <v>0</v>
      </c>
      <c r="F6" s="138" t="n">
        <f aca="false">IF('DL01. Nhân viên'!A6="",0,COUNTIF('DL04. Tư vấn'!D:D,"*"&amp;'DL01. Nhân viên'!A6&amp;"*"))</f>
        <v>0</v>
      </c>
      <c r="G6" s="138" t="n">
        <f aca="false">IF('DL01. Nhân viên'!A6="",0,COUNTIFS('DL08. Xếp lớp &amp; Nhập học'!F:F,"*"&amp;'DL01. Nhân viên'!A6&amp;"*",'DL08. Xếp lớp &amp; Nhập học'!K:K,"&lt;&gt;completed*"))</f>
        <v>0</v>
      </c>
      <c r="H6" s="138" t="n">
        <f aca="false">IF('DL01. Nhân viên'!A6="",0,COUNTIFS('DL17. Khiếu nại'!K:K,"*"&amp;'DL01. Nhân viên'!A6&amp;"*",'DL17. Khiếu nại'!J:J,"&lt;&gt;resolved*"))</f>
        <v>0</v>
      </c>
    </row>
    <row r="7" customFormat="false" ht="23.25" hidden="false" customHeight="true" outlineLevel="0" collapsed="false">
      <c r="A7" s="21" t="str">
        <f aca="false">IFERROR('DL01. Nhân viên'!A7,"")</f>
        <v>NV004</v>
      </c>
      <c r="B7" s="21" t="str">
        <f aca="false">IFERROR('DL01. Nhân viên'!B7,"")</f>
        <v>Nguyễn Tuấn Phong</v>
      </c>
      <c r="C7" s="21" t="str">
        <f aca="false">IFERROR('DL01. Nhân viên'!C7,"")</f>
        <v>wow_coach (Giáo viên WOW)</v>
      </c>
      <c r="D7" s="138" t="n">
        <f aca="false">IF('DL01. Nhân viên'!A7="",0,COUNTIF('DL02. Khách tiềm năng'!C:C,"*"&amp;'DL01. Nhân viên'!A7&amp;"*"))</f>
        <v>0</v>
      </c>
      <c r="E7" s="138" t="n">
        <f aca="false">IF('DL01. Nhân viên'!A7="",0,COUNTIF('DL03. Đặt lịch test'!S:S,"*"&amp;'DL01. Nhân viên'!A7&amp;"*"))</f>
        <v>0</v>
      </c>
      <c r="F7" s="138" t="n">
        <f aca="false">IF('DL01. Nhân viên'!A7="",0,COUNTIF('DL04. Tư vấn'!D:D,"*"&amp;'DL01. Nhân viên'!A7&amp;"*"))</f>
        <v>0</v>
      </c>
      <c r="G7" s="138" t="n">
        <f aca="false">IF('DL01. Nhân viên'!A7="",0,COUNTIFS('DL08. Xếp lớp &amp; Nhập học'!F:F,"*"&amp;'DL01. Nhân viên'!A7&amp;"*",'DL08. Xếp lớp &amp; Nhập học'!K:K,"&lt;&gt;completed*"))</f>
        <v>0</v>
      </c>
      <c r="H7" s="138" t="n">
        <f aca="false">IF('DL01. Nhân viên'!A7="",0,COUNTIFS('DL17. Khiếu nại'!K:K,"*"&amp;'DL01. Nhân viên'!A7&amp;"*",'DL17. Khiếu nại'!J:J,"&lt;&gt;resolved*"))</f>
        <v>0</v>
      </c>
    </row>
    <row r="8" customFormat="false" ht="23.25" hidden="false" customHeight="true" outlineLevel="0" collapsed="false">
      <c r="A8" s="21" t="str">
        <f aca="false">IFERROR('DL01. Nhân viên'!A8,"")</f>
        <v>NV005</v>
      </c>
      <c r="B8" s="21" t="str">
        <f aca="false">IFERROR('DL01. Nhân viên'!B8,"")</f>
        <v>Phan Trung Chính</v>
      </c>
      <c r="C8" s="21" t="str">
        <f aca="false">IFERROR('DL01. Nhân viên'!C8,"")</f>
        <v>teacher (Giáo viên ACA)</v>
      </c>
      <c r="D8" s="138" t="n">
        <f aca="false">IF('DL01. Nhân viên'!A8="",0,COUNTIF('DL02. Khách tiềm năng'!C:C,"*"&amp;'DL01. Nhân viên'!A8&amp;"*"))</f>
        <v>0</v>
      </c>
      <c r="E8" s="138" t="n">
        <f aca="false">IF('DL01. Nhân viên'!A8="",0,COUNTIF('DL03. Đặt lịch test'!S:S,"*"&amp;'DL01. Nhân viên'!A8&amp;"*"))</f>
        <v>0</v>
      </c>
      <c r="F8" s="138" t="n">
        <f aca="false">IF('DL01. Nhân viên'!A8="",0,COUNTIF('DL04. Tư vấn'!D:D,"*"&amp;'DL01. Nhân viên'!A8&amp;"*"))</f>
        <v>0</v>
      </c>
      <c r="G8" s="138" t="n">
        <f aca="false">IF('DL01. Nhân viên'!A8="",0,COUNTIFS('DL08. Xếp lớp &amp; Nhập học'!F:F,"*"&amp;'DL01. Nhân viên'!A8&amp;"*",'DL08. Xếp lớp &amp; Nhập học'!K:K,"&lt;&gt;completed*"))</f>
        <v>0</v>
      </c>
      <c r="H8" s="138" t="n">
        <f aca="false">IF('DL01. Nhân viên'!A8="",0,COUNTIFS('DL17. Khiếu nại'!K:K,"*"&amp;'DL01. Nhân viên'!A8&amp;"*",'DL17. Khiếu nại'!J:J,"&lt;&gt;resolved*"))</f>
        <v>0</v>
      </c>
    </row>
    <row r="9" customFormat="false" ht="23.25" hidden="false" customHeight="true" outlineLevel="0" collapsed="false">
      <c r="A9" s="21" t="str">
        <f aca="false">IFERROR('DL01. Nhân viên'!A9,"")</f>
        <v>NV006</v>
      </c>
      <c r="B9" s="21" t="str">
        <f aca="false">IFERROR('DL01. Nhân viên'!B9,"")</f>
        <v>Phạm Tấn Phát</v>
      </c>
      <c r="C9" s="21" t="str">
        <f aca="false">IFERROR('DL01. Nhân viên'!C9,"")</f>
        <v>teacher (Giáo viên ACA)</v>
      </c>
      <c r="D9" s="138" t="n">
        <f aca="false">IF('DL01. Nhân viên'!A9="",0,COUNTIF('DL02. Khách tiềm năng'!C:C,"*"&amp;'DL01. Nhân viên'!A9&amp;"*"))</f>
        <v>0</v>
      </c>
      <c r="E9" s="138" t="n">
        <f aca="false">IF('DL01. Nhân viên'!A9="",0,COUNTIF('DL03. Đặt lịch test'!S:S,"*"&amp;'DL01. Nhân viên'!A9&amp;"*"))</f>
        <v>0</v>
      </c>
      <c r="F9" s="138" t="n">
        <f aca="false">IF('DL01. Nhân viên'!A9="",0,COUNTIF('DL04. Tư vấn'!D:D,"*"&amp;'DL01. Nhân viên'!A9&amp;"*"))</f>
        <v>0</v>
      </c>
      <c r="G9" s="138" t="n">
        <f aca="false">IF('DL01. Nhân viên'!A9="",0,COUNTIFS('DL08. Xếp lớp &amp; Nhập học'!F:F,"*"&amp;'DL01. Nhân viên'!A9&amp;"*",'DL08. Xếp lớp &amp; Nhập học'!K:K,"&lt;&gt;completed*"))</f>
        <v>0</v>
      </c>
      <c r="H9" s="138" t="n">
        <f aca="false">IF('DL01. Nhân viên'!A9="",0,COUNTIFS('DL17. Khiếu nại'!K:K,"*"&amp;'DL01. Nhân viên'!A9&amp;"*",'DL17. Khiếu nại'!J:J,"&lt;&gt;resolved*"))</f>
        <v>0</v>
      </c>
    </row>
    <row r="10" customFormat="false" ht="23.25" hidden="false" customHeight="true" outlineLevel="0" collapsed="false">
      <c r="A10" s="21" t="str">
        <f aca="false">IFERROR('DL01. Nhân viên'!A10,"")</f>
        <v>NV007</v>
      </c>
      <c r="B10" s="21" t="str">
        <f aca="false">IFERROR('DL01. Nhân viên'!B10,"")</f>
        <v>Lê Thị Đức</v>
      </c>
      <c r="C10" s="21" t="str">
        <f aca="false">IFERROR('DL01. Nhân viên'!C10,"")</f>
        <v>academic_staff (NV Học vụ / CSKH)</v>
      </c>
      <c r="D10" s="138" t="n">
        <f aca="false">IF('DL01. Nhân viên'!A10="",0,COUNTIF('DL02. Khách tiềm năng'!C:C,"*"&amp;'DL01. Nhân viên'!A10&amp;"*"))</f>
        <v>0</v>
      </c>
      <c r="E10" s="138" t="n">
        <f aca="false">IF('DL01. Nhân viên'!A10="",0,COUNTIF('DL03. Đặt lịch test'!S:S,"*"&amp;'DL01. Nhân viên'!A10&amp;"*"))</f>
        <v>0</v>
      </c>
      <c r="F10" s="138" t="n">
        <f aca="false">IF('DL01. Nhân viên'!A10="",0,COUNTIF('DL04. Tư vấn'!D:D,"*"&amp;'DL01. Nhân viên'!A10&amp;"*"))</f>
        <v>0</v>
      </c>
      <c r="G10" s="138" t="n">
        <f aca="false">IF('DL01. Nhân viên'!A10="",0,COUNTIFS('DL08. Xếp lớp &amp; Nhập học'!F:F,"*"&amp;'DL01. Nhân viên'!A10&amp;"*",'DL08. Xếp lớp &amp; Nhập học'!K:K,"&lt;&gt;completed*"))</f>
        <v>0</v>
      </c>
      <c r="H10" s="138" t="n">
        <f aca="false">IF('DL01. Nhân viên'!A10="",0,COUNTIFS('DL17. Khiếu nại'!K:K,"*"&amp;'DL01. Nhân viên'!A10&amp;"*",'DL17. Khiếu nại'!J:J,"&lt;&gt;resolved*"))</f>
        <v>0</v>
      </c>
    </row>
    <row r="11" customFormat="false" ht="23.25" hidden="false" customHeight="true" outlineLevel="0" collapsed="false">
      <c r="A11" s="21" t="str">
        <f aca="false">IFERROR('DL01. Nhân viên'!A11,"")</f>
        <v>NV008</v>
      </c>
      <c r="B11" s="21" t="str">
        <f aca="false">IFERROR('DL01. Nhân viên'!B11,"")</f>
        <v>Nguyễn Thị Hồng Thu</v>
      </c>
      <c r="C11" s="21" t="str">
        <f aca="false">IFERROR('DL01. Nhân viên'!C11,"")</f>
        <v>academic_staff (NV Học vụ / CSKH)</v>
      </c>
      <c r="D11" s="138" t="n">
        <f aca="false">IF('DL01. Nhân viên'!A11="",0,COUNTIF('DL02. Khách tiềm năng'!C:C,"*"&amp;'DL01. Nhân viên'!A11&amp;"*"))</f>
        <v>0</v>
      </c>
      <c r="E11" s="138" t="n">
        <f aca="false">IF('DL01. Nhân viên'!A11="",0,COUNTIF('DL03. Đặt lịch test'!S:S,"*"&amp;'DL01. Nhân viên'!A11&amp;"*"))</f>
        <v>0</v>
      </c>
      <c r="F11" s="138" t="n">
        <f aca="false">IF('DL01. Nhân viên'!A11="",0,COUNTIF('DL04. Tư vấn'!D:D,"*"&amp;'DL01. Nhân viên'!A11&amp;"*"))</f>
        <v>0</v>
      </c>
      <c r="G11" s="138" t="n">
        <f aca="false">IF('DL01. Nhân viên'!A11="",0,COUNTIFS('DL08. Xếp lớp &amp; Nhập học'!F:F,"*"&amp;'DL01. Nhân viên'!A11&amp;"*",'DL08. Xếp lớp &amp; Nhập học'!K:K,"&lt;&gt;completed*"))</f>
        <v>0</v>
      </c>
      <c r="H11" s="138" t="n">
        <f aca="false">IF('DL01. Nhân viên'!A11="",0,COUNTIFS('DL17. Khiếu nại'!K:K,"*"&amp;'DL01. Nhân viên'!A11&amp;"*",'DL17. Khiếu nại'!J:J,"&lt;&gt;resolved*"))</f>
        <v>0</v>
      </c>
    </row>
    <row r="12" customFormat="false" ht="23.25" hidden="false" customHeight="true" outlineLevel="0" collapsed="false">
      <c r="A12" s="21" t="str">
        <f aca="false">IFERROR('DL01. Nhân viên'!A12,"")</f>
        <v>NV009</v>
      </c>
      <c r="B12" s="21" t="str">
        <f aca="false">IFERROR('DL01. Nhân viên'!B12,"")</f>
        <v>Nguyễn Lê Minh Chí</v>
      </c>
      <c r="C12" s="21" t="str">
        <f aca="false">IFERROR('DL01. Nhân viên'!C12,"")</f>
        <v>ceo (Giám đốc (CEO))</v>
      </c>
      <c r="D12" s="138" t="n">
        <f aca="false">IF('DL01. Nhân viên'!A12="",0,COUNTIF('DL02. Khách tiềm năng'!C:C,"*"&amp;'DL01. Nhân viên'!A12&amp;"*"))</f>
        <v>0</v>
      </c>
      <c r="E12" s="138" t="n">
        <f aca="false">IF('DL01. Nhân viên'!A12="",0,COUNTIF('DL03. Đặt lịch test'!S:S,"*"&amp;'DL01. Nhân viên'!A12&amp;"*"))</f>
        <v>0</v>
      </c>
      <c r="F12" s="138" t="n">
        <f aca="false">IF('DL01. Nhân viên'!A12="",0,COUNTIF('DL04. Tư vấn'!D:D,"*"&amp;'DL01. Nhân viên'!A12&amp;"*"))</f>
        <v>0</v>
      </c>
      <c r="G12" s="138" t="n">
        <f aca="false">IF('DL01. Nhân viên'!A12="",0,COUNTIFS('DL08. Xếp lớp &amp; Nhập học'!F:F,"*"&amp;'DL01. Nhân viên'!A12&amp;"*",'DL08. Xếp lớp &amp; Nhập học'!K:K,"&lt;&gt;completed*"))</f>
        <v>0</v>
      </c>
      <c r="H12" s="138" t="n">
        <f aca="false">IF('DL01. Nhân viên'!A12="",0,COUNTIFS('DL17. Khiếu nại'!K:K,"*"&amp;'DL01. Nhân viên'!A12&amp;"*",'DL17. Khiếu nại'!J:J,"&lt;&gt;resolved*"))</f>
        <v>0</v>
      </c>
    </row>
    <row r="13" customFormat="false" ht="23.25" hidden="false" customHeight="true" outlineLevel="0" collapsed="false">
      <c r="A13" s="21" t="str">
        <f aca="false">IFERROR('DL01. Nhân viên'!A13,"")</f>
        <v>NV010</v>
      </c>
      <c r="B13" s="21" t="str">
        <f aca="false">IFERROR('DL01. Nhân viên'!B13,"")</f>
        <v>Phan Thị Hồng Đào</v>
      </c>
      <c r="C13" s="21" t="str">
        <f aca="false">IFERROR('DL01. Nhân viên'!C13,"")</f>
        <v>accountant (NV Kế toán)</v>
      </c>
      <c r="D13" s="138" t="n">
        <f aca="false">IF('DL01. Nhân viên'!A13="",0,COUNTIF('DL02. Khách tiềm năng'!C:C,"*"&amp;'DL01. Nhân viên'!A13&amp;"*"))</f>
        <v>0</v>
      </c>
      <c r="E13" s="138" t="n">
        <f aca="false">IF('DL01. Nhân viên'!A13="",0,COUNTIF('DL03. Đặt lịch test'!S:S,"*"&amp;'DL01. Nhân viên'!A13&amp;"*"))</f>
        <v>0</v>
      </c>
      <c r="F13" s="138" t="n">
        <f aca="false">IF('DL01. Nhân viên'!A13="",0,COUNTIF('DL04. Tư vấn'!D:D,"*"&amp;'DL01. Nhân viên'!A13&amp;"*"))</f>
        <v>0</v>
      </c>
      <c r="G13" s="138" t="n">
        <f aca="false">IF('DL01. Nhân viên'!A13="",0,COUNTIFS('DL08. Xếp lớp &amp; Nhập học'!F:F,"*"&amp;'DL01. Nhân viên'!A13&amp;"*",'DL08. Xếp lớp &amp; Nhập học'!K:K,"&lt;&gt;completed*"))</f>
        <v>0</v>
      </c>
      <c r="H13" s="138" t="n">
        <f aca="false">IF('DL01. Nhân viên'!A13="",0,COUNTIFS('DL17. Khiếu nại'!K:K,"*"&amp;'DL01. Nhân viên'!A13&amp;"*",'DL17. Khiếu nại'!J:J,"&lt;&gt;resolved*"))</f>
        <v>0</v>
      </c>
    </row>
    <row r="14" customFormat="false" ht="23.25" hidden="false" customHeight="true" outlineLevel="0" collapsed="false">
      <c r="A14" s="21" t="str">
        <f aca="false">IFERROR('DL01. Nhân viên'!A14,"")</f>
        <v>NV011</v>
      </c>
      <c r="B14" s="21" t="str">
        <f aca="false">IFERROR('DL01. Nhân viên'!B14,"")</f>
        <v>Nguyễn Huỳnh Phương Lộc</v>
      </c>
      <c r="C14" s="21" t="str">
        <f aca="false">IFERROR('DL01. Nhân viên'!C14,"")</f>
        <v>it_staff (NV IT)</v>
      </c>
      <c r="D14" s="138" t="n">
        <f aca="false">IF('DL01. Nhân viên'!A14="",0,COUNTIF('DL02. Khách tiềm năng'!C:C,"*"&amp;'DL01. Nhân viên'!A14&amp;"*"))</f>
        <v>0</v>
      </c>
      <c r="E14" s="138" t="n">
        <f aca="false">IF('DL01. Nhân viên'!A14="",0,COUNTIF('DL03. Đặt lịch test'!S:S,"*"&amp;'DL01. Nhân viên'!A14&amp;"*"))</f>
        <v>0</v>
      </c>
      <c r="F14" s="138" t="n">
        <f aca="false">IF('DL01. Nhân viên'!A14="",0,COUNTIF('DL04. Tư vấn'!D:D,"*"&amp;'DL01. Nhân viên'!A14&amp;"*"))</f>
        <v>0</v>
      </c>
      <c r="G14" s="138" t="n">
        <f aca="false">IF('DL01. Nhân viên'!A14="",0,COUNTIFS('DL08. Xếp lớp &amp; Nhập học'!F:F,"*"&amp;'DL01. Nhân viên'!A14&amp;"*",'DL08. Xếp lớp &amp; Nhập học'!K:K,"&lt;&gt;completed*"))</f>
        <v>0</v>
      </c>
      <c r="H14" s="138" t="n">
        <f aca="false">IF('DL01. Nhân viên'!A14="",0,COUNTIFS('DL17. Khiếu nại'!K:K,"*"&amp;'DL01. Nhân viên'!A14&amp;"*",'DL17. Khiếu nại'!J:J,"&lt;&gt;resolved*"))</f>
        <v>0</v>
      </c>
    </row>
    <row r="15" customFormat="false" ht="23.25" hidden="false" customHeight="true" outlineLevel="0" collapsed="false">
      <c r="A15" s="21" t="str">
        <f aca="false">IFERROR('DL01. Nhân viên'!A15,"")</f>
        <v>NV012</v>
      </c>
      <c r="B15" s="21" t="str">
        <f aca="false">IFERROR('DL01. Nhân viên'!B15,"")</f>
        <v>Phạm Thị Kim Ngân</v>
      </c>
      <c r="C15" s="21" t="str">
        <f aca="false">IFERROR('DL01. Nhân viên'!C15,"")</f>
        <v>sales_manager (Trưởng phòng Tư vấn)</v>
      </c>
      <c r="D15" s="138" t="n">
        <f aca="false">IF('DL01. Nhân viên'!A15="",0,COUNTIF('DL02. Khách tiềm năng'!C:C,"*"&amp;'DL01. Nhân viên'!A15&amp;"*"))</f>
        <v>0</v>
      </c>
      <c r="E15" s="138" t="n">
        <f aca="false">IF('DL01. Nhân viên'!A15="",0,COUNTIF('DL03. Đặt lịch test'!S:S,"*"&amp;'DL01. Nhân viên'!A15&amp;"*"))</f>
        <v>0</v>
      </c>
      <c r="F15" s="138" t="n">
        <f aca="false">IF('DL01. Nhân viên'!A15="",0,COUNTIF('DL04. Tư vấn'!D:D,"*"&amp;'DL01. Nhân viên'!A15&amp;"*"))</f>
        <v>0</v>
      </c>
      <c r="G15" s="138" t="n">
        <f aca="false">IF('DL01. Nhân viên'!A15="",0,COUNTIFS('DL08. Xếp lớp &amp; Nhập học'!F:F,"*"&amp;'DL01. Nhân viên'!A15&amp;"*",'DL08. Xếp lớp &amp; Nhập học'!K:K,"&lt;&gt;completed*"))</f>
        <v>0</v>
      </c>
      <c r="H15" s="138" t="n">
        <f aca="false">IF('DL01. Nhân viên'!A15="",0,COUNTIFS('DL17. Khiếu nại'!K:K,"*"&amp;'DL01. Nhân viên'!A15&amp;"*",'DL17. Khiếu nại'!J:J,"&lt;&gt;resolved*"))</f>
        <v>0</v>
      </c>
    </row>
    <row r="16" customFormat="false" ht="23.25" hidden="false" customHeight="true" outlineLevel="0" collapsed="false">
      <c r="A16" s="21" t="str">
        <f aca="false">IFERROR('DL01. Nhân viên'!A16,"")</f>
        <v>NV013</v>
      </c>
      <c r="B16" s="21" t="str">
        <f aca="false">IFERROR('DL01. Nhân viên'!B16,"")</f>
        <v>Phạm Thị Mỹ Tiên</v>
      </c>
      <c r="C16" s="21" t="str">
        <f aca="false">IFERROR('DL01. Nhân viên'!C16,"")</f>
        <v>academic_manager (Trưởng phòng Học vụ)</v>
      </c>
      <c r="D16" s="138" t="n">
        <f aca="false">IF('DL01. Nhân viên'!A16="",0,COUNTIF('DL02. Khách tiềm năng'!C:C,"*"&amp;'DL01. Nhân viên'!A16&amp;"*"))</f>
        <v>0</v>
      </c>
      <c r="E16" s="138" t="n">
        <f aca="false">IF('DL01. Nhân viên'!A16="",0,COUNTIF('DL03. Đặt lịch test'!S:S,"*"&amp;'DL01. Nhân viên'!A16&amp;"*"))</f>
        <v>0</v>
      </c>
      <c r="F16" s="138" t="n">
        <f aca="false">IF('DL01. Nhân viên'!A16="",0,COUNTIF('DL04. Tư vấn'!D:D,"*"&amp;'DL01. Nhân viên'!A16&amp;"*"))</f>
        <v>0</v>
      </c>
      <c r="G16" s="138" t="n">
        <f aca="false">IF('DL01. Nhân viên'!A16="",0,COUNTIFS('DL08. Xếp lớp &amp; Nhập học'!F:F,"*"&amp;'DL01. Nhân viên'!A16&amp;"*",'DL08. Xếp lớp &amp; Nhập học'!K:K,"&lt;&gt;completed*"))</f>
        <v>0</v>
      </c>
      <c r="H16" s="138" t="n">
        <f aca="false">IF('DL01. Nhân viên'!A16="",0,COUNTIFS('DL17. Khiếu nại'!K:K,"*"&amp;'DL01. Nhân viên'!A16&amp;"*",'DL17. Khiếu nại'!J:J,"&lt;&gt;resolved*"))</f>
        <v>0</v>
      </c>
    </row>
    <row r="17" customFormat="false" ht="23.25" hidden="false" customHeight="true" outlineLevel="0" collapsed="false">
      <c r="A17" s="21" t="str">
        <f aca="false">IFERROR('DL01. Nhân viên'!A17,"")</f>
        <v>NV014</v>
      </c>
      <c r="B17" s="21" t="str">
        <f aca="false">IFERROR('DL01. Nhân viên'!B17,"")</f>
        <v>Lê Trọng Tín</v>
      </c>
      <c r="C17" s="21" t="str">
        <f aca="false">IFERROR('DL01. Nhân viên'!C17,"")</f>
        <v>aca_manager (Trưởng phòng ACA)</v>
      </c>
      <c r="D17" s="138" t="n">
        <f aca="false">IF('DL01. Nhân viên'!A17="",0,COUNTIF('DL02. Khách tiềm năng'!C:C,"*"&amp;'DL01. Nhân viên'!A17&amp;"*"))</f>
        <v>0</v>
      </c>
      <c r="E17" s="138" t="n">
        <f aca="false">IF('DL01. Nhân viên'!A17="",0,COUNTIF('DL03. Đặt lịch test'!S:S,"*"&amp;'DL01. Nhân viên'!A17&amp;"*"))</f>
        <v>0</v>
      </c>
      <c r="F17" s="138" t="n">
        <f aca="false">IF('DL01. Nhân viên'!A17="",0,COUNTIF('DL04. Tư vấn'!D:D,"*"&amp;'DL01. Nhân viên'!A17&amp;"*"))</f>
        <v>0</v>
      </c>
      <c r="G17" s="138" t="n">
        <f aca="false">IF('DL01. Nhân viên'!A17="",0,COUNTIFS('DL08. Xếp lớp &amp; Nhập học'!F:F,"*"&amp;'DL01. Nhân viên'!A17&amp;"*",'DL08. Xếp lớp &amp; Nhập học'!K:K,"&lt;&gt;completed*"))</f>
        <v>0</v>
      </c>
      <c r="H17" s="138" t="n">
        <f aca="false">IF('DL01. Nhân viên'!A17="",0,COUNTIFS('DL17. Khiếu nại'!K:K,"*"&amp;'DL01. Nhân viên'!A17&amp;"*",'DL17. Khiếu nại'!J:J,"&lt;&gt;resolved*"))</f>
        <v>0</v>
      </c>
    </row>
    <row r="18" customFormat="false" ht="23.25" hidden="false" customHeight="true" outlineLevel="0" collapsed="false">
      <c r="A18" s="21" t="str">
        <f aca="false">IFERROR('DL01. Nhân viên'!A18,"")</f>
        <v>NV015</v>
      </c>
      <c r="B18" s="21" t="str">
        <f aca="false">IFERROR('DL01. Nhân viên'!B18,"")</f>
        <v>Đỗ Thành Luân</v>
      </c>
      <c r="C18" s="21" t="str">
        <f aca="false">IFERROR('DL01. Nhân viên'!C18,"")</f>
        <v>marketing_manager (Trưởng phòng Marketing)</v>
      </c>
      <c r="D18" s="138" t="n">
        <f aca="false">IF('DL01. Nhân viên'!A18="",0,COUNTIF('DL02. Khách tiềm năng'!C:C,"*"&amp;'DL01. Nhân viên'!A18&amp;"*"))</f>
        <v>0</v>
      </c>
      <c r="E18" s="138" t="n">
        <f aca="false">IF('DL01. Nhân viên'!A18="",0,COUNTIF('DL03. Đặt lịch test'!S:S,"*"&amp;'DL01. Nhân viên'!A18&amp;"*"))</f>
        <v>0</v>
      </c>
      <c r="F18" s="138" t="n">
        <f aca="false">IF('DL01. Nhân viên'!A18="",0,COUNTIF('DL04. Tư vấn'!D:D,"*"&amp;'DL01. Nhân viên'!A18&amp;"*"))</f>
        <v>0</v>
      </c>
      <c r="G18" s="138" t="n">
        <f aca="false">IF('DL01. Nhân viên'!A18="",0,COUNTIFS('DL08. Xếp lớp &amp; Nhập học'!F:F,"*"&amp;'DL01. Nhân viên'!A18&amp;"*",'DL08. Xếp lớp &amp; Nhập học'!K:K,"&lt;&gt;completed*"))</f>
        <v>0</v>
      </c>
      <c r="H18" s="138" t="n">
        <f aca="false">IF('DL01. Nhân viên'!A18="",0,COUNTIFS('DL17. Khiếu nại'!K:K,"*"&amp;'DL01. Nhân viên'!A18&amp;"*",'DL17. Khiếu nại'!J:J,"&lt;&gt;resolved*"))</f>
        <v>0</v>
      </c>
    </row>
    <row r="19" customFormat="false" ht="23.25" hidden="false" customHeight="true" outlineLevel="0" collapsed="false">
      <c r="A19" s="21" t="str">
        <f aca="false">IFERROR('DL01. Nhân viên'!A19,"")</f>
        <v>NV016</v>
      </c>
      <c r="B19" s="21" t="str">
        <f aca="false">IFERROR('DL01. Nhân viên'!B19,"")</f>
        <v>Trần Nhật Hào</v>
      </c>
      <c r="C19" s="21" t="str">
        <f aca="false">IFERROR('DL01. Nhân viên'!C19,"")</f>
        <v>hr_manager (Trưởng phòng Nhân sự)</v>
      </c>
      <c r="D19" s="138" t="n">
        <f aca="false">IF('DL01. Nhân viên'!A19="",0,COUNTIF('DL02. Khách tiềm năng'!C:C,"*"&amp;'DL01. Nhân viên'!A19&amp;"*"))</f>
        <v>0</v>
      </c>
      <c r="E19" s="138" t="n">
        <f aca="false">IF('DL01. Nhân viên'!A19="",0,COUNTIF('DL03. Đặt lịch test'!S:S,"*"&amp;'DL01. Nhân viên'!A19&amp;"*"))</f>
        <v>0</v>
      </c>
      <c r="F19" s="138" t="n">
        <f aca="false">IF('DL01. Nhân viên'!A19="",0,COUNTIF('DL04. Tư vấn'!D:D,"*"&amp;'DL01. Nhân viên'!A19&amp;"*"))</f>
        <v>0</v>
      </c>
      <c r="G19" s="138" t="n">
        <f aca="false">IF('DL01. Nhân viên'!A19="",0,COUNTIFS('DL08. Xếp lớp &amp; Nhập học'!F:F,"*"&amp;'DL01. Nhân viên'!A19&amp;"*",'DL08. Xếp lớp &amp; Nhập học'!K:K,"&lt;&gt;completed*"))</f>
        <v>0</v>
      </c>
      <c r="H19" s="138" t="n">
        <f aca="false">IF('DL01. Nhân viên'!A19="",0,COUNTIFS('DL17. Khiếu nại'!K:K,"*"&amp;'DL01. Nhân viên'!A19&amp;"*",'DL17. Khiếu nại'!J:J,"&lt;&gt;resolved*"))</f>
        <v>0</v>
      </c>
    </row>
    <row r="20" customFormat="false" ht="23.25" hidden="false" customHeight="true" outlineLevel="0" collapsed="false">
      <c r="A20" s="21" t="str">
        <f aca="false">IFERROR('DL01. Nhân viên'!A20,"")</f>
        <v>NV017</v>
      </c>
      <c r="B20" s="21" t="str">
        <f aca="false">IFERROR('DL01. Nhân viên'!B20,"")</f>
        <v>Phan Thị Hồng Đào</v>
      </c>
      <c r="C20" s="21" t="str">
        <f aca="false">IFERROR('DL01. Nhân viên'!C20,"")</f>
        <v>accounting_manager (Trưởng phòng Kế toán)</v>
      </c>
      <c r="D20" s="138" t="n">
        <f aca="false">IF('DL01. Nhân viên'!A20="",0,COUNTIF('DL02. Khách tiềm năng'!C:C,"*"&amp;'DL01. Nhân viên'!A20&amp;"*"))</f>
        <v>0</v>
      </c>
      <c r="E20" s="138" t="n">
        <f aca="false">IF('DL01. Nhân viên'!A20="",0,COUNTIF('DL03. Đặt lịch test'!S:S,"*"&amp;'DL01. Nhân viên'!A20&amp;"*"))</f>
        <v>0</v>
      </c>
      <c r="F20" s="138" t="n">
        <f aca="false">IF('DL01. Nhân viên'!A20="",0,COUNTIF('DL04. Tư vấn'!D:D,"*"&amp;'DL01. Nhân viên'!A20&amp;"*"))</f>
        <v>0</v>
      </c>
      <c r="G20" s="138" t="n">
        <f aca="false">IF('DL01. Nhân viên'!A20="",0,COUNTIFS('DL08. Xếp lớp &amp; Nhập học'!F:F,"*"&amp;'DL01. Nhân viên'!A20&amp;"*",'DL08. Xếp lớp &amp; Nhập học'!K:K,"&lt;&gt;completed*"))</f>
        <v>0</v>
      </c>
      <c r="H20" s="138" t="n">
        <f aca="false">IF('DL01. Nhân viên'!A20="",0,COUNTIFS('DL17. Khiếu nại'!K:K,"*"&amp;'DL01. Nhân viên'!A20&amp;"*",'DL17. Khiếu nại'!J:J,"&lt;&gt;resolved*"))</f>
        <v>0</v>
      </c>
    </row>
    <row r="21" customFormat="false" ht="23.25" hidden="false" customHeight="true" outlineLevel="0" collapsed="false">
      <c r="A21" s="21" t="str">
        <f aca="false">IFERROR('DL01. Nhân viên'!A21,"")</f>
        <v>NV018</v>
      </c>
      <c r="B21" s="21" t="str">
        <f aca="false">IFERROR('DL01. Nhân viên'!B21,"")</f>
        <v>Nguyễn Huỳnh Phương Lộc</v>
      </c>
      <c r="C21" s="21" t="str">
        <f aca="false">IFERROR('DL01. Nhân viên'!C21,"")</f>
        <v>it_manager (Trưởng phòng IT)</v>
      </c>
      <c r="D21" s="138" t="n">
        <f aca="false">IF('DL01. Nhân viên'!A21="",0,COUNTIF('DL02. Khách tiềm năng'!C:C,"*"&amp;'DL01. Nhân viên'!A21&amp;"*"))</f>
        <v>0</v>
      </c>
      <c r="E21" s="138" t="n">
        <f aca="false">IF('DL01. Nhân viên'!A21="",0,COUNTIF('DL03. Đặt lịch test'!S:S,"*"&amp;'DL01. Nhân viên'!A21&amp;"*"))</f>
        <v>0</v>
      </c>
      <c r="F21" s="138" t="n">
        <f aca="false">IF('DL01. Nhân viên'!A21="",0,COUNTIF('DL04. Tư vấn'!D:D,"*"&amp;'DL01. Nhân viên'!A21&amp;"*"))</f>
        <v>0</v>
      </c>
      <c r="G21" s="138" t="n">
        <f aca="false">IF('DL01. Nhân viên'!A21="",0,COUNTIFS('DL08. Xếp lớp &amp; Nhập học'!F:F,"*"&amp;'DL01. Nhân viên'!A21&amp;"*",'DL08. Xếp lớp &amp; Nhập học'!K:K,"&lt;&gt;completed*"))</f>
        <v>0</v>
      </c>
      <c r="H21" s="138" t="n">
        <f aca="false">IF('DL01. Nhân viên'!A21="",0,COUNTIFS('DL17. Khiếu nại'!K:K,"*"&amp;'DL01. Nhân viên'!A21&amp;"*",'DL17. Khiếu nại'!J:J,"&lt;&gt;resolved*"))</f>
        <v>0</v>
      </c>
    </row>
    <row r="22" customFormat="false" ht="23.25" hidden="false" customHeight="true" outlineLevel="0" collapsed="false">
      <c r="A22" s="21" t="str">
        <f aca="false">IFERROR('DL01. Nhân viên'!A22,"")</f>
        <v>NV020</v>
      </c>
      <c r="B22" s="21" t="str">
        <f aca="false">IFERROR('DL01. Nhân viên'!B22,"")</f>
        <v>Huỳnh Quang Khải</v>
      </c>
      <c r="C22" s="21" t="str">
        <f aca="false">IFERROR('DL01. Nhân viên'!C22,"")</f>
        <v>sales_leader (Sale Leader Chi nhánh)</v>
      </c>
      <c r="D22" s="138" t="n">
        <f aca="false">IF('DL01. Nhân viên'!A22="",0,COUNTIF('DL02. Khách tiềm năng'!C:C,"*"&amp;'DL01. Nhân viên'!A22&amp;"*"))</f>
        <v>0</v>
      </c>
      <c r="E22" s="138" t="n">
        <f aca="false">IF('DL01. Nhân viên'!A22="",0,COUNTIF('DL03. Đặt lịch test'!S:S,"*"&amp;'DL01. Nhân viên'!A22&amp;"*"))</f>
        <v>0</v>
      </c>
      <c r="F22" s="138" t="n">
        <f aca="false">IF('DL01. Nhân viên'!A22="",0,COUNTIF('DL04. Tư vấn'!D:D,"*"&amp;'DL01. Nhân viên'!A22&amp;"*"))</f>
        <v>0</v>
      </c>
      <c r="G22" s="138" t="n">
        <f aca="false">IF('DL01. Nhân viên'!A22="",0,COUNTIFS('DL08. Xếp lớp &amp; Nhập học'!F:F,"*"&amp;'DL01. Nhân viên'!A22&amp;"*",'DL08. Xếp lớp &amp; Nhập học'!K:K,"&lt;&gt;completed*"))</f>
        <v>0</v>
      </c>
      <c r="H22" s="138" t="n">
        <f aca="false">IF('DL01. Nhân viên'!A22="",0,COUNTIFS('DL17. Khiếu nại'!K:K,"*"&amp;'DL01. Nhân viên'!A22&amp;"*",'DL17. Khiếu nại'!J:J,"&lt;&gt;resolved*"))</f>
        <v>0</v>
      </c>
    </row>
    <row r="23" customFormat="false" ht="23.25" hidden="false" customHeight="true" outlineLevel="0" collapsed="false">
      <c r="A23" s="21" t="str">
        <f aca="false">IFERROR('DL01. Nhân viên'!A23,"")</f>
        <v>NV021</v>
      </c>
      <c r="B23" s="21" t="str">
        <f aca="false">IFERROR('DL01. Nhân viên'!B23,"")</f>
        <v>Trần Thị Thanh Hà</v>
      </c>
      <c r="C23" s="21" t="str">
        <f aca="false">IFERROR('DL01. Nhân viên'!C23,"")</f>
        <v>sales_leader (Sale Leader Chi nhánh)</v>
      </c>
      <c r="D23" s="138" t="n">
        <f aca="false">IF('DL01. Nhân viên'!A23="",0,COUNTIF('DL02. Khách tiềm năng'!C:C,"*"&amp;'DL01. Nhân viên'!A23&amp;"*"))</f>
        <v>0</v>
      </c>
      <c r="E23" s="138" t="n">
        <f aca="false">IF('DL01. Nhân viên'!A23="",0,COUNTIF('DL03. Đặt lịch test'!S:S,"*"&amp;'DL01. Nhân viên'!A23&amp;"*"))</f>
        <v>0</v>
      </c>
      <c r="F23" s="138" t="n">
        <f aca="false">IF('DL01. Nhân viên'!A23="",0,COUNTIF('DL04. Tư vấn'!D:D,"*"&amp;'DL01. Nhân viên'!A23&amp;"*"))</f>
        <v>0</v>
      </c>
      <c r="G23" s="138" t="n">
        <f aca="false">IF('DL01. Nhân viên'!A23="",0,COUNTIFS('DL08. Xếp lớp &amp; Nhập học'!F:F,"*"&amp;'DL01. Nhân viên'!A23&amp;"*",'DL08. Xếp lớp &amp; Nhập học'!K:K,"&lt;&gt;completed*"))</f>
        <v>0</v>
      </c>
      <c r="H23" s="138" t="n">
        <f aca="false">IF('DL01. Nhân viên'!A23="",0,COUNTIFS('DL17. Khiếu nại'!K:K,"*"&amp;'DL01. Nhân viên'!A23&amp;"*",'DL17. Khiếu nại'!J:J,"&lt;&gt;resolved*"))</f>
        <v>0</v>
      </c>
    </row>
    <row r="24" customFormat="false" ht="23.25" hidden="false" customHeight="true" outlineLevel="0" collapsed="false">
      <c r="A24" s="21" t="str">
        <f aca="false">IFERROR('DL01. Nhân viên'!A24,"")</f>
        <v>NV022</v>
      </c>
      <c r="B24" s="21" t="str">
        <f aca="false">IFERROR('DL01. Nhân viên'!B24,"")</f>
        <v>Nguyễn Huỳnh Thanh Phương</v>
      </c>
      <c r="C24" s="21" t="str">
        <f aca="false">IFERROR('DL01. Nhân viên'!C24,"")</f>
        <v>sales_leader (Sale Leader Chi nhánh)</v>
      </c>
      <c r="D24" s="138" t="n">
        <f aca="false">IF('DL01. Nhân viên'!A24="",0,COUNTIF('DL02. Khách tiềm năng'!C:C,"*"&amp;'DL01. Nhân viên'!A24&amp;"*"))</f>
        <v>0</v>
      </c>
      <c r="E24" s="138" t="n">
        <f aca="false">IF('DL01. Nhân viên'!A24="",0,COUNTIF('DL03. Đặt lịch test'!S:S,"*"&amp;'DL01. Nhân viên'!A24&amp;"*"))</f>
        <v>0</v>
      </c>
      <c r="F24" s="138" t="n">
        <f aca="false">IF('DL01. Nhân viên'!A24="",0,COUNTIF('DL04. Tư vấn'!D:D,"*"&amp;'DL01. Nhân viên'!A24&amp;"*"))</f>
        <v>0</v>
      </c>
      <c r="G24" s="138" t="n">
        <f aca="false">IF('DL01. Nhân viên'!A24="",0,COUNTIFS('DL08. Xếp lớp &amp; Nhập học'!F:F,"*"&amp;'DL01. Nhân viên'!A24&amp;"*",'DL08. Xếp lớp &amp; Nhập học'!K:K,"&lt;&gt;completed*"))</f>
        <v>0</v>
      </c>
      <c r="H24" s="138" t="n">
        <f aca="false">IF('DL01. Nhân viên'!A24="",0,COUNTIFS('DL17. Khiếu nại'!K:K,"*"&amp;'DL01. Nhân viên'!A24&amp;"*",'DL17. Khiếu nại'!J:J,"&lt;&gt;resolved*"))</f>
        <v>0</v>
      </c>
    </row>
    <row r="25" customFormat="false" ht="23.25" hidden="false" customHeight="true" outlineLevel="0" collapsed="false">
      <c r="A25" s="21" t="str">
        <f aca="false">IFERROR('DL01. Nhân viên'!A25,"")</f>
        <v>NV023</v>
      </c>
      <c r="B25" s="21" t="str">
        <f aca="false">IFERROR('DL01. Nhân viên'!B25,"")</f>
        <v>Nguyễn Thị Phương Duyên</v>
      </c>
      <c r="C25" s="21" t="str">
        <f aca="false">IFERROR('DL01. Nhân viên'!C25,"")</f>
        <v>sales_staff (NV Tư vấn (EC))</v>
      </c>
      <c r="D25" s="138" t="n">
        <f aca="false">IF('DL01. Nhân viên'!A25="",0,COUNTIF('DL02. Khách tiềm năng'!C:C,"*"&amp;'DL01. Nhân viên'!A25&amp;"*"))</f>
        <v>4</v>
      </c>
      <c r="E25" s="138" t="n">
        <f aca="false">IF('DL01. Nhân viên'!A25="",0,COUNTIF('DL03. Đặt lịch test'!S:S,"*"&amp;'DL01. Nhân viên'!A25&amp;"*"))</f>
        <v>0</v>
      </c>
      <c r="F25" s="138" t="n">
        <f aca="false">IF('DL01. Nhân viên'!A25="",0,COUNTIF('DL04. Tư vấn'!D:D,"*"&amp;'DL01. Nhân viên'!A25&amp;"*"))</f>
        <v>2</v>
      </c>
      <c r="G25" s="138" t="n">
        <f aca="false">IF('DL01. Nhân viên'!A25="",0,COUNTIFS('DL08. Xếp lớp &amp; Nhập học'!F:F,"*"&amp;'DL01. Nhân viên'!A25&amp;"*",'DL08. Xếp lớp &amp; Nhập học'!K:K,"&lt;&gt;completed*"))</f>
        <v>0</v>
      </c>
      <c r="H25" s="138" t="n">
        <f aca="false">IF('DL01. Nhân viên'!A25="",0,COUNTIFS('DL17. Khiếu nại'!K:K,"*"&amp;'DL01. Nhân viên'!A25&amp;"*",'DL17. Khiếu nại'!J:J,"&lt;&gt;resolved*"))</f>
        <v>0</v>
      </c>
    </row>
    <row r="26" customFormat="false" ht="23.25" hidden="false" customHeight="true" outlineLevel="0" collapsed="false">
      <c r="A26" s="21" t="str">
        <f aca="false">IFERROR('DL01. Nhân viên'!A26,"")</f>
        <v>NV024</v>
      </c>
      <c r="B26" s="21" t="str">
        <f aca="false">IFERROR('DL01. Nhân viên'!B26,"")</f>
        <v>Huỳnh Quốc Khánh</v>
      </c>
      <c r="C26" s="21" t="str">
        <f aca="false">IFERROR('DL01. Nhân viên'!C26,"")</f>
        <v>sales_staff (NV Tư vấn (EC))</v>
      </c>
      <c r="D26" s="138" t="n">
        <f aca="false">IF('DL01. Nhân viên'!A26="",0,COUNTIF('DL02. Khách tiềm năng'!C:C,"*"&amp;'DL01. Nhân viên'!A26&amp;"*"))</f>
        <v>4</v>
      </c>
      <c r="E26" s="138" t="n">
        <f aca="false">IF('DL01. Nhân viên'!A26="",0,COUNTIF('DL03. Đặt lịch test'!S:S,"*"&amp;'DL01. Nhân viên'!A26&amp;"*"))</f>
        <v>0</v>
      </c>
      <c r="F26" s="138" t="n">
        <f aca="false">IF('DL01. Nhân viên'!A26="",0,COUNTIF('DL04. Tư vấn'!D:D,"*"&amp;'DL01. Nhân viên'!A26&amp;"*"))</f>
        <v>2</v>
      </c>
      <c r="G26" s="138" t="n">
        <f aca="false">IF('DL01. Nhân viên'!A26="",0,COUNTIFS('DL08. Xếp lớp &amp; Nhập học'!F:F,"*"&amp;'DL01. Nhân viên'!A26&amp;"*",'DL08. Xếp lớp &amp; Nhập học'!K:K,"&lt;&gt;completed*"))</f>
        <v>0</v>
      </c>
      <c r="H26" s="138" t="n">
        <f aca="false">IF('DL01. Nhân viên'!A26="",0,COUNTIFS('DL17. Khiếu nại'!K:K,"*"&amp;'DL01. Nhân viên'!A26&amp;"*",'DL17. Khiếu nại'!J:J,"&lt;&gt;resolved*"))</f>
        <v>0</v>
      </c>
    </row>
    <row r="27" customFormat="false" ht="23.25" hidden="false" customHeight="true" outlineLevel="0" collapsed="false">
      <c r="A27" s="21" t="str">
        <f aca="false">IFERROR('DL01. Nhân viên'!A27,"")</f>
        <v>NV025</v>
      </c>
      <c r="B27" s="21" t="str">
        <f aca="false">IFERROR('DL01. Nhân viên'!B27,"")</f>
        <v>Thái Phạm Tố Trinh</v>
      </c>
      <c r="C27" s="21" t="str">
        <f aca="false">IFERROR('DL01. Nhân viên'!C27,"")</f>
        <v>sales_staff (NV Tư vấn (EC))</v>
      </c>
      <c r="D27" s="138" t="n">
        <f aca="false">IF('DL01. Nhân viên'!A27="",0,COUNTIF('DL02. Khách tiềm năng'!C:C,"*"&amp;'DL01. Nhân viên'!A27&amp;"*"))</f>
        <v>3</v>
      </c>
      <c r="E27" s="138" t="n">
        <f aca="false">IF('DL01. Nhân viên'!A27="",0,COUNTIF('DL03. Đặt lịch test'!S:S,"*"&amp;'DL01. Nhân viên'!A27&amp;"*"))</f>
        <v>0</v>
      </c>
      <c r="F27" s="138" t="n">
        <f aca="false">IF('DL01. Nhân viên'!A27="",0,COUNTIF('DL04. Tư vấn'!D:D,"*"&amp;'DL01. Nhân viên'!A27&amp;"*"))</f>
        <v>3</v>
      </c>
      <c r="G27" s="138" t="n">
        <f aca="false">IF('DL01. Nhân viên'!A27="",0,COUNTIFS('DL08. Xếp lớp &amp; Nhập học'!F:F,"*"&amp;'DL01. Nhân viên'!A27&amp;"*",'DL08. Xếp lớp &amp; Nhập học'!K:K,"&lt;&gt;completed*"))</f>
        <v>0</v>
      </c>
      <c r="H27" s="138" t="n">
        <f aca="false">IF('DL01. Nhân viên'!A27="",0,COUNTIFS('DL17. Khiếu nại'!K:K,"*"&amp;'DL01. Nhân viên'!A27&amp;"*",'DL17. Khiếu nại'!J:J,"&lt;&gt;resolved*"))</f>
        <v>0</v>
      </c>
    </row>
    <row r="28" customFormat="false" ht="23.25" hidden="false" customHeight="true" outlineLevel="0" collapsed="false">
      <c r="A28" s="21" t="str">
        <f aca="false">IFERROR('DL01. Nhân viên'!A28,"")</f>
        <v>NV026</v>
      </c>
      <c r="B28" s="21" t="str">
        <f aca="false">IFERROR('DL01. Nhân viên'!B28,"")</f>
        <v>Nguyễn Hoàng Phú</v>
      </c>
      <c r="C28" s="21" t="str">
        <f aca="false">IFERROR('DL01. Nhân viên'!C28,"")</f>
        <v>sales_staff (NV Tư vấn (EC))</v>
      </c>
      <c r="D28" s="138" t="n">
        <f aca="false">IF('DL01. Nhân viên'!A28="",0,COUNTIF('DL02. Khách tiềm năng'!C:C,"*"&amp;'DL01. Nhân viên'!A28&amp;"*"))</f>
        <v>0</v>
      </c>
      <c r="E28" s="138" t="n">
        <f aca="false">IF('DL01. Nhân viên'!A28="",0,COUNTIF('DL03. Đặt lịch test'!S:S,"*"&amp;'DL01. Nhân viên'!A28&amp;"*"))</f>
        <v>0</v>
      </c>
      <c r="F28" s="138" t="n">
        <f aca="false">IF('DL01. Nhân viên'!A28="",0,COUNTIF('DL04. Tư vấn'!D:D,"*"&amp;'DL01. Nhân viên'!A28&amp;"*"))</f>
        <v>0</v>
      </c>
      <c r="G28" s="138" t="n">
        <f aca="false">IF('DL01. Nhân viên'!A28="",0,COUNTIFS('DL08. Xếp lớp &amp; Nhập học'!F:F,"*"&amp;'DL01. Nhân viên'!A28&amp;"*",'DL08. Xếp lớp &amp; Nhập học'!K:K,"&lt;&gt;completed*"))</f>
        <v>0</v>
      </c>
      <c r="H28" s="138" t="n">
        <f aca="false">IF('DL01. Nhân viên'!A28="",0,COUNTIFS('DL17. Khiếu nại'!K:K,"*"&amp;'DL01. Nhân viên'!A28&amp;"*",'DL17. Khiếu nại'!J:J,"&lt;&gt;resolved*"))</f>
        <v>0</v>
      </c>
    </row>
    <row r="29" customFormat="false" ht="23.25" hidden="false" customHeight="true" outlineLevel="0" collapsed="false">
      <c r="A29" s="21" t="str">
        <f aca="false">IFERROR('DL01. Nhân viên'!A29,"")</f>
        <v>NV027</v>
      </c>
      <c r="B29" s="21" t="str">
        <f aca="false">IFERROR('DL01. Nhân viên'!B29,"")</f>
        <v>(Chưa tuyển)</v>
      </c>
      <c r="C29" s="21" t="str">
        <f aca="false">IFERROR('DL01. Nhân viên'!C29,"")</f>
        <v>sales_staff (NV Tư vấn (EC))</v>
      </c>
      <c r="D29" s="138" t="n">
        <f aca="false">IF('DL01. Nhân viên'!A29="",0,COUNTIF('DL02. Khách tiềm năng'!C:C,"*"&amp;'DL01. Nhân viên'!A29&amp;"*"))</f>
        <v>0</v>
      </c>
      <c r="E29" s="138" t="n">
        <f aca="false">IF('DL01. Nhân viên'!A29="",0,COUNTIF('DL03. Đặt lịch test'!S:S,"*"&amp;'DL01. Nhân viên'!A29&amp;"*"))</f>
        <v>0</v>
      </c>
      <c r="F29" s="138" t="n">
        <f aca="false">IF('DL01. Nhân viên'!A29="",0,COUNTIF('DL04. Tư vấn'!D:D,"*"&amp;'DL01. Nhân viên'!A29&amp;"*"))</f>
        <v>0</v>
      </c>
      <c r="G29" s="138" t="n">
        <f aca="false">IF('DL01. Nhân viên'!A29="",0,COUNTIFS('DL08. Xếp lớp &amp; Nhập học'!F:F,"*"&amp;'DL01. Nhân viên'!A29&amp;"*",'DL08. Xếp lớp &amp; Nhập học'!K:K,"&lt;&gt;completed*"))</f>
        <v>0</v>
      </c>
      <c r="H29" s="138" t="n">
        <f aca="false">IF('DL01. Nhân viên'!A29="",0,COUNTIFS('DL17. Khiếu nại'!K:K,"*"&amp;'DL01. Nhân viên'!A29&amp;"*",'DL17. Khiếu nại'!J:J,"&lt;&gt;resolved*"))</f>
        <v>0</v>
      </c>
    </row>
    <row r="30" customFormat="false" ht="23.25" hidden="false" customHeight="true" outlineLevel="0" collapsed="false">
      <c r="A30" s="21" t="str">
        <f aca="false">IFERROR('DL01. Nhân viên'!A30,"")</f>
        <v>NV030</v>
      </c>
      <c r="B30" s="21" t="str">
        <f aca="false">IFERROR('DL01. Nhân viên'!B30,"")</f>
        <v>Phạm Công Danh</v>
      </c>
      <c r="C30" s="21" t="str">
        <f aca="false">IFERROR('DL01. Nhân viên'!C30,"")</f>
        <v>wow_leader (WOW Leader)</v>
      </c>
      <c r="D30" s="138" t="n">
        <f aca="false">IF('DL01. Nhân viên'!A30="",0,COUNTIF('DL02. Khách tiềm năng'!C:C,"*"&amp;'DL01. Nhân viên'!A30&amp;"*"))</f>
        <v>0</v>
      </c>
      <c r="E30" s="138" t="n">
        <f aca="false">IF('DL01. Nhân viên'!A30="",0,COUNTIF('DL03. Đặt lịch test'!S:S,"*"&amp;'DL01. Nhân viên'!A30&amp;"*"))</f>
        <v>0</v>
      </c>
      <c r="F30" s="138" t="n">
        <f aca="false">IF('DL01. Nhân viên'!A30="",0,COUNTIF('DL04. Tư vấn'!D:D,"*"&amp;'DL01. Nhân viên'!A30&amp;"*"))</f>
        <v>0</v>
      </c>
      <c r="G30" s="138" t="n">
        <f aca="false">IF('DL01. Nhân viên'!A30="",0,COUNTIFS('DL08. Xếp lớp &amp; Nhập học'!F:F,"*"&amp;'DL01. Nhân viên'!A30&amp;"*",'DL08. Xếp lớp &amp; Nhập học'!K:K,"&lt;&gt;completed*"))</f>
        <v>0</v>
      </c>
      <c r="H30" s="138" t="n">
        <f aca="false">IF('DL01. Nhân viên'!A30="",0,COUNTIFS('DL17. Khiếu nại'!K:K,"*"&amp;'DL01. Nhân viên'!A30&amp;"*",'DL17. Khiếu nại'!J:J,"&lt;&gt;resolved*"))</f>
        <v>0</v>
      </c>
    </row>
    <row r="31" customFormat="false" ht="23.25" hidden="false" customHeight="true" outlineLevel="0" collapsed="false">
      <c r="A31" s="21" t="str">
        <f aca="false">IFERROR('DL01. Nhân viên'!A31,"")</f>
        <v>NV031</v>
      </c>
      <c r="B31" s="21" t="str">
        <f aca="false">IFERROR('DL01. Nhân viên'!B31,"")</f>
        <v>Trần Thanh Minh</v>
      </c>
      <c r="C31" s="21" t="str">
        <f aca="false">IFERROR('DL01. Nhân viên'!C31,"")</f>
        <v>teacher (Giáo viên ACA)</v>
      </c>
      <c r="D31" s="138" t="n">
        <f aca="false">IF('DL01. Nhân viên'!A31="",0,COUNTIF('DL02. Khách tiềm năng'!C:C,"*"&amp;'DL01. Nhân viên'!A31&amp;"*"))</f>
        <v>0</v>
      </c>
      <c r="E31" s="138" t="n">
        <f aca="false">IF('DL01. Nhân viên'!A31="",0,COUNTIF('DL03. Đặt lịch test'!S:S,"*"&amp;'DL01. Nhân viên'!A31&amp;"*"))</f>
        <v>0</v>
      </c>
      <c r="F31" s="138" t="n">
        <f aca="false">IF('DL01. Nhân viên'!A31="",0,COUNTIF('DL04. Tư vấn'!D:D,"*"&amp;'DL01. Nhân viên'!A31&amp;"*"))</f>
        <v>0</v>
      </c>
      <c r="G31" s="138" t="n">
        <f aca="false">IF('DL01. Nhân viên'!A31="",0,COUNTIFS('DL08. Xếp lớp &amp; Nhập học'!F:F,"*"&amp;'DL01. Nhân viên'!A31&amp;"*",'DL08. Xếp lớp &amp; Nhập học'!K:K,"&lt;&gt;completed*"))</f>
        <v>0</v>
      </c>
      <c r="H31" s="138" t="n">
        <f aca="false">IF('DL01. Nhân viên'!A31="",0,COUNTIFS('DL17. Khiếu nại'!K:K,"*"&amp;'DL01. Nhân viên'!A31&amp;"*",'DL17. Khiếu nại'!J:J,"&lt;&gt;resolved*"))</f>
        <v>0</v>
      </c>
    </row>
    <row r="32" customFormat="false" ht="23.25" hidden="false" customHeight="true" outlineLevel="0" collapsed="false">
      <c r="A32" s="21" t="str">
        <f aca="false">IFERROR('DL01. Nhân viên'!A32,"")</f>
        <v>NV032</v>
      </c>
      <c r="B32" s="21" t="str">
        <f aca="false">IFERROR('DL01. Nhân viên'!B32,"")</f>
        <v>Thạch Đan Tiệp</v>
      </c>
      <c r="C32" s="21" t="str">
        <f aca="false">IFERROR('DL01. Nhân viên'!C32,"")</f>
        <v>teacher (Giáo viên ACA)</v>
      </c>
      <c r="D32" s="138" t="n">
        <f aca="false">IF('DL01. Nhân viên'!A32="",0,COUNTIF('DL02. Khách tiềm năng'!C:C,"*"&amp;'DL01. Nhân viên'!A32&amp;"*"))</f>
        <v>0</v>
      </c>
      <c r="E32" s="138" t="n">
        <f aca="false">IF('DL01. Nhân viên'!A32="",0,COUNTIF('DL03. Đặt lịch test'!S:S,"*"&amp;'DL01. Nhân viên'!A32&amp;"*"))</f>
        <v>0</v>
      </c>
      <c r="F32" s="138" t="n">
        <f aca="false">IF('DL01. Nhân viên'!A32="",0,COUNTIF('DL04. Tư vấn'!D:D,"*"&amp;'DL01. Nhân viên'!A32&amp;"*"))</f>
        <v>0</v>
      </c>
      <c r="G32" s="138" t="n">
        <f aca="false">IF('DL01. Nhân viên'!A32="",0,COUNTIFS('DL08. Xếp lớp &amp; Nhập học'!F:F,"*"&amp;'DL01. Nhân viên'!A32&amp;"*",'DL08. Xếp lớp &amp; Nhập học'!K:K,"&lt;&gt;completed*"))</f>
        <v>0</v>
      </c>
      <c r="H32" s="138" t="n">
        <f aca="false">IF('DL01. Nhân viên'!A32="",0,COUNTIFS('DL17. Khiếu nại'!K:K,"*"&amp;'DL01. Nhân viên'!A32&amp;"*",'DL17. Khiếu nại'!J:J,"&lt;&gt;resolved*"))</f>
        <v>0</v>
      </c>
    </row>
    <row r="33" customFormat="false" ht="23.25" hidden="false" customHeight="true" outlineLevel="0" collapsed="false">
      <c r="A33" s="21" t="str">
        <f aca="false">IFERROR('DL01. Nhân viên'!A33,"")</f>
        <v>NV040</v>
      </c>
      <c r="B33" s="21" t="str">
        <f aca="false">IFERROR('DL01. Nhân viên'!B33,"")</f>
        <v>Nguyễn Thị Thu Hiền</v>
      </c>
      <c r="C33" s="21" t="str">
        <f aca="false">IFERROR('DL01. Nhân viên'!C33,"")</f>
        <v>marketing_leader (Marketing Leader)</v>
      </c>
      <c r="D33" s="138" t="n">
        <f aca="false">IF('DL01. Nhân viên'!A33="",0,COUNTIF('DL02. Khách tiềm năng'!C:C,"*"&amp;'DL01. Nhân viên'!A33&amp;"*"))</f>
        <v>0</v>
      </c>
      <c r="E33" s="138" t="n">
        <f aca="false">IF('DL01. Nhân viên'!A33="",0,COUNTIF('DL03. Đặt lịch test'!S:S,"*"&amp;'DL01. Nhân viên'!A33&amp;"*"))</f>
        <v>0</v>
      </c>
      <c r="F33" s="138" t="n">
        <f aca="false">IF('DL01. Nhân viên'!A33="",0,COUNTIF('DL04. Tư vấn'!D:D,"*"&amp;'DL01. Nhân viên'!A33&amp;"*"))</f>
        <v>0</v>
      </c>
      <c r="G33" s="138" t="n">
        <f aca="false">IF('DL01. Nhân viên'!A33="",0,COUNTIFS('DL08. Xếp lớp &amp; Nhập học'!F:F,"*"&amp;'DL01. Nhân viên'!A33&amp;"*",'DL08. Xếp lớp &amp; Nhập học'!K:K,"&lt;&gt;completed*"))</f>
        <v>0</v>
      </c>
      <c r="H33" s="138" t="n">
        <f aca="false">IF('DL01. Nhân viên'!A33="",0,COUNTIFS('DL17. Khiếu nại'!K:K,"*"&amp;'DL01. Nhân viên'!A33&amp;"*",'DL17. Khiếu nại'!J:J,"&lt;&gt;resolved*"))</f>
        <v>0</v>
      </c>
    </row>
    <row r="34" customFormat="false" ht="23.25" hidden="false" customHeight="true" outlineLevel="0" collapsed="false">
      <c r="A34" s="21" t="str">
        <f aca="false">IFERROR('DL01. Nhân viên'!A34,"")</f>
        <v>NV041</v>
      </c>
      <c r="B34" s="21" t="str">
        <f aca="false">IFERROR('DL01. Nhân viên'!B34,"")</f>
        <v>Đỗ Thị Kiều Vy</v>
      </c>
      <c r="C34" s="21" t="str">
        <f aca="false">IFERROR('DL01. Nhân viên'!C34,"")</f>
        <v>marketing_staff (NV Marketing)</v>
      </c>
      <c r="D34" s="138" t="n">
        <f aca="false">IF('DL01. Nhân viên'!A34="",0,COUNTIF('DL02. Khách tiềm năng'!C:C,"*"&amp;'DL01. Nhân viên'!A34&amp;"*"))</f>
        <v>0</v>
      </c>
      <c r="E34" s="138" t="n">
        <f aca="false">IF('DL01. Nhân viên'!A34="",0,COUNTIF('DL03. Đặt lịch test'!S:S,"*"&amp;'DL01. Nhân viên'!A34&amp;"*"))</f>
        <v>0</v>
      </c>
      <c r="F34" s="138" t="n">
        <f aca="false">IF('DL01. Nhân viên'!A34="",0,COUNTIF('DL04. Tư vấn'!D:D,"*"&amp;'DL01. Nhân viên'!A34&amp;"*"))</f>
        <v>0</v>
      </c>
      <c r="G34" s="138" t="n">
        <f aca="false">IF('DL01. Nhân viên'!A34="",0,COUNTIFS('DL08. Xếp lớp &amp; Nhập học'!F:F,"*"&amp;'DL01. Nhân viên'!A34&amp;"*",'DL08. Xếp lớp &amp; Nhập học'!K:K,"&lt;&gt;completed*"))</f>
        <v>0</v>
      </c>
      <c r="H34" s="138" t="n">
        <f aca="false">IF('DL01. Nhân viên'!A34="",0,COUNTIFS('DL17. Khiếu nại'!K:K,"*"&amp;'DL01. Nhân viên'!A34&amp;"*",'DL17. Khiếu nại'!J:J,"&lt;&gt;resolved*"))</f>
        <v>0</v>
      </c>
    </row>
    <row r="35" customFormat="false" ht="23.25" hidden="false" customHeight="true" outlineLevel="0" collapsed="false">
      <c r="A35" s="21" t="str">
        <f aca="false">IFERROR('DL01. Nhân viên'!A35,"")</f>
        <v>NV050</v>
      </c>
      <c r="B35" s="21" t="str">
        <f aca="false">IFERROR('DL01. Nhân viên'!B35,"")</f>
        <v>Nguyễn Ngọc Yến Vy</v>
      </c>
      <c r="C35" s="21" t="str">
        <f aca="false">IFERROR('DL01. Nhân viên'!C35,"")</f>
        <v>hr_leader (HR Leader)</v>
      </c>
      <c r="D35" s="138" t="n">
        <f aca="false">IF('DL01. Nhân viên'!A35="",0,COUNTIF('DL02. Khách tiềm năng'!C:C,"*"&amp;'DL01. Nhân viên'!A35&amp;"*"))</f>
        <v>0</v>
      </c>
      <c r="E35" s="138" t="n">
        <f aca="false">IF('DL01. Nhân viên'!A35="",0,COUNTIF('DL03. Đặt lịch test'!S:S,"*"&amp;'DL01. Nhân viên'!A35&amp;"*"))</f>
        <v>0</v>
      </c>
      <c r="F35" s="138" t="n">
        <f aca="false">IF('DL01. Nhân viên'!A35="",0,COUNTIF('DL04. Tư vấn'!D:D,"*"&amp;'DL01. Nhân viên'!A35&amp;"*"))</f>
        <v>0</v>
      </c>
      <c r="G35" s="138" t="n">
        <f aca="false">IF('DL01. Nhân viên'!A35="",0,COUNTIFS('DL08. Xếp lớp &amp; Nhập học'!F:F,"*"&amp;'DL01. Nhân viên'!A35&amp;"*",'DL08. Xếp lớp &amp; Nhập học'!K:K,"&lt;&gt;completed*"))</f>
        <v>0</v>
      </c>
      <c r="H35" s="138" t="n">
        <f aca="false">IF('DL01. Nhân viên'!A35="",0,COUNTIFS('DL17. Khiếu nại'!K:K,"*"&amp;'DL01. Nhân viên'!A35&amp;"*",'DL17. Khiếu nại'!J:J,"&lt;&gt;resolved*"))</f>
        <v>0</v>
      </c>
    </row>
    <row r="36" customFormat="false" ht="23.25" hidden="false" customHeight="true" outlineLevel="0" collapsed="false">
      <c r="A36" s="21" t="str">
        <f aca="false">IFERROR('DL01. Nhân viên'!A36,"")</f>
        <v>NV051</v>
      </c>
      <c r="B36" s="21" t="str">
        <f aca="false">IFERROR('DL01. Nhân viên'!B36,"")</f>
        <v>(Chưa tuyển)</v>
      </c>
      <c r="C36" s="21" t="str">
        <f aca="false">IFERROR('DL01. Nhân viên'!C36,"")</f>
        <v>hr_staff (NV Nhân sự)</v>
      </c>
      <c r="D36" s="138" t="n">
        <f aca="false">IF('DL01. Nhân viên'!A36="",0,COUNTIF('DL02. Khách tiềm năng'!C:C,"*"&amp;'DL01. Nhân viên'!A36&amp;"*"))</f>
        <v>0</v>
      </c>
      <c r="E36" s="138" t="n">
        <f aca="false">IF('DL01. Nhân viên'!A36="",0,COUNTIF('DL03. Đặt lịch test'!S:S,"*"&amp;'DL01. Nhân viên'!A36&amp;"*"))</f>
        <v>0</v>
      </c>
      <c r="F36" s="138" t="n">
        <f aca="false">IF('DL01. Nhân viên'!A36="",0,COUNTIF('DL04. Tư vấn'!D:D,"*"&amp;'DL01. Nhân viên'!A36&amp;"*"))</f>
        <v>0</v>
      </c>
      <c r="G36" s="138" t="n">
        <f aca="false">IF('DL01. Nhân viên'!A36="",0,COUNTIFS('DL08. Xếp lớp &amp; Nhập học'!F:F,"*"&amp;'DL01. Nhân viên'!A36&amp;"*",'DL08. Xếp lớp &amp; Nhập học'!K:K,"&lt;&gt;completed*"))</f>
        <v>0</v>
      </c>
      <c r="H36" s="138" t="n">
        <f aca="false">IF('DL01. Nhân viên'!A36="",0,COUNTIFS('DL17. Khiếu nại'!K:K,"*"&amp;'DL01. Nhân viên'!A36&amp;"*",'DL17. Khiếu nại'!J:J,"&lt;&gt;resolved*"))</f>
        <v>0</v>
      </c>
    </row>
    <row r="37" customFormat="false" ht="23.25" hidden="false" customHeight="true" outlineLevel="0" collapsed="false">
      <c r="A37" s="21" t="str">
        <f aca="false">IFERROR('DL01. Nhân viên'!A37,"")</f>
        <v>NV080</v>
      </c>
      <c r="B37" s="21" t="str">
        <f aca="false">IFERROR('DL01. Nhân viên'!B37,"")</f>
        <v>Trần Thị Hồng Vân</v>
      </c>
      <c r="C37" s="21" t="str">
        <f aca="false">IFERROR('DL01. Nhân viên'!C37,"")</f>
        <v>janitor (NV Tạp vụ)</v>
      </c>
      <c r="D37" s="138" t="n">
        <f aca="false">IF('DL01. Nhân viên'!A37="",0,COUNTIF('DL02. Khách tiềm năng'!C:C,"*"&amp;'DL01. Nhân viên'!A37&amp;"*"))</f>
        <v>0</v>
      </c>
      <c r="E37" s="138" t="n">
        <f aca="false">IF('DL01. Nhân viên'!A37="",0,COUNTIF('DL03. Đặt lịch test'!S:S,"*"&amp;'DL01. Nhân viên'!A37&amp;"*"))</f>
        <v>0</v>
      </c>
      <c r="F37" s="138" t="n">
        <f aca="false">IF('DL01. Nhân viên'!A37="",0,COUNTIF('DL04. Tư vấn'!D:D,"*"&amp;'DL01. Nhân viên'!A37&amp;"*"))</f>
        <v>0</v>
      </c>
      <c r="G37" s="138" t="n">
        <f aca="false">IF('DL01. Nhân viên'!A37="",0,COUNTIFS('DL08. Xếp lớp &amp; Nhập học'!F:F,"*"&amp;'DL01. Nhân viên'!A37&amp;"*",'DL08. Xếp lớp &amp; Nhập học'!K:K,"&lt;&gt;completed*"))</f>
        <v>0</v>
      </c>
      <c r="H37" s="138" t="n">
        <f aca="false">IF('DL01. Nhân viên'!A37="",0,COUNTIFS('DL17. Khiếu nại'!K:K,"*"&amp;'DL01. Nhân viên'!A37&amp;"*",'DL17. Khiếu nại'!J:J,"&lt;&gt;resolved*"))</f>
        <v>0</v>
      </c>
    </row>
    <row r="38" customFormat="false" ht="23.25" hidden="false" customHeight="true" outlineLevel="0" collapsed="false">
      <c r="A38" s="21" t="str">
        <f aca="false">IFERROR('DL01. Nhân viên'!A38,"")</f>
        <v>NV081</v>
      </c>
      <c r="B38" s="21" t="str">
        <f aca="false">IFERROR('DL01. Nhân viên'!B38,"")</f>
        <v>Chu Hoàng Long</v>
      </c>
      <c r="C38" s="21" t="str">
        <f aca="false">IFERROR('DL01. Nhân viên'!C38,"")</f>
        <v>security (NV Bảo vệ)</v>
      </c>
      <c r="D38" s="138" t="n">
        <f aca="false">IF('DL01. Nhân viên'!A38="",0,COUNTIF('DL02. Khách tiềm năng'!C:C,"*"&amp;'DL01. Nhân viên'!A38&amp;"*"))</f>
        <v>0</v>
      </c>
      <c r="E38" s="138" t="n">
        <f aca="false">IF('DL01. Nhân viên'!A38="",0,COUNTIF('DL03. Đặt lịch test'!S:S,"*"&amp;'DL01. Nhân viên'!A38&amp;"*"))</f>
        <v>0</v>
      </c>
      <c r="F38" s="138" t="n">
        <f aca="false">IF('DL01. Nhân viên'!A38="",0,COUNTIF('DL04. Tư vấn'!D:D,"*"&amp;'DL01. Nhân viên'!A38&amp;"*"))</f>
        <v>0</v>
      </c>
      <c r="G38" s="138" t="n">
        <f aca="false">IF('DL01. Nhân viên'!A38="",0,COUNTIFS('DL08. Xếp lớp &amp; Nhập học'!F:F,"*"&amp;'DL01. Nhân viên'!A38&amp;"*",'DL08. Xếp lớp &amp; Nhập học'!K:K,"&lt;&gt;completed*"))</f>
        <v>0</v>
      </c>
      <c r="H38" s="138" t="n">
        <f aca="false">IF('DL01. Nhân viên'!A38="",0,COUNTIFS('DL17. Khiếu nại'!K:K,"*"&amp;'DL01. Nhân viên'!A38&amp;"*",'DL17. Khiếu nại'!J:J,"&lt;&gt;resolved*"))</f>
        <v>0</v>
      </c>
    </row>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770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B9" activeCellId="0" sqref="B9"/>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6" min="2" style="1" width="22"/>
    <col collapsed="false" customWidth="true" hidden="false" outlineLevel="0" max="7" min="7" style="1" width="20"/>
    <col collapsed="false" customWidth="true" hidden="false" outlineLevel="0" max="8" min="8" style="1" width="14"/>
    <col collapsed="false" customWidth="true" hidden="false" outlineLevel="0" max="9" min="9" style="1" width="17"/>
    <col collapsed="false" customWidth="true" hidden="false" outlineLevel="0" max="10" min="10" style="1" width="44"/>
    <col collapsed="false" customWidth="true" hidden="false" outlineLevel="0" max="26" min="11" style="1" width="8.71"/>
  </cols>
  <sheetData>
    <row r="1" customFormat="false" ht="31.5" hidden="false" customHeight="true" outlineLevel="0" collapsed="false">
      <c r="A1" s="131" t="s">
        <v>3825</v>
      </c>
      <c r="B1" s="131"/>
      <c r="C1" s="131"/>
      <c r="D1" s="131"/>
      <c r="E1" s="131"/>
      <c r="F1" s="131"/>
      <c r="G1" s="131"/>
      <c r="H1" s="131"/>
      <c r="I1" s="131"/>
      <c r="J1" s="131"/>
    </row>
    <row r="2" customFormat="false" ht="31.5" hidden="false" customHeight="true" outlineLevel="0" collapsed="false">
      <c r="A2" s="3" t="s">
        <v>3826</v>
      </c>
      <c r="B2" s="3"/>
      <c r="C2" s="3"/>
      <c r="D2" s="3"/>
      <c r="E2" s="3"/>
      <c r="F2" s="3"/>
      <c r="G2" s="3"/>
      <c r="H2" s="3"/>
      <c r="I2" s="3"/>
      <c r="J2" s="3"/>
    </row>
    <row r="3" customFormat="false" ht="15" hidden="false" customHeight="true" outlineLevel="0" collapsed="false">
      <c r="A3" s="4"/>
      <c r="B3" s="4"/>
      <c r="C3" s="4"/>
      <c r="D3" s="4"/>
      <c r="E3" s="4"/>
      <c r="F3" s="4"/>
      <c r="G3" s="4"/>
      <c r="H3" s="4"/>
      <c r="I3" s="4"/>
      <c r="J3" s="4"/>
    </row>
    <row r="4" customFormat="false" ht="21.75" hidden="false" customHeight="true" outlineLevel="0" collapsed="false">
      <c r="A4" s="316" t="s">
        <v>3827</v>
      </c>
      <c r="B4" s="316"/>
      <c r="C4" s="16" t="s">
        <v>3828</v>
      </c>
      <c r="D4" s="16"/>
      <c r="E4" s="17" t="s">
        <v>3829</v>
      </c>
      <c r="F4" s="17"/>
      <c r="G4" s="18" t="s">
        <v>3830</v>
      </c>
      <c r="H4" s="18"/>
      <c r="I4" s="18" t="s">
        <v>3831</v>
      </c>
      <c r="J4" s="18"/>
    </row>
    <row r="5" customFormat="false" ht="39.75" hidden="false" customHeight="true" outlineLevel="0" collapsed="false">
      <c r="A5" s="317" t="n">
        <f aca="false">COUNTIF('DL09. Học viên'!O4:O500,"active*")</f>
        <v>11</v>
      </c>
      <c r="B5" s="317"/>
      <c r="C5" s="317" t="n">
        <f aca="false">COUNTIF('DL09. Học viên'!R4:R500,"at_risk*")+COUNTIF('DL09. Học viên'!R4:R500,"off_track*")</f>
        <v>2</v>
      </c>
      <c r="D5" s="317"/>
      <c r="E5" s="317" t="n">
        <f aca="false">COUNTIF('DL09. Học viên'!S4:S500,"at_risk*")+COUNTIF('DL09. Học viên'!S4:S500,"off_track*")</f>
        <v>2</v>
      </c>
      <c r="F5" s="317"/>
      <c r="G5" s="318" t="n">
        <f aca="false">IFERROR((COUNTIF('DL09. Học viên'!R4:R500,"at_risk*")+COUNTIF('DL09. Học viên'!R4:R500,"off_track*"))/MAX(COUNTIF('DL09. Học viên'!O4:O500,"active*"),1),0)</f>
        <v>0.181818181818182</v>
      </c>
      <c r="H5" s="318"/>
      <c r="I5" s="318" t="n">
        <f aca="false">IFERROR((COUNTIF('DL09. Học viên'!S4:S500,"at_risk*")+COUNTIF('DL09. Học viên'!S4:S500,"off_track*"))/MAX(COUNTIF('DL09. Học viên'!O4:O500,"active*"),1),0)</f>
        <v>0.181818181818182</v>
      </c>
      <c r="J5" s="318"/>
    </row>
    <row r="6" customFormat="false" ht="18" hidden="false" customHeight="true" outlineLevel="0" collapsed="false">
      <c r="A6" s="12" t="s">
        <v>3832</v>
      </c>
      <c r="B6" s="12"/>
      <c r="C6" s="12" t="s">
        <v>3833</v>
      </c>
      <c r="D6" s="12"/>
      <c r="E6" s="12" t="s">
        <v>3834</v>
      </c>
      <c r="F6" s="12"/>
      <c r="G6" s="13" t="str">
        <f aca="false">HYPERLINK("#'CH2. Tham số &amp; Quy tắc'!A"&amp;MATCH("kpiThreshold_ARR",'CH2. Tham số &amp; Quy tắc'!$A:$A,0),"Ngưỡng SOP ≤ "&amp;TEXT(kpiThreshold_ARR,"0%"))</f>
        <v>Ngưỡng SOP ≤ 10%</v>
      </c>
      <c r="H6" s="13"/>
      <c r="I6" s="12" t="s">
        <v>3835</v>
      </c>
      <c r="J6" s="12"/>
    </row>
    <row r="7" customFormat="false" ht="15" hidden="false" customHeight="true" outlineLevel="0" collapsed="false">
      <c r="A7" s="4"/>
      <c r="B7" s="4"/>
      <c r="C7" s="4"/>
      <c r="D7" s="4"/>
      <c r="E7" s="4"/>
      <c r="F7" s="4"/>
      <c r="G7" s="4"/>
      <c r="H7" s="4"/>
      <c r="I7" s="4"/>
      <c r="J7" s="4"/>
    </row>
    <row r="8" customFormat="false" ht="25.5" hidden="false" customHeight="true" outlineLevel="0" collapsed="false">
      <c r="A8" s="319" t="s">
        <v>3836</v>
      </c>
      <c r="B8" s="319"/>
      <c r="C8" s="319"/>
      <c r="D8" s="319"/>
      <c r="E8" s="319"/>
      <c r="F8" s="319"/>
      <c r="G8" s="319"/>
      <c r="H8" s="319"/>
      <c r="I8" s="319"/>
      <c r="J8" s="319"/>
    </row>
    <row r="9" customFormat="false" ht="21.75" hidden="false" customHeight="true" outlineLevel="0" collapsed="false">
      <c r="A9" s="320" t="s">
        <v>2017</v>
      </c>
      <c r="B9" s="320" t="s">
        <v>3309</v>
      </c>
      <c r="C9" s="320" t="s">
        <v>3729</v>
      </c>
      <c r="D9" s="320" t="s">
        <v>3837</v>
      </c>
      <c r="E9" s="320" t="s">
        <v>3838</v>
      </c>
      <c r="F9" s="320" t="s">
        <v>3839</v>
      </c>
      <c r="G9" s="320" t="s">
        <v>3775</v>
      </c>
      <c r="H9" s="320" t="s">
        <v>2278</v>
      </c>
      <c r="I9" s="320" t="s">
        <v>3737</v>
      </c>
      <c r="J9" s="320" t="s">
        <v>2503</v>
      </c>
    </row>
    <row r="10" customFormat="false" ht="64.5" hidden="false" customHeight="true" outlineLevel="0" collapsed="false">
      <c r="A10" s="21" t="str">
        <f aca="false" t="array" ref="A10:A10">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HV003</v>
      </c>
      <c r="B10" s="21" t="str">
        <f aca="false" t="array" ref="B10:B10">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Phạm Quốc Cường</v>
      </c>
      <c r="C10" s="136" t="str">
        <f aca="false" t="array" ref="C10:C10">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at_risk (Có nguy cơ)</v>
      </c>
      <c r="D10" s="138" t="n">
        <f aca="false">IF($A10="","",COUNTIFS('DL12. Điểm danh'!$C$4:$C$1000,$A10,'DL12. Điểm danh'!$E$4:$E$1000,"*no_show*"))</f>
        <v>2</v>
      </c>
      <c r="E10" s="136" t="str">
        <f aca="false" t="array" ref="E10:E10">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on_track (Đang tiến bộ)</v>
      </c>
      <c r="F10" s="138" t="n">
        <f aca="false">IF($A10="","",COUNTIFS('DL13. Bài tập'!$D$4:$D$1000,$A10,'DL13. Bài tập'!$L$4:$L$1000,"*missing*"))</f>
        <v>0</v>
      </c>
      <c r="G10" s="321" t="str">
        <f aca="false" t="array" ref="G10:G10">IF($A10="","",IFERROR(INDEX('DL08. Xếp lớp &amp; Nhập học'!$H$4:$H$500,MATCH($A10,'DL08. Xếp lớp &amp; Nhập học'!$C$4:$C$500,0)),"-"))</f>
        <v>LOP-IELTS-6.0-12</v>
      </c>
      <c r="H10" s="21" t="str">
        <f aca="false" t="array" ref="H10:H10">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0902000003</v>
      </c>
      <c r="I10" s="185" t="n">
        <f aca="false" t="array" ref="I10:I10">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46206.75</v>
      </c>
      <c r="J10" s="322" t="str">
        <f aca="false" t="array" ref="J10:J10">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HV vắng không phép từ 2 buổi trở lên (cấu hình thresholdAtRisk_absences). Việc cần làm: đánh dấu nguy cơ chuyên cần, học vụ liên hệ HV ngay.</v>
      </c>
    </row>
    <row r="11" customFormat="false" ht="64.5" hidden="false" customHeight="true" outlineLevel="0" collapsed="false">
      <c r="A11" s="21" t="str">
        <f aca="false" t="array" ref="A11:A11">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HV004</v>
      </c>
      <c r="B11" s="21" t="str">
        <f aca="false" t="array" ref="B11:B11">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Nguyễn Thị Dung</v>
      </c>
      <c r="C11" s="136" t="str">
        <f aca="false" t="array" ref="C11:C11">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on_track (Đang đều đặn)</v>
      </c>
      <c r="D11" s="138" t="n">
        <f aca="false">IF($A11="","",COUNTIFS('DL12. Điểm danh'!$C$4:$C$1000,$A11,'DL12. Điểm danh'!$E$4:$E$1000,"*no_show*"))</f>
        <v>0</v>
      </c>
      <c r="E11" s="136" t="str">
        <f aca="false" t="array" ref="E11:E11">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at_risk (Có nguy cơ)</v>
      </c>
      <c r="F11" s="138" t="n">
        <f aca="false">IF($A11="","",COUNTIFS('DL13. Bài tập'!$D$4:$D$1000,$A11,'DL13. Bài tập'!$L$4:$L$1000,"*missing*"))</f>
        <v>3</v>
      </c>
      <c r="G11" s="321" t="str">
        <f aca="false" t="array" ref="G11:G11">IF($A11="","",IFERROR(INDEX('DL08. Xếp lớp &amp; Nhập học'!$H$4:$H$500,MATCH($A11,'DL08. Xếp lớp &amp; Nhập học'!$C$4:$C$500,0)),"-"))</f>
        <v>LOP-IELTS-7.0-02</v>
      </c>
      <c r="H11" s="21" t="str">
        <f aca="false" t="array" ref="H11:H11">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0902000004</v>
      </c>
      <c r="I11" s="185" t="n">
        <f aca="false" t="array" ref="I11:I11">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46201.75</v>
      </c>
      <c r="J11" s="322" t="str">
        <f aca="false" t="array" ref="J11:J11">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HV thiếu bài tập từ 3 lần trở lên (cấu hình thresholdAtRisk_hw_missing). Việc cần làm: đánh dấu nguy cơ học thuật, can thiệp ngay.</v>
      </c>
    </row>
    <row r="12" customFormat="false" ht="64.5" hidden="false" customHeight="true" outlineLevel="0" collapsed="false">
      <c r="A12" s="21" t="str">
        <f aca="false" t="array" ref="A12:A12">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HV005</v>
      </c>
      <c r="B12" s="21" t="str">
        <f aca="false" t="array" ref="B12:B12">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Võ Hoàng Em</v>
      </c>
      <c r="C12" s="136" t="str">
        <f aca="false" t="array" ref="C12:C12">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off_track (Sa sút nặng)</v>
      </c>
      <c r="D12" s="138" t="n">
        <f aca="false">IF($A12="","",COUNTIFS('DL12. Điểm danh'!$C$4:$C$1000,$A12,'DL12. Điểm danh'!$E$4:$E$1000,"*no_show*"))</f>
        <v>3</v>
      </c>
      <c r="E12" s="136" t="str">
        <f aca="false" t="array" ref="E12:E12">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off_track (Lệch tiến độ)</v>
      </c>
      <c r="F12" s="138" t="n">
        <f aca="false">IF($A12="","",COUNTIFS('DL13. Bài tập'!$D$4:$D$1000,$A12,'DL13. Bài tập'!$L$4:$L$1000,"*missing*"))</f>
        <v>4</v>
      </c>
      <c r="G12" s="321" t="str">
        <f aca="false" t="array" ref="G12:G12">IF($A12="","",IFERROR(INDEX('DL08. Xếp lớp &amp; Nhập học'!$H$4:$H$500,MATCH($A12,'DL08. Xếp lớp &amp; Nhập học'!$C$4:$C$500,0)),"-"))</f>
        <v>LOP-IELTS-6.5-03</v>
      </c>
      <c r="H12" s="21" t="str">
        <f aca="false" t="array" ref="H12:H12">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0902000005</v>
      </c>
      <c r="I12" s="185" t="n">
        <f aca="false" t="array" ref="I12:I12">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46207.7916666667</v>
      </c>
      <c r="J12" s="322" t="str">
        <f aca="false" t="array" ref="J12:J12">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HV vắng không phép từ 2 buổi trở lên (cấu hình thresholdAtRisk_absences). Việc cần làm: đánh dấu nguy cơ chuyên cần, học vụ liên hệ HV ngay.</v>
      </c>
    </row>
    <row r="13" customFormat="false" ht="15" hidden="false" customHeight="true" outlineLevel="0" collapsed="false">
      <c r="A13" s="21" t="str">
        <f aca="false" t="array" ref="A13:A13">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
      </c>
      <c r="B13" s="21" t="str">
        <f aca="false" t="array" ref="B13:B13">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
      </c>
      <c r="C13" s="136" t="str">
        <f aca="false" t="array" ref="C13:C13">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
      </c>
      <c r="D13" s="21" t="str">
        <f aca="false">IF($A13="","",COUNTIFS('DL12. Điểm danh'!$C$4:$C$1000,$A13,'DL12. Điểm danh'!$E$4:$E$1000,"*no_show*"))</f>
        <v/>
      </c>
      <c r="E13" s="136" t="str">
        <f aca="false" t="array" ref="E13:E13">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
      </c>
      <c r="F13" s="21" t="str">
        <f aca="false">IF($A13="","",COUNTIFS('DL13. Bài tập'!$D$4:$D$1000,$A13,'DL13. Bài tập'!$L$4:$L$1000,"*missing*"))</f>
        <v/>
      </c>
      <c r="G13" s="178" t="str">
        <f aca="false" t="array" ref="G13:G13">IF($A13="","",IFERROR(INDEX('DL08. Xếp lớp &amp; Nhập học'!$H$4:$H$500,MATCH($A13,'DL08. Xếp lớp &amp; Nhập học'!$C$4:$C$500,0)),"-"))</f>
        <v/>
      </c>
      <c r="H13" s="21" t="str">
        <f aca="false" t="array" ref="H13:H13">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
      </c>
      <c r="I13" s="185" t="str">
        <f aca="false" t="array" ref="I13:I13">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
      </c>
      <c r="J13" s="322" t="str">
        <f aca="false" t="array" ref="J13:J13">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
      </c>
    </row>
    <row r="14" customFormat="false" ht="15" hidden="false" customHeight="true" outlineLevel="0" collapsed="false">
      <c r="A14" s="21" t="str">
        <f aca="false" t="array" ref="A14:A14">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
      </c>
      <c r="B14" s="21" t="str">
        <f aca="false" t="array" ref="B14:B14">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
      </c>
      <c r="C14" s="136" t="str">
        <f aca="false" t="array" ref="C14:C14">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
      </c>
      <c r="D14" s="21" t="str">
        <f aca="false">IF($A14="","",COUNTIFS('DL12. Điểm danh'!$C$4:$C$1000,$A14,'DL12. Điểm danh'!$E$4:$E$1000,"*no_show*"))</f>
        <v/>
      </c>
      <c r="E14" s="136" t="str">
        <f aca="false" t="array" ref="E14:E14">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
      </c>
      <c r="F14" s="21" t="str">
        <f aca="false">IF($A14="","",COUNTIFS('DL13. Bài tập'!$D$4:$D$1000,$A14,'DL13. Bài tập'!$L$4:$L$1000,"*missing*"))</f>
        <v/>
      </c>
      <c r="G14" s="178" t="str">
        <f aca="false" t="array" ref="G14:G14">IF($A14="","",IFERROR(INDEX('DL08. Xếp lớp &amp; Nhập học'!$H$4:$H$500,MATCH($A14,'DL08. Xếp lớp &amp; Nhập học'!$C$4:$C$500,0)),"-"))</f>
        <v/>
      </c>
      <c r="H14" s="21" t="str">
        <f aca="false" t="array" ref="H14:H14">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
      </c>
      <c r="I14" s="185" t="str">
        <f aca="false" t="array" ref="I14:I14">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
      </c>
      <c r="J14" s="322" t="str">
        <f aca="false" t="array" ref="J14:J14">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
      </c>
    </row>
    <row r="15" customFormat="false" ht="15" hidden="false" customHeight="true" outlineLevel="0" collapsed="false">
      <c r="A15" s="21" t="str">
        <f aca="false" t="array" ref="A15:A15">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
      </c>
      <c r="B15" s="21" t="str">
        <f aca="false" t="array" ref="B15:B15">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
      </c>
      <c r="C15" s="136" t="str">
        <f aca="false" t="array" ref="C15:C15">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
      </c>
      <c r="D15" s="21" t="str">
        <f aca="false">IF($A15="","",COUNTIFS('DL12. Điểm danh'!$C$4:$C$1000,$A15,'DL12. Điểm danh'!$E$4:$E$1000,"*no_show*"))</f>
        <v/>
      </c>
      <c r="E15" s="136" t="str">
        <f aca="false" t="array" ref="E15:E15">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
      </c>
      <c r="F15" s="21" t="str">
        <f aca="false">IF($A15="","",COUNTIFS('DL13. Bài tập'!$D$4:$D$1000,$A15,'DL13. Bài tập'!$L$4:$L$1000,"*missing*"))</f>
        <v/>
      </c>
      <c r="G15" s="178" t="str">
        <f aca="false" t="array" ref="G15:G15">IF($A15="","",IFERROR(INDEX('DL08. Xếp lớp &amp; Nhập học'!$H$4:$H$500,MATCH($A15,'DL08. Xếp lớp &amp; Nhập học'!$C$4:$C$500,0)),"-"))</f>
        <v/>
      </c>
      <c r="H15" s="21" t="str">
        <f aca="false" t="array" ref="H15:H15">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
      </c>
      <c r="I15" s="185" t="str">
        <f aca="false" t="array" ref="I15:I15">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
      </c>
      <c r="J15" s="322" t="str">
        <f aca="false" t="array" ref="J15:J15">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
      </c>
    </row>
    <row r="16" customFormat="false" ht="15" hidden="false" customHeight="true" outlineLevel="0" collapsed="false">
      <c r="A16" s="21" t="str">
        <f aca="false" t="array" ref="A16:A16">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
      </c>
      <c r="B16" s="21" t="str">
        <f aca="false" t="array" ref="B16:B16">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
      </c>
      <c r="C16" s="136" t="str">
        <f aca="false" t="array" ref="C16:C16">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
      </c>
      <c r="D16" s="21" t="str">
        <f aca="false">IF($A16="","",COUNTIFS('DL12. Điểm danh'!$C$4:$C$1000,$A16,'DL12. Điểm danh'!$E$4:$E$1000,"*no_show*"))</f>
        <v/>
      </c>
      <c r="E16" s="136" t="str">
        <f aca="false" t="array" ref="E16:E16">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
      </c>
      <c r="F16" s="21" t="str">
        <f aca="false">IF($A16="","",COUNTIFS('DL13. Bài tập'!$D$4:$D$1000,$A16,'DL13. Bài tập'!$L$4:$L$1000,"*missing*"))</f>
        <v/>
      </c>
      <c r="G16" s="178" t="str">
        <f aca="false" t="array" ref="G16:G16">IF($A16="","",IFERROR(INDEX('DL08. Xếp lớp &amp; Nhập học'!$H$4:$H$500,MATCH($A16,'DL08. Xếp lớp &amp; Nhập học'!$C$4:$C$500,0)),"-"))</f>
        <v/>
      </c>
      <c r="H16" s="21" t="str">
        <f aca="false" t="array" ref="H16:H16">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
      </c>
      <c r="I16" s="185" t="str">
        <f aca="false" t="array" ref="I16:I16">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
      </c>
      <c r="J16" s="322" t="str">
        <f aca="false" t="array" ref="J16:J16">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
      </c>
    </row>
    <row r="17" customFormat="false" ht="15" hidden="false" customHeight="true" outlineLevel="0" collapsed="false">
      <c r="A17" s="21" t="str">
        <f aca="false" t="array" ref="A17:A17">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
      </c>
      <c r="B17" s="21" t="str">
        <f aca="false" t="array" ref="B17:B17">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
      </c>
      <c r="C17" s="136" t="str">
        <f aca="false" t="array" ref="C17:C17">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
      </c>
      <c r="D17" s="21" t="str">
        <f aca="false">IF($A17="","",COUNTIFS('DL12. Điểm danh'!$C$4:$C$1000,$A17,'DL12. Điểm danh'!$E$4:$E$1000,"*no_show*"))</f>
        <v/>
      </c>
      <c r="E17" s="136" t="str">
        <f aca="false" t="array" ref="E17:E17">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
      </c>
      <c r="F17" s="21" t="str">
        <f aca="false">IF($A17="","",COUNTIFS('DL13. Bài tập'!$D$4:$D$1000,$A17,'DL13. Bài tập'!$L$4:$L$1000,"*missing*"))</f>
        <v/>
      </c>
      <c r="G17" s="178" t="str">
        <f aca="false" t="array" ref="G17:G17">IF($A17="","",IFERROR(INDEX('DL08. Xếp lớp &amp; Nhập học'!$H$4:$H$500,MATCH($A17,'DL08. Xếp lớp &amp; Nhập học'!$C$4:$C$500,0)),"-"))</f>
        <v/>
      </c>
      <c r="H17" s="21" t="str">
        <f aca="false" t="array" ref="H17:H17">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
      </c>
      <c r="I17" s="185" t="str">
        <f aca="false" t="array" ref="I17:I17">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
      </c>
      <c r="J17" s="322" t="str">
        <f aca="false" t="array" ref="J17:J17">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
      </c>
    </row>
    <row r="18" customFormat="false" ht="15" hidden="false" customHeight="true" outlineLevel="0" collapsed="false">
      <c r="A18" s="21" t="str">
        <f aca="false" t="array" ref="A18:A18">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
      </c>
      <c r="B18" s="21" t="str">
        <f aca="false" t="array" ref="B18:B18">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
      </c>
      <c r="C18" s="136" t="str">
        <f aca="false" t="array" ref="C18:C18">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
      </c>
      <c r="D18" s="21" t="str">
        <f aca="false">IF($A18="","",COUNTIFS('DL12. Điểm danh'!$C$4:$C$1000,$A18,'DL12. Điểm danh'!$E$4:$E$1000,"*no_show*"))</f>
        <v/>
      </c>
      <c r="E18" s="136" t="str">
        <f aca="false" t="array" ref="E18:E18">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
      </c>
      <c r="F18" s="21" t="str">
        <f aca="false">IF($A18="","",COUNTIFS('DL13. Bài tập'!$D$4:$D$1000,$A18,'DL13. Bài tập'!$L$4:$L$1000,"*missing*"))</f>
        <v/>
      </c>
      <c r="G18" s="178" t="str">
        <f aca="false" t="array" ref="G18:G18">IF($A18="","",IFERROR(INDEX('DL08. Xếp lớp &amp; Nhập học'!$H$4:$H$500,MATCH($A18,'DL08. Xếp lớp &amp; Nhập học'!$C$4:$C$500,0)),"-"))</f>
        <v/>
      </c>
      <c r="H18" s="21" t="str">
        <f aca="false" t="array" ref="H18:H18">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
      </c>
      <c r="I18" s="185" t="str">
        <f aca="false" t="array" ref="I18:I18">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
      </c>
      <c r="J18" s="322" t="str">
        <f aca="false" t="array" ref="J18:J18">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
      </c>
    </row>
    <row r="19" customFormat="false" ht="15" hidden="false" customHeight="true" outlineLevel="0" collapsed="false">
      <c r="A19" s="21" t="str">
        <f aca="false" t="array" ref="A19:A19">IFERROR(IF(INDEX('DL09. Học viên'!$A$4:$A$500,SMALL(IF((ISNUMBER(SEARCH("at_risk",'DL09. Học viên'!$R$4:$R$500))+ISNUMBER(SEARCH("off_track",'DL09. Học viên'!$R$4:$R$500))+ISNUMBER(SEARCH("at_risk",'DL09. Học viên'!$S$4:$S$500))+ISNUMBER(SEARCH("off_track",'DL09. Học viên'!$S$4:$S$500))&gt;0)*('DL09. Học viên'!$A$4:$A$500&lt;&gt;""),ROW('DL09. Học viên'!$A$4:$A$500)-3),ROW()-9))="","",INDEX('DL09. Học viên'!$A$4:$A$500,SMALL(IF((ISNUMBER(SEARCH("at_risk",'DL09. Học viên'!$R$4:$R$500))+ISNUMBER(SEARCH("off_track",'DL09. Học viên'!$R$4:$R$500))+ISNUMBER(SEARCH("at_risk",'DL09. Học viên'!$S$4:$S$500))+ISNUMBER(SEARCH("off_track",'DL09. Học viên'!$S$4:$S$500))&gt;0)*('DL09. Học viên'!$A$4:$A$500&lt;&gt;""),ROW('DL09. Học viên'!$A$4:$A$500)-3),ROW()-9))),"")</f>
        <v/>
      </c>
      <c r="B19" s="21" t="str">
        <f aca="false" t="array" ref="B19:B19">IFERROR(IF(INDEX('DL09. Học viên'!$B$4:$B$500,SMALL(IF((ISNUMBER(SEARCH("at_risk",'DL09. Học viên'!$R$4:$R$500))+ISNUMBER(SEARCH("off_track",'DL09. Học viên'!$R$4:$R$500))+ISNUMBER(SEARCH("at_risk",'DL09. Học viên'!$S$4:$S$500))+ISNUMBER(SEARCH("off_track",'DL09. Học viên'!$S$4:$S$500))&gt;0)*('DL09. Học viên'!$A$4:$A$500&lt;&gt;""),ROW('DL09. Học viên'!$A$4:$A$500)-3),ROW()-9))="","",INDEX('DL09. Học viên'!$B$4:$B$500,SMALL(IF((ISNUMBER(SEARCH("at_risk",'DL09. Học viên'!$R$4:$R$500))+ISNUMBER(SEARCH("off_track",'DL09. Học viên'!$R$4:$R$500))+ISNUMBER(SEARCH("at_risk",'DL09. Học viên'!$S$4:$S$500))+ISNUMBER(SEARCH("off_track",'DL09. Học viên'!$S$4:$S$500))&gt;0)*('DL09. Học viên'!$A$4:$A$500&lt;&gt;""),ROW('DL09. Học viên'!$A$4:$A$500)-3),ROW()-9))),"")</f>
        <v/>
      </c>
      <c r="C19" s="136" t="str">
        <f aca="false" t="array" ref="C19:C19">IFERROR(IF(INDEX('DL09. Học viên'!$R$4:$R$500,SMALL(IF((ISNUMBER(SEARCH("at_risk",'DL09. Học viên'!$R$4:$R$500))+ISNUMBER(SEARCH("off_track",'DL09. Học viên'!$R$4:$R$500))+ISNUMBER(SEARCH("at_risk",'DL09. Học viên'!$S$4:$S$500))+ISNUMBER(SEARCH("off_track",'DL09. Học viên'!$S$4:$S$500))&gt;0)*('DL09. Học viên'!$A$4:$A$500&lt;&gt;""),ROW('DL09. Học viên'!$A$4:$A$500)-3),ROW()-9))="","",INDEX('DL09. Học viên'!$R$4:$R$500,SMALL(IF((ISNUMBER(SEARCH("at_risk",'DL09. Học viên'!$R$4:$R$500))+ISNUMBER(SEARCH("off_track",'DL09. Học viên'!$R$4:$R$500))+ISNUMBER(SEARCH("at_risk",'DL09. Học viên'!$S$4:$S$500))+ISNUMBER(SEARCH("off_track",'DL09. Học viên'!$S$4:$S$500))&gt;0)*('DL09. Học viên'!$A$4:$A$500&lt;&gt;""),ROW('DL09. Học viên'!$A$4:$A$500)-3),ROW()-9))),"")</f>
        <v/>
      </c>
      <c r="D19" s="21" t="str">
        <f aca="false">IF($A19="","",COUNTIFS('DL12. Điểm danh'!$C$4:$C$1000,$A19,'DL12. Điểm danh'!$E$4:$E$1000,"*no_show*"))</f>
        <v/>
      </c>
      <c r="E19" s="136" t="str">
        <f aca="false" t="array" ref="E19:E19">IFERROR(IF(INDEX('DL09. Học viên'!$S$4:$S$500,SMALL(IF((ISNUMBER(SEARCH("at_risk",'DL09. Học viên'!$R$4:$R$500))+ISNUMBER(SEARCH("off_track",'DL09. Học viên'!$R$4:$R$500))+ISNUMBER(SEARCH("at_risk",'DL09. Học viên'!$S$4:$S$500))+ISNUMBER(SEARCH("off_track",'DL09. Học viên'!$S$4:$S$500))&gt;0)*('DL09. Học viên'!$A$4:$A$500&lt;&gt;""),ROW('DL09. Học viên'!$A$4:$A$500)-3),ROW()-9))="","",INDEX('DL09. Học viên'!$S$4:$S$500,SMALL(IF((ISNUMBER(SEARCH("at_risk",'DL09. Học viên'!$R$4:$R$500))+ISNUMBER(SEARCH("off_track",'DL09. Học viên'!$R$4:$R$500))+ISNUMBER(SEARCH("at_risk",'DL09. Học viên'!$S$4:$S$500))+ISNUMBER(SEARCH("off_track",'DL09. Học viên'!$S$4:$S$500))&gt;0)*('DL09. Học viên'!$A$4:$A$500&lt;&gt;""),ROW('DL09. Học viên'!$A$4:$A$500)-3),ROW()-9))),"")</f>
        <v/>
      </c>
      <c r="F19" s="21" t="str">
        <f aca="false">IF($A19="","",COUNTIFS('DL13. Bài tập'!$D$4:$D$1000,$A19,'DL13. Bài tập'!$L$4:$L$1000,"*missing*"))</f>
        <v/>
      </c>
      <c r="G19" s="178" t="str">
        <f aca="false" t="array" ref="G19:G19">IF($A19="","",IFERROR(INDEX('DL08. Xếp lớp &amp; Nhập học'!$H$4:$H$500,MATCH($A19,'DL08. Xếp lớp &amp; Nhập học'!$C$4:$C$500,0)),"-"))</f>
        <v/>
      </c>
      <c r="H19" s="21" t="str">
        <f aca="false" t="array" ref="H19:H19">IFERROR(IF(INDEX('DL09. Học viên'!$C$4:$C$500,SMALL(IF((ISNUMBER(SEARCH("at_risk",'DL09. Học viên'!$R$4:$R$500))+ISNUMBER(SEARCH("off_track",'DL09. Học viên'!$R$4:$R$500))+ISNUMBER(SEARCH("at_risk",'DL09. Học viên'!$S$4:$S$500))+ISNUMBER(SEARCH("off_track",'DL09. Học viên'!$S$4:$S$500))&gt;0)*('DL09. Học viên'!$A$4:$A$500&lt;&gt;""),ROW('DL09. Học viên'!$A$4:$A$500)-3),ROW()-9))="","",INDEX('DL09. Học viên'!$C$4:$C$500,SMALL(IF((ISNUMBER(SEARCH("at_risk",'DL09. Học viên'!$R$4:$R$500))+ISNUMBER(SEARCH("off_track",'DL09. Học viên'!$R$4:$R$500))+ISNUMBER(SEARCH("at_risk",'DL09. Học viên'!$S$4:$S$500))+ISNUMBER(SEARCH("off_track",'DL09. Học viên'!$S$4:$S$500))&gt;0)*('DL09. Học viên'!$A$4:$A$500&lt;&gt;""),ROW('DL09. Học viên'!$A$4:$A$500)-3),ROW()-9))),"")</f>
        <v/>
      </c>
      <c r="I19" s="185" t="str">
        <f aca="false" t="array" ref="I19:I19">IFERROR(IF(INDEX('DL09. Học viên'!$V$4:$V$500,SMALL(IF((ISNUMBER(SEARCH("at_risk",'DL09. Học viên'!$R$4:$R$500))+ISNUMBER(SEARCH("off_track",'DL09. Học viên'!$R$4:$R$500))+ISNUMBER(SEARCH("at_risk",'DL09. Học viên'!$S$4:$S$500))+ISNUMBER(SEARCH("off_track",'DL09. Học viên'!$S$4:$S$500))&gt;0)*('DL09. Học viên'!$A$4:$A$500&lt;&gt;""),ROW('DL09. Học viên'!$A$4:$A$500)-3),ROW()-9))="","",INDEX('DL09. Học viên'!$V$4:$V$500,SMALL(IF((ISNUMBER(SEARCH("at_risk",'DL09. Học viên'!$R$4:$R$500))+ISNUMBER(SEARCH("off_track",'DL09. Học viên'!$R$4:$R$500))+ISNUMBER(SEARCH("at_risk",'DL09. Học viên'!$S$4:$S$500))+ISNUMBER(SEARCH("off_track",'DL09. Học viên'!$S$4:$S$500))&gt;0)*('DL09. Học viên'!$A$4:$A$500&lt;&gt;""),ROW('DL09. Học viên'!$A$4:$A$500)-3),ROW()-9))),"")</f>
        <v/>
      </c>
      <c r="J19" s="322" t="str">
        <f aca="false" t="array" ref="J19:J19">IFERROR(IF(INDEX('DL09. Học viên'!$AD$4:$AD$500,SMALL(IF((ISNUMBER(SEARCH("at_risk",'DL09. Học viên'!$R$4:$R$500))+ISNUMBER(SEARCH("off_track",'DL09. Học viên'!$R$4:$R$500))+ISNUMBER(SEARCH("at_risk",'DL09. Học viên'!$S$4:$S$500))+ISNUMBER(SEARCH("off_track",'DL09. Học viên'!$S$4:$S$500))&gt;0)*('DL09. Học viên'!$A$4:$A$500&lt;&gt;""),ROW('DL09. Học viên'!$A$4:$A$500)-3),ROW()-9))="","",INDEX('DL09. Học viên'!$AD$4:$AD$500,SMALL(IF((ISNUMBER(SEARCH("at_risk",'DL09. Học viên'!$R$4:$R$500))+ISNUMBER(SEARCH("off_track",'DL09. Học viên'!$R$4:$R$500))+ISNUMBER(SEARCH("at_risk",'DL09. Học viên'!$S$4:$S$500))+ISNUMBER(SEARCH("off_track",'DL09. Học viên'!$S$4:$S$500))&gt;0)*('DL09. Học viên'!$A$4:$A$500&lt;&gt;""),ROW('DL09. Học viên'!$A$4:$A$500)-3),ROW()-9))),"")</f>
        <v/>
      </c>
    </row>
    <row r="20" customFormat="false" ht="15" hidden="false" customHeight="true" outlineLevel="0" collapsed="false">
      <c r="A20" s="4"/>
      <c r="B20" s="4"/>
      <c r="C20" s="4"/>
      <c r="D20" s="4"/>
      <c r="E20" s="4"/>
      <c r="F20" s="4"/>
      <c r="G20" s="4"/>
      <c r="H20" s="4"/>
      <c r="I20" s="4"/>
      <c r="J20" s="4"/>
    </row>
    <row r="21" customFormat="false" ht="15" hidden="false" customHeight="true" outlineLevel="0" collapsed="false">
      <c r="A21" s="4"/>
      <c r="B21" s="4"/>
      <c r="C21" s="4"/>
      <c r="D21" s="4"/>
      <c r="E21" s="4"/>
      <c r="F21" s="4"/>
      <c r="G21" s="4"/>
      <c r="H21" s="4"/>
      <c r="I21" s="4"/>
      <c r="J21" s="4"/>
    </row>
    <row r="22" customFormat="false" ht="25.5" hidden="false" customHeight="true" outlineLevel="0" collapsed="false">
      <c r="A22" s="323" t="s">
        <v>3840</v>
      </c>
      <c r="B22" s="323"/>
      <c r="C22" s="323"/>
      <c r="D22" s="323"/>
      <c r="E22" s="323"/>
      <c r="F22" s="323"/>
      <c r="G22" s="323"/>
      <c r="H22" s="323"/>
      <c r="I22" s="323"/>
      <c r="J22" s="323"/>
    </row>
    <row r="23" customFormat="false" ht="21.75" hidden="false" customHeight="true" outlineLevel="0" collapsed="false">
      <c r="A23" s="324" t="s">
        <v>250</v>
      </c>
      <c r="B23" s="324" t="s">
        <v>3841</v>
      </c>
      <c r="C23" s="324" t="s">
        <v>204</v>
      </c>
      <c r="D23" s="324" t="s">
        <v>474</v>
      </c>
      <c r="E23" s="324" t="s">
        <v>3842</v>
      </c>
      <c r="F23" s="4"/>
      <c r="G23" s="4"/>
      <c r="H23" s="4"/>
      <c r="I23" s="4"/>
      <c r="J23" s="4"/>
    </row>
    <row r="24" customFormat="false" ht="68.25" hidden="false" customHeight="true" outlineLevel="0" collapsed="false">
      <c r="A24" s="21" t="s">
        <v>3843</v>
      </c>
      <c r="B24" s="21" t="s">
        <v>3844</v>
      </c>
      <c r="C24" s="21" t="s">
        <v>3845</v>
      </c>
      <c r="D24" s="21" t="s">
        <v>88</v>
      </c>
      <c r="E24" s="21" t="s">
        <v>3846</v>
      </c>
      <c r="F24" s="4"/>
      <c r="G24" s="4"/>
      <c r="H24" s="4"/>
      <c r="I24" s="4"/>
      <c r="J24" s="4"/>
    </row>
    <row r="25" customFormat="false" ht="68.25" hidden="false" customHeight="true" outlineLevel="0" collapsed="false">
      <c r="A25" s="21" t="s">
        <v>3847</v>
      </c>
      <c r="B25" s="21" t="s">
        <v>3848</v>
      </c>
      <c r="C25" s="21" t="s">
        <v>3849</v>
      </c>
      <c r="D25" s="21" t="s">
        <v>3850</v>
      </c>
      <c r="E25" s="21" t="s">
        <v>3851</v>
      </c>
      <c r="F25" s="4"/>
      <c r="G25" s="4"/>
      <c r="H25" s="4"/>
      <c r="I25" s="4"/>
      <c r="J25" s="4"/>
    </row>
    <row r="26" customFormat="false" ht="68.25" hidden="false" customHeight="true" outlineLevel="0" collapsed="false">
      <c r="A26" s="21" t="s">
        <v>3852</v>
      </c>
      <c r="B26" s="21" t="s">
        <v>3368</v>
      </c>
      <c r="C26" s="21" t="s">
        <v>3853</v>
      </c>
      <c r="D26" s="21" t="s">
        <v>3854</v>
      </c>
      <c r="E26" s="21" t="s">
        <v>3846</v>
      </c>
      <c r="F26" s="4"/>
      <c r="G26" s="4"/>
      <c r="H26" s="4"/>
      <c r="I26" s="4"/>
      <c r="J26" s="4"/>
    </row>
    <row r="27" customFormat="false" ht="68.25" hidden="false" customHeight="true" outlineLevel="0" collapsed="false">
      <c r="A27" s="21" t="s">
        <v>3855</v>
      </c>
      <c r="B27" s="21" t="s">
        <v>3848</v>
      </c>
      <c r="C27" s="21" t="s">
        <v>3856</v>
      </c>
      <c r="D27" s="21" t="s">
        <v>3857</v>
      </c>
      <c r="E27" s="21" t="s">
        <v>3851</v>
      </c>
      <c r="F27" s="4"/>
      <c r="G27" s="4"/>
      <c r="H27" s="4"/>
      <c r="I27" s="4"/>
      <c r="J27" s="4"/>
    </row>
    <row r="28" customFormat="false" ht="68.25" hidden="false" customHeight="true" outlineLevel="0" collapsed="false">
      <c r="A28" s="21" t="s">
        <v>3858</v>
      </c>
      <c r="B28" s="21" t="s">
        <v>3859</v>
      </c>
      <c r="C28" s="21" t="s">
        <v>3860</v>
      </c>
      <c r="D28" s="21" t="s">
        <v>3861</v>
      </c>
      <c r="E28" s="21" t="s">
        <v>3486</v>
      </c>
      <c r="F28" s="4"/>
      <c r="G28" s="4"/>
      <c r="H28" s="4"/>
      <c r="I28" s="4"/>
      <c r="J28" s="4"/>
    </row>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9">
    <mergeCell ref="A1:J1"/>
    <mergeCell ref="A2:J2"/>
    <mergeCell ref="A4:B4"/>
    <mergeCell ref="C4:D4"/>
    <mergeCell ref="E4:F4"/>
    <mergeCell ref="G4:H4"/>
    <mergeCell ref="I4:J4"/>
    <mergeCell ref="A5:B5"/>
    <mergeCell ref="C5:D5"/>
    <mergeCell ref="E5:F5"/>
    <mergeCell ref="G5:H5"/>
    <mergeCell ref="I5:J5"/>
    <mergeCell ref="A6:B6"/>
    <mergeCell ref="C6:D6"/>
    <mergeCell ref="E6:F6"/>
    <mergeCell ref="G6:H6"/>
    <mergeCell ref="I6:J6"/>
    <mergeCell ref="A8:J8"/>
    <mergeCell ref="A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770E"/>
    <pageSetUpPr fitToPage="false"/>
  </sheetPr>
  <dimension ref="A1:H9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8.57"/>
    <col collapsed="false" customWidth="true" hidden="false" outlineLevel="0" max="2" min="2" style="1" width="9"/>
    <col collapsed="false" customWidth="true" hidden="false" outlineLevel="0" max="3" min="3" style="1" width="48"/>
    <col collapsed="false" customWidth="true" hidden="false" outlineLevel="0" max="4" min="4" style="1" width="28"/>
    <col collapsed="false" customWidth="true" hidden="false" outlineLevel="0" max="6" min="5" style="1" width="14"/>
    <col collapsed="false" customWidth="true" hidden="false" outlineLevel="0" max="7" min="7" style="1" width="22"/>
    <col collapsed="false" customWidth="true" hidden="false" outlineLevel="0" max="8" min="8" style="1" width="71.86"/>
    <col collapsed="false" customWidth="true" hidden="false" outlineLevel="0" max="26" min="9" style="1" width="8.71"/>
  </cols>
  <sheetData>
    <row r="1" customFormat="false" ht="36" hidden="false" customHeight="true" outlineLevel="0" collapsed="false">
      <c r="A1" s="325" t="s">
        <v>3862</v>
      </c>
      <c r="B1" s="325"/>
      <c r="C1" s="325"/>
      <c r="D1" s="325"/>
      <c r="E1" s="325"/>
      <c r="F1" s="325"/>
      <c r="G1" s="325"/>
      <c r="H1" s="325"/>
    </row>
    <row r="2" customFormat="false" ht="25.5" hidden="false" customHeight="true" outlineLevel="0" collapsed="false">
      <c r="A2" s="3" t="s">
        <v>3863</v>
      </c>
      <c r="B2" s="3"/>
      <c r="C2" s="3"/>
      <c r="D2" s="3"/>
      <c r="E2" s="3"/>
      <c r="F2" s="3"/>
      <c r="G2" s="3"/>
      <c r="H2" s="3"/>
    </row>
    <row r="3" customFormat="false" ht="15" hidden="false" customHeight="true" outlineLevel="0" collapsed="false">
      <c r="A3" s="4"/>
      <c r="B3" s="4"/>
      <c r="C3" s="4"/>
      <c r="D3" s="4"/>
      <c r="E3" s="4"/>
      <c r="F3" s="4"/>
      <c r="G3" s="4"/>
      <c r="H3" s="4"/>
    </row>
    <row r="4" customFormat="false" ht="21.75" hidden="false" customHeight="true" outlineLevel="0" collapsed="false">
      <c r="A4" s="320" t="s">
        <v>2119</v>
      </c>
      <c r="B4" s="320" t="s">
        <v>3864</v>
      </c>
      <c r="C4" s="320" t="s">
        <v>3865</v>
      </c>
      <c r="D4" s="320" t="s">
        <v>3866</v>
      </c>
      <c r="E4" s="320" t="s">
        <v>944</v>
      </c>
      <c r="F4" s="320" t="s">
        <v>3867</v>
      </c>
      <c r="G4" s="320" t="s">
        <v>250</v>
      </c>
      <c r="H4" s="320" t="s">
        <v>3868</v>
      </c>
    </row>
    <row r="5" customFormat="false" ht="58.5" hidden="false" customHeight="true" outlineLevel="0" collapsed="false">
      <c r="A5" s="326" t="s">
        <v>2124</v>
      </c>
      <c r="B5" s="327" t="str">
        <f aca="false">HYPERLINK("#'CH6. Ngưỡng KPI'!A"&amp;MATCH("LRT",'CH6. Ngưỡng KPI'!$A:$A,0),"LRT")</f>
        <v>LRT</v>
      </c>
      <c r="C5" s="328" t="s">
        <v>2122</v>
      </c>
      <c r="D5" s="328" t="s">
        <v>1444</v>
      </c>
      <c r="E5" s="329" t="n">
        <f aca="false">IFERROR(SUMPRODUCT(('DL02. Khách tiềm năng'!D4:D500&lt;&gt;"")*('DL02. Khách tiềm năng'!B4:B500&lt;&gt;"")*('DL02. Khách tiềm năng'!D4:D500-'DL02. Khách tiềm năng'!B4:B500))/SUMPRODUCT(('DL02. Khách tiềm năng'!D4:D500&lt;&gt;"")*('DL02. Khách tiềm năng'!B4:B500&lt;&gt;""))*24*60,0)</f>
        <v>0</v>
      </c>
      <c r="F5" s="330" t="str">
        <f aca="false">HYPERLINK("#'CH6. Ngưỡng KPI'!A"&amp;MATCH("LRT",'CH6. Ngưỡng KPI'!$A:$A,0),"≤ "&amp;slaLRT_minutes&amp;" phút")</f>
        <v>≤ 15 phút</v>
      </c>
      <c r="G5" s="331" t="str">
        <f aca="false">IF(N(E5)=0,"-",IF(E5&lt;=slaLRT_minutes,"ĐẠT","VƯỢT NGƯỠNG"))</f>
        <v>-</v>
      </c>
      <c r="H5" s="332" t="s">
        <v>2125</v>
      </c>
    </row>
    <row r="6" customFormat="false" ht="58.5" hidden="false" customHeight="true" outlineLevel="0" collapsed="false">
      <c r="A6" s="326" t="s">
        <v>2124</v>
      </c>
      <c r="B6" s="327" t="str">
        <f aca="false">HYPERLINK("#'CH6. Ngưỡng KPI'!A"&amp;MATCH("VLR",'CH6. Ngưỡng KPI'!$A:$A,0),"VLR")</f>
        <v>VLR</v>
      </c>
      <c r="C6" s="328" t="s">
        <v>2126</v>
      </c>
      <c r="D6" s="328" t="s">
        <v>3869</v>
      </c>
      <c r="E6" s="333" t="n">
        <f aca="false">IFERROR(COUNTIF('DL02. Khách tiềm năng'!O4:O500,"qualified*")/COUNTA('DL02. Khách tiềm năng'!A4:A500),0)</f>
        <v>0.85</v>
      </c>
      <c r="F6" s="334" t="str">
        <f aca="false">HYPERLINK("#'CH6. Ngưỡng KPI'!A"&amp;MATCH("VLR",'CH6. Ngưỡng KPI'!$A:$A,0),"≥ "&amp;TEXT(kpiThreshold_VLR,"0%"))</f>
        <v>≥ 60%</v>
      </c>
      <c r="G6" s="331" t="str">
        <f aca="false">IF(E6&gt;=kpiThreshold_VLR,"ĐẠT","DƯỚI NGƯỠNG")</f>
        <v>ĐẠT</v>
      </c>
      <c r="H6" s="332" t="s">
        <v>2128</v>
      </c>
    </row>
    <row r="7" customFormat="false" ht="58.5" hidden="false" customHeight="true" outlineLevel="0" collapsed="false">
      <c r="A7" s="326" t="s">
        <v>2131</v>
      </c>
      <c r="B7" s="327" t="str">
        <f aca="false">HYPERLINK("#'CH6. Ngưỡng KPI'!A"&amp;MATCH("TBR",'CH6. Ngưỡng KPI'!$A:$A,0),"TBR")</f>
        <v>TBR</v>
      </c>
      <c r="C7" s="328" t="s">
        <v>2130</v>
      </c>
      <c r="D7" s="328" t="s">
        <v>3870</v>
      </c>
      <c r="E7" s="333" t="n">
        <f aca="false">IFERROR(COUNTIF('DL03. Đặt lịch test'!E4:E500,"booked*")/COUNTA('DL02. Khách tiềm năng'!A4:A500),0)</f>
        <v>0.3</v>
      </c>
      <c r="F7" s="330" t="str">
        <f aca="false">HYPERLINK("#'CH6. Ngưỡng KPI'!A"&amp;MATCH("TBR",'CH6. Ngưỡng KPI'!$A:$A,0),"≥ "&amp;TEXT(kpiThreshold_TBR,"0%"))</f>
        <v>≥ 50%</v>
      </c>
      <c r="G7" s="331" t="str">
        <f aca="false">IF(E7&gt;=kpiThreshold_TBR,"ĐẠT","DƯỚI NGƯỠNG")</f>
        <v>DƯỚI NGƯỠNG</v>
      </c>
      <c r="H7" s="332" t="s">
        <v>2132</v>
      </c>
    </row>
    <row r="8" customFormat="false" ht="58.5" hidden="false" customHeight="true" outlineLevel="0" collapsed="false">
      <c r="A8" s="326" t="s">
        <v>2131</v>
      </c>
      <c r="B8" s="327" t="str">
        <f aca="false">HYPERLINK("#'CH6. Ngưỡng KPI'!A"&amp;MATCH("TAR",'CH6. Ngưỡng KPI'!$A:$A,0),"TAR")</f>
        <v>TAR</v>
      </c>
      <c r="C8" s="328" t="s">
        <v>2133</v>
      </c>
      <c r="D8" s="328" t="s">
        <v>3871</v>
      </c>
      <c r="E8" s="333" t="n">
        <f aca="false">IFERROR((COUNTIF('DL03. Đặt lịch test'!G4:G500,"on_time*")+COUNTIF('DL03. Đặt lịch test'!G4:G500,"late*"))/COUNTIF('DL03. Đặt lịch test'!E4:E500,"booked*"),0)</f>
        <v>1</v>
      </c>
      <c r="F8" s="334" t="str">
        <f aca="false">HYPERLINK("#'CH6. Ngưỡng KPI'!A"&amp;MATCH("TAR",'CH6. Ngưỡng KPI'!$A:$A,0),"≥ "&amp;TEXT(kpiThreshold_TAR,"0%"))</f>
        <v>≥ 85%</v>
      </c>
      <c r="G8" s="331" t="str">
        <f aca="false">IF(E8&gt;=kpiThreshold_TAR,"ĐẠT","DƯỚI NGƯỠNG")</f>
        <v>ĐẠT</v>
      </c>
      <c r="H8" s="332" t="s">
        <v>2134</v>
      </c>
    </row>
    <row r="9" customFormat="false" ht="58.5" hidden="false" customHeight="true" outlineLevel="0" collapsed="false">
      <c r="A9" s="326" t="s">
        <v>2131</v>
      </c>
      <c r="B9" s="327" t="str">
        <f aca="false">HYPERLINK("#'CH6. Ngưỡng KPI'!A"&amp;MATCH("NSR",'CH6. Ngưỡng KPI'!$A:$A,0),"NSR")</f>
        <v>NSR</v>
      </c>
      <c r="C9" s="328" t="s">
        <v>2136</v>
      </c>
      <c r="D9" s="328" t="s">
        <v>3872</v>
      </c>
      <c r="E9" s="333" t="n">
        <f aca="false">IFERROR(COUNTIF('DL03. Đặt lịch test'!G4:G500,"no_show*")/COUNTIF('DL03. Đặt lịch test'!E4:E500,"booked*"),0)</f>
        <v>0</v>
      </c>
      <c r="F9" s="330" t="str">
        <f aca="false">HYPERLINK("#'CH6. Ngưỡng KPI'!A"&amp;MATCH("NSR",'CH6. Ngưỡng KPI'!$A:$A,0),"≤ "&amp;TEXT(kpiThreshold_NSR,"0%"))</f>
        <v>≤ 15%</v>
      </c>
      <c r="G9" s="331" t="str">
        <f aca="false">IF(E9&lt;=kpiThreshold_NSR,"ĐẠT","VƯỢT NGƯỠNG")</f>
        <v>ĐẠT</v>
      </c>
      <c r="H9" s="332" t="s">
        <v>2137</v>
      </c>
    </row>
    <row r="10" customFormat="false" ht="58.5" hidden="false" customHeight="true" outlineLevel="0" collapsed="false">
      <c r="A10" s="326" t="s">
        <v>2131</v>
      </c>
      <c r="B10" s="327" t="str">
        <f aca="false">HYPERLINK("#'CH6. Ngưỡng KPI'!A"&amp;MATCH("PTD",'CH6. Ngưỡng KPI'!$A:$A,0),"PTD")</f>
        <v>PTD</v>
      </c>
      <c r="C10" s="328" t="s">
        <v>2139</v>
      </c>
      <c r="D10" s="328" t="s">
        <v>3873</v>
      </c>
      <c r="E10" s="333" t="n">
        <f aca="false">IFERROR(COUNTIF('DL03. Đặt lịch test'!R4:R500,"consulted*")/COUNTIF('DL03. Đặt lịch test'!J4:J500,"graded*"),0)</f>
        <v>1</v>
      </c>
      <c r="F10" s="330" t="str">
        <f aca="false">HYPERLINK("#'CH6. Ngưỡng KPI'!A"&amp;MATCH("PTD",'CH6. Ngưỡng KPI'!$A:$A,0),"≥ "&amp;TEXT(kpiThreshold_PTD,"0%"))</f>
        <v>≥ 80%</v>
      </c>
      <c r="G10" s="331" t="str">
        <f aca="false">IF(E10&gt;=kpiThreshold_PTD,"ĐẠT","DƯỚI NGƯỠNG")</f>
        <v>ĐẠT</v>
      </c>
      <c r="H10" s="332" t="s">
        <v>2140</v>
      </c>
    </row>
    <row r="11" customFormat="false" ht="58.5" hidden="false" customHeight="true" outlineLevel="0" collapsed="false">
      <c r="A11" s="326" t="s">
        <v>2131</v>
      </c>
      <c r="B11" s="327" t="str">
        <f aca="false">HYPERLINK("#'CH6. Ngưỡng KPI'!A"&amp;MATCH("GLA",'CH6. Ngưỡng KPI'!$A:$A,0),"GLA")</f>
        <v>GLA</v>
      </c>
      <c r="C11" s="328" t="s">
        <v>2141</v>
      </c>
      <c r="D11" s="328" t="s">
        <v>3874</v>
      </c>
      <c r="E11" s="333" t="n">
        <f aca="false">IFERROR(SUMPRODUCT(('DL03. Đặt lịch test'!Q4:Q500&lt;&gt;"")*('DL03. Đặt lịch test'!Q4:Q500-'DL03. Đặt lịch test'!C4:C500&lt;=1))/MAX(COUNTIF('DL03. Đặt lịch test'!J4:J500,"graded*"),1),0)</f>
        <v>1</v>
      </c>
      <c r="F11" s="330" t="str">
        <f aca="false">HYPERLINK("#'CH6. Ngưỡng KPI'!A"&amp;MATCH("GLA",'CH6. Ngưỡng KPI'!$A:$A,0),"≥ "&amp;TEXT(kpiThreshold_GLA,"0%"))</f>
        <v>≥ 100%</v>
      </c>
      <c r="G11" s="331" t="str">
        <f aca="false">IF(E11&gt;=kpiThreshold_GLA,"ĐẠT","DƯỚI NGƯỠNG")</f>
        <v>ĐẠT</v>
      </c>
      <c r="H11" s="332" t="s">
        <v>2142</v>
      </c>
    </row>
    <row r="12" customFormat="false" ht="58.5" hidden="false" customHeight="true" outlineLevel="0" collapsed="false">
      <c r="A12" s="326" t="s">
        <v>2131</v>
      </c>
      <c r="B12" s="327" t="str">
        <f aca="false">HYPERLINK("#'CH6. Ngưỡng KPI'!A"&amp;MATCH("ANR",'CH6. Ngưỡng KPI'!$A:$A,0),"ANR")</f>
        <v>ANR</v>
      </c>
      <c r="C12" s="328" t="s">
        <v>2144</v>
      </c>
      <c r="D12" s="328" t="s">
        <v>3875</v>
      </c>
      <c r="E12" s="333" t="n">
        <f aca="false">IFERROR(SUMPRODUCT((LEN('DL03. Đặt lịch test'!P4:P500)&gt;30)*1)/MAX(COUNTIF('DL03. Đặt lịch test'!J4:J500,"graded*"),1),0)</f>
        <v>0</v>
      </c>
      <c r="F12" s="330" t="str">
        <f aca="false">HYPERLINK("#'CH6. Ngưỡng KPI'!A"&amp;MATCH("ANR",'CH6. Ngưỡng KPI'!$A:$A,0),"≥ "&amp;TEXT(kpiThreshold_ANR,"0%"))</f>
        <v>≥ 100%</v>
      </c>
      <c r="G12" s="331" t="str">
        <f aca="false">IF(E12&gt;=kpiThreshold_ANR,"ĐẠT","DƯỚI NGƯỠNG")</f>
        <v>DƯỚI NGƯỠNG</v>
      </c>
      <c r="H12" s="332" t="s">
        <v>2145</v>
      </c>
    </row>
    <row r="13" customFormat="false" ht="58.5" hidden="false" customHeight="true" outlineLevel="0" collapsed="false">
      <c r="A13" s="326" t="s">
        <v>2148</v>
      </c>
      <c r="B13" s="327" t="str">
        <f aca="false">HYPERLINK("#'CH6. Ngưỡng KPI'!A"&amp;MATCH("CR3",'CH6. Ngưỡng KPI'!$A:$A,0),"CR3")</f>
        <v>CR3</v>
      </c>
      <c r="C13" s="328" t="s">
        <v>2147</v>
      </c>
      <c r="D13" s="328" t="s">
        <v>3876</v>
      </c>
      <c r="E13" s="333" t="n">
        <f aca="false">IFERROR(COUNTIF('DL04. Tư vấn'!E4:E500,"consulted*")/COUNTA('DL02. Khách tiềm năng'!A4:A500),0)</f>
        <v>0.65</v>
      </c>
      <c r="F13" s="330" t="str">
        <f aca="false">HYPERLINK("#'CH6. Ngưỡng KPI'!A"&amp;MATCH("CR3",'CH6. Ngưỡng KPI'!$A:$A,0),"≥ "&amp;TEXT(kpiThreshold_CR3,"0%"))</f>
        <v>≥ 50%</v>
      </c>
      <c r="G13" s="331" t="str">
        <f aca="false">IF(E13&gt;=kpiThreshold_CR3,"ĐẠT","DƯỚI NGƯỠNG")</f>
        <v>ĐẠT</v>
      </c>
      <c r="H13" s="332" t="s">
        <v>2149</v>
      </c>
    </row>
    <row r="14" customFormat="false" ht="58.5" hidden="false" customHeight="true" outlineLevel="0" collapsed="false">
      <c r="A14" s="326" t="s">
        <v>2148</v>
      </c>
      <c r="B14" s="327" t="str">
        <f aca="false">HYPERLINK("#'CH6. Ngưỡng KPI'!A"&amp;MATCH("CVR",'CH6. Ngưỡng KPI'!$A:$A,0),"CVR")</f>
        <v>CVR</v>
      </c>
      <c r="C14" s="328" t="s">
        <v>2150</v>
      </c>
      <c r="D14" s="328" t="s">
        <v>3877</v>
      </c>
      <c r="E14" s="333" t="n">
        <f aca="false">IFERROR(COUNTIF('DL04. Tư vấn'!K4:K500,"confirmed_with_deposit*")/COUNTA('DL02. Khách tiềm năng'!A4:A500),0)</f>
        <v>0.6</v>
      </c>
      <c r="F14" s="334" t="str">
        <f aca="false">HYPERLINK("#'CH6. Ngưỡng KPI'!A"&amp;MATCH("CVR",'CH6. Ngưỡng KPI'!$A:$A,0),"≥ "&amp;TEXT(kpiThreshold_CVR,"0%"))</f>
        <v>≥ 40%</v>
      </c>
      <c r="G14" s="331" t="str">
        <f aca="false">IF(E14&gt;=kpiThreshold_CVR,"ĐẠT","DƯỚI NGƯỠNG")</f>
        <v>ĐẠT</v>
      </c>
      <c r="H14" s="332" t="s">
        <v>2151</v>
      </c>
    </row>
    <row r="15" customFormat="false" ht="58.5" hidden="false" customHeight="true" outlineLevel="0" collapsed="false">
      <c r="A15" s="326" t="s">
        <v>2148</v>
      </c>
      <c r="B15" s="327" t="str">
        <f aca="false">HYPERLINK("#'CH6. Ngưỡng KPI'!A"&amp;MATCH("DR3",'CH6. Ngưỡng KPI'!$A:$A,0),"DR3")</f>
        <v>DR3</v>
      </c>
      <c r="C15" s="328" t="s">
        <v>2153</v>
      </c>
      <c r="D15" s="328" t="s">
        <v>3878</v>
      </c>
      <c r="E15" s="333" t="n">
        <f aca="false">IFERROR(COUNTIF('DL04. Tư vấn'!K4:K500,"dropped*")/MAX(COUNTIF('DL04. Tư vấn'!E4:E500,"consulted*"),1),0)</f>
        <v>0</v>
      </c>
      <c r="F15" s="330" t="str">
        <f aca="false">HYPERLINK("#'CH6. Ngưỡng KPI'!A"&amp;MATCH("DR3",'CH6. Ngưỡng KPI'!$A:$A,0),"≤ "&amp;TEXT(kpiThreshold_DR3,"0%"))</f>
        <v>≤ 30%</v>
      </c>
      <c r="G15" s="331" t="str">
        <f aca="false">IF(E15&lt;=kpiThreshold_DR3,"ĐẠT","VƯỢT NGƯỠNG")</f>
        <v>ĐẠT</v>
      </c>
      <c r="H15" s="332" t="s">
        <v>2154</v>
      </c>
    </row>
    <row r="16" customFormat="false" ht="58.5" hidden="false" customHeight="true" outlineLevel="0" collapsed="false">
      <c r="A16" s="326" t="s">
        <v>2148</v>
      </c>
      <c r="B16" s="327" t="str">
        <f aca="false">HYPERLINK("#'CH6. Ngưỡng KPI'!A"&amp;MATCH("CVT",'CH6. Ngưỡng KPI'!$A:$A,0),"CVT")</f>
        <v>CVT</v>
      </c>
      <c r="C16" s="328" t="s">
        <v>2155</v>
      </c>
      <c r="D16" s="328" t="s">
        <v>1451</v>
      </c>
      <c r="E16" s="329" t="n">
        <f aca="false" t="array" ref="E16:E16">IFERROR(SUMPRODUCT(ISNUMBER(MATCH('DL03. Đặt lịch test'!A4:A500,'DL04. Tư vấn'!C4:C500,0))*('DL03. Đặt lịch test'!Q4:Q500&lt;&gt;"")*(IFERROR(INDEX('DL04. Tư vấn'!F4:F500,MATCH('DL03. Đặt lịch test'!A4:A500,'DL04. Tư vấn'!C4:C500,0)),0)-'DL03. Đặt lịch test'!Q4:Q500)*24)/MAX(SUMPRODUCT(ISNUMBER(MATCH('DL03. Đặt lịch test'!A4:A500,'DL04. Tư vấn'!C4:C500,0))*('DL03. Đặt lịch test'!Q4:Q500&lt;&gt;"")),1),0)</f>
        <v>0.200000000232831</v>
      </c>
      <c r="F16" s="330" t="str">
        <f aca="false">HYPERLINK("#'CH6. Ngưỡng KPI'!A"&amp;MATCH("CVT",'CH6. Ngưỡng KPI'!$A:$A,0),"≤ "&amp;slaCVT_hours&amp;"h")</f>
        <v>≤ 24h</v>
      </c>
      <c r="G16" s="331" t="str">
        <f aca="false">IF(E16&lt;=slaCVT_hours,"ĐẠT","VƯỢT NGƯỠNG")</f>
        <v>ĐẠT</v>
      </c>
      <c r="H16" s="332" t="s">
        <v>2156</v>
      </c>
    </row>
    <row r="17" customFormat="false" ht="58.5" hidden="false" customHeight="true" outlineLevel="0" collapsed="false">
      <c r="A17" s="326" t="s">
        <v>2158</v>
      </c>
      <c r="B17" s="327" t="str">
        <f aca="false">HYPERLINK("#'CH6. Ngưỡng KPI'!A"&amp;MATCH("PCR",'CH6. Ngưỡng KPI'!$A:$A,0),"PCR")</f>
        <v>PCR</v>
      </c>
      <c r="C17" s="328" t="s">
        <v>2157</v>
      </c>
      <c r="D17" s="328" t="s">
        <v>3879</v>
      </c>
      <c r="E17" s="333" t="n">
        <f aca="false">IFERROR(COUNTIF('DL06. Đăng ký'!P4:P500,"*paid*")/COUNTA('DL06. Đăng ký'!A4:A500),0)</f>
        <v>0.733333333333333</v>
      </c>
      <c r="F17" s="334" t="str">
        <f aca="false">HYPERLINK("#'CH6. Ngưỡng KPI'!A"&amp;MATCH("PCR",'CH6. Ngưỡng KPI'!$A:$A,0),"≥ "&amp;TEXT(kpiThreshold_PCR,"0%"))</f>
        <v>≥ 80%</v>
      </c>
      <c r="G17" s="331" t="str">
        <f aca="false">IF(E17&gt;=kpiThreshold_PCR,"ĐẠT","DƯỚI NGƯỠNG")</f>
        <v>DƯỚI NGƯỠNG</v>
      </c>
      <c r="H17" s="332" t="s">
        <v>2159</v>
      </c>
    </row>
    <row r="18" customFormat="false" ht="58.5" hidden="false" customHeight="true" outlineLevel="0" collapsed="false">
      <c r="A18" s="326" t="s">
        <v>2158</v>
      </c>
      <c r="B18" s="327" t="str">
        <f aca="false">HYPERLINK("#'CH6. Ngưỡng KPI'!A"&amp;MATCH("CAR",'CH6. Ngưỡng KPI'!$A:$A,0),"CAR")</f>
        <v>CAR</v>
      </c>
      <c r="C18" s="328" t="s">
        <v>2161</v>
      </c>
      <c r="D18" s="328" t="s">
        <v>3880</v>
      </c>
      <c r="E18" s="333" t="n">
        <f aca="false">IFERROR(COUNTIF('DL06. Đăng ký'!F4:F500,"cancelled*")/COUNTA('DL06. Đăng ký'!A4:A500),0)</f>
        <v>0.0666666666666667</v>
      </c>
      <c r="F18" s="330" t="str">
        <f aca="false">HYPERLINK("#'CH6. Ngưỡng KPI'!A"&amp;MATCH("CAR",'CH6. Ngưỡng KPI'!$A:$A,0),"≤ "&amp;TEXT(kpiThreshold_CAR,"0%"))</f>
        <v>≤ 5%</v>
      </c>
      <c r="G18" s="331" t="str">
        <f aca="false">IF(E18&lt;=kpiThreshold_CAR,"ĐẠT","VƯỢT NGƯỠNG")</f>
        <v>VƯỢT NGƯỠNG</v>
      </c>
      <c r="H18" s="332" t="s">
        <v>2162</v>
      </c>
    </row>
    <row r="19" customFormat="false" ht="58.5" hidden="false" customHeight="true" outlineLevel="0" collapsed="false">
      <c r="A19" s="326" t="s">
        <v>2164</v>
      </c>
      <c r="B19" s="327" t="str">
        <f aca="false">HYPERLINK("#'CH6. Ngưỡng KPI'!A"&amp;MATCH("PLR48",'CH6. Ngưỡng KPI'!$A:$A,0),"PLR48")</f>
        <v>PLR48</v>
      </c>
      <c r="C19" s="328" t="s">
        <v>2163</v>
      </c>
      <c r="D19" s="328" t="s">
        <v>3881</v>
      </c>
      <c r="E19" s="333" t="n">
        <f aca="false">IFERROR(SUMPRODUCT(('DL08. Xếp lớp &amp; Nhập học'!G4:G500&lt;&gt;"")*1)/COUNTA('DL08. Xếp lớp &amp; Nhập học'!A4:A500),0)</f>
        <v>1</v>
      </c>
      <c r="F19" s="330" t="str">
        <f aca="false">HYPERLINK("#'CH6. Ngưỡng KPI'!A"&amp;MATCH("PLR48",'CH6. Ngưỡng KPI'!$A:$A,0),"≥ "&amp;TEXT(kpiThreshold_PLR48,"0%"))</f>
        <v>≥ 90%</v>
      </c>
      <c r="G19" s="331" t="str">
        <f aca="false">IF(E19&gt;=kpiThreshold_PLR48,"ĐẠT","DƯỚI NGƯỠNG")</f>
        <v>ĐẠT</v>
      </c>
      <c r="H19" s="332" t="s">
        <v>2165</v>
      </c>
    </row>
    <row r="20" customFormat="false" ht="58.5" hidden="false" customHeight="true" outlineLevel="0" collapsed="false">
      <c r="A20" s="326" t="s">
        <v>2164</v>
      </c>
      <c r="B20" s="327" t="str">
        <f aca="false">HYPERLINK("#'CH6. Ngưỡng KPI'!A"&amp;MATCH("CLR",'CH6. Ngưỡng KPI'!$A:$A,0),"CLR")</f>
        <v>CLR</v>
      </c>
      <c r="C20" s="328" t="s">
        <v>2167</v>
      </c>
      <c r="D20" s="328" t="s">
        <v>3882</v>
      </c>
      <c r="E20" s="333" t="n">
        <f aca="false">IFERROR(COUNTIF('DL08. Xếp lớp &amp; Nhập học'!I4:I500,"confirmed*")/COUNTA('DL08. Xếp lớp &amp; Nhập học'!A4:A500),0)</f>
        <v>0.846153846153846</v>
      </c>
      <c r="F20" s="330" t="str">
        <f aca="false">HYPERLINK("#'CH6. Ngưỡng KPI'!A"&amp;MATCH("CLR",'CH6. Ngưỡng KPI'!$A:$A,0),"≥ "&amp;TEXT(kpiThreshold_CLR,"0%"))</f>
        <v>≥ 85%</v>
      </c>
      <c r="G20" s="331" t="str">
        <f aca="false">IF(E20&gt;=kpiThreshold_CLR,"ĐẠT","DƯỚI NGƯỠNG")</f>
        <v>DƯỚI NGƯỠNG</v>
      </c>
      <c r="H20" s="332" t="s">
        <v>2168</v>
      </c>
    </row>
    <row r="21" customFormat="false" ht="58.5" hidden="false" customHeight="true" outlineLevel="0" collapsed="false">
      <c r="A21" s="326" t="s">
        <v>2164</v>
      </c>
      <c r="B21" s="327" t="str">
        <f aca="false">HYPERLINK("#'CH6. Ngưỡng KPI'!A"&amp;MATCH("CUR",'CH6. Ngưỡng KPI'!$A:$A,0),"CUR")</f>
        <v>CUR</v>
      </c>
      <c r="C21" s="328" t="s">
        <v>2170</v>
      </c>
      <c r="D21" s="328" t="s">
        <v>3883</v>
      </c>
      <c r="E21" s="333" t="n">
        <f aca="false">IFERROR(AVERAGE('DL10. Lớp học'!J4:J9/'DL10. Lớp học'!I4:I9),0)</f>
        <v>0</v>
      </c>
      <c r="F21" s="330" t="str">
        <f aca="false">HYPERLINK("#'CH6. Ngưỡng KPI'!A"&amp;MATCH("CUR",'CH6. Ngưỡng KPI'!$A:$A,0),"≥ "&amp;TEXT(kpiThreshold_CUR,"0%"))</f>
        <v>≥ 70%</v>
      </c>
      <c r="G21" s="331" t="str">
        <f aca="false">IF(E21&gt;=kpiThreshold_CUR,"ĐẠT","DƯỚI NGƯỠNG")</f>
        <v>DƯỚI NGƯỠNG</v>
      </c>
      <c r="H21" s="332" t="s">
        <v>2171</v>
      </c>
    </row>
    <row r="22" customFormat="false" ht="58.5" hidden="false" customHeight="true" outlineLevel="0" collapsed="false">
      <c r="A22" s="326" t="s">
        <v>2164</v>
      </c>
      <c r="B22" s="327" t="str">
        <f aca="false">HYPERLINK("#'CH6. Ngưỡng KPI'!A"&amp;MATCH("OBT",'CH6. Ngưỡng KPI'!$A:$A,0),"OBT")</f>
        <v>OBT</v>
      </c>
      <c r="C22" s="328" t="s">
        <v>2172</v>
      </c>
      <c r="D22" s="328" t="s">
        <v>1451</v>
      </c>
      <c r="E22" s="329" t="n">
        <f aca="false">IFERROR(SUMPRODUCT(('DL08. Xếp lớp &amp; Nhập học'!M4:M500&lt;&gt;"")*('DL08. Xếp lớp &amp; Nhập học'!G4:G500&lt;&gt;"")*('DL08. Xếp lớp &amp; Nhập học'!M4:M500-'DL08. Xếp lớp &amp; Nhập học'!G4:G500)*24)/SUMPRODUCT(('DL08. Xếp lớp &amp; Nhập học'!M4:M500&lt;&gt;"")*('DL08. Xếp lớp &amp; Nhập học'!G4:G500&lt;&gt;"")),0)</f>
        <v>24</v>
      </c>
      <c r="F22" s="330" t="str">
        <f aca="false">HYPERLINK("#'CH6. Ngưỡng KPI'!A"&amp;MATCH("OBT",'CH6. Ngưỡng KPI'!$A:$A,0),"≤ "&amp;slaOBT_hours&amp;"h")</f>
        <v>≤ 72h</v>
      </c>
      <c r="G22" s="331" t="str">
        <f aca="false">IF(E22&lt;=slaOBT_hours,"ĐẠT","VƯỢT NGƯỠNG")</f>
        <v>ĐẠT</v>
      </c>
      <c r="H22" s="332" t="s">
        <v>2173</v>
      </c>
    </row>
    <row r="23" customFormat="false" ht="58.5" hidden="false" customHeight="true" outlineLevel="0" collapsed="false">
      <c r="A23" s="326" t="s">
        <v>2175</v>
      </c>
      <c r="B23" s="327" t="str">
        <f aca="false">HYPERLINK("#'CH6. Ngưỡng KPI'!A"&amp;MATCH("ATR",'CH6. Ngưỡng KPI'!$A:$A,0),"ATR")</f>
        <v>ATR</v>
      </c>
      <c r="C23" s="328" t="s">
        <v>2174</v>
      </c>
      <c r="D23" s="328" t="s">
        <v>3884</v>
      </c>
      <c r="E23" s="333" t="n">
        <f aca="false">IFERROR((COUNTIF('DL12. Điểm danh'!E:E,"on_time*")+COUNTIF('DL12. Điểm danh'!E:E,"late*"))/MAX(COUNTA('DL12. Điểm danh'!A4:A500),1),0)</f>
        <v>0.791666666666667</v>
      </c>
      <c r="F23" s="334" t="str">
        <f aca="false">HYPERLINK("#'CH6. Ngưỡng KPI'!A"&amp;MATCH("ATR",'CH6. Ngưỡng KPI'!$A:$A,0),"≥ "&amp;TEXT(kpiThreshold_ATR,"0%"))</f>
        <v>≥ 85%</v>
      </c>
      <c r="G23" s="331" t="str">
        <f aca="false">IF(E23&gt;=kpiThreshold_ATR,"ĐẠT","DƯỚI NGƯỠNG")</f>
        <v>DƯỚI NGƯỠNG</v>
      </c>
      <c r="H23" s="332" t="s">
        <v>2176</v>
      </c>
    </row>
    <row r="24" customFormat="false" ht="58.5" hidden="false" customHeight="true" outlineLevel="0" collapsed="false">
      <c r="A24" s="326" t="s">
        <v>2175</v>
      </c>
      <c r="B24" s="327" t="str">
        <f aca="false">HYPERLINK("#'CH6. Ngưỡng KPI'!A"&amp;MATCH("UAR",'CH6. Ngưỡng KPI'!$A:$A,0),"UAR")</f>
        <v>UAR</v>
      </c>
      <c r="C24" s="328" t="s">
        <v>2177</v>
      </c>
      <c r="D24" s="328" t="s">
        <v>3885</v>
      </c>
      <c r="E24" s="333" t="n">
        <f aca="false">IFERROR(COUNTIF('DL12. Điểm danh'!F:F,"unexcused*")/MAX(COUNTA('DL12. Điểm danh'!A4:A500),1),0)</f>
        <v>0.166666666666667</v>
      </c>
      <c r="F24" s="334" t="str">
        <f aca="false">HYPERLINK("#'CH6. Ngưỡng KPI'!A"&amp;MATCH("UAR",'CH6. Ngưỡng KPI'!$A:$A,0),"≤ "&amp;TEXT(kpiThreshold_UAR,"0%"))</f>
        <v>≤ 5%</v>
      </c>
      <c r="G24" s="331" t="str">
        <f aca="false">IF(E24&lt;=kpiThreshold_UAR,"ĐẠT","VƯỢT NGƯỠNG")</f>
        <v>VƯỢT NGƯỠNG</v>
      </c>
      <c r="H24" s="332" t="s">
        <v>2178</v>
      </c>
    </row>
    <row r="25" customFormat="false" ht="58.5" hidden="false" customHeight="true" outlineLevel="0" collapsed="false">
      <c r="A25" s="326" t="s">
        <v>2175</v>
      </c>
      <c r="B25" s="327" t="str">
        <f aca="false">HYPERLINK("#'CH6. Ngưỡng KPI'!A"&amp;MATCH("ARR",'CH6. Ngưỡng KPI'!$A:$A,0),"ARR")</f>
        <v>ARR</v>
      </c>
      <c r="C25" s="328" t="s">
        <v>2179</v>
      </c>
      <c r="D25" s="328" t="s">
        <v>3886</v>
      </c>
      <c r="E25" s="333" t="n">
        <f aca="false">IFERROR((COUNTIF('DL09. Học viên'!R4:R500,"at_risk*")+COUNTIF('DL09. Học viên'!R4:R500,"off_track*"))/MAX(COUNTA('DL09. Học viên'!A4:A500),1),0)</f>
        <v>0.142857142857143</v>
      </c>
      <c r="F25" s="334" t="str">
        <f aca="false">HYPERLINK("#'CH6. Ngưỡng KPI'!A"&amp;MATCH("ARR",'CH6. Ngưỡng KPI'!$A:$A,0),"≤ "&amp;TEXT(kpiThreshold_ARR,"0%"))</f>
        <v>≤ 10%</v>
      </c>
      <c r="G25" s="331" t="str">
        <f aca="false">IF(E25&lt;=kpiThreshold_ARR,"ĐẠT","VƯỢT NGƯỠNG")</f>
        <v>VƯỢT NGƯỠNG</v>
      </c>
      <c r="H25" s="332" t="s">
        <v>2180</v>
      </c>
    </row>
    <row r="26" customFormat="false" ht="58.5" hidden="false" customHeight="true" outlineLevel="0" collapsed="false">
      <c r="A26" s="326" t="s">
        <v>2175</v>
      </c>
      <c r="B26" s="327" t="str">
        <f aca="false">HYPERLINK("#'CH6. Ngưỡng KPI'!A"&amp;MATCH("AIR",'CH6. Ngưỡng KPI'!$A:$A,0),"AIR")</f>
        <v>AIR</v>
      </c>
      <c r="C26" s="328" t="s">
        <v>2182</v>
      </c>
      <c r="D26" s="328" t="s">
        <v>3887</v>
      </c>
      <c r="E26" s="333" t="n">
        <f aca="false">IFERROR((COUNTIF('DL09. Học viên'!S4:S500,"at_risk*")+COUNTIF('DL09. Học viên'!S4:S500,"off_track*"))/MAX(COUNTA('DL09. Học viên'!A4:A500),1),0)</f>
        <v>0.142857142857143</v>
      </c>
      <c r="F26" s="330" t="str">
        <f aca="false">HYPERLINK("#'CH6. Ngưỡng KPI'!A"&amp;MATCH("AIR",'CH6. Ngưỡng KPI'!$A:$A,0),"≤ "&amp;TEXT(kpiThreshold_AIR,"0%"))</f>
        <v>≤ 10%</v>
      </c>
      <c r="G26" s="331" t="str">
        <f aca="false">IF(E26&lt;=kpiThreshold_AIR,"ĐẠT","VƯỢT NGƯỠNG")</f>
        <v>VƯỢT NGƯỠNG</v>
      </c>
      <c r="H26" s="332" t="s">
        <v>2183</v>
      </c>
    </row>
    <row r="27" customFormat="false" ht="58.5" hidden="false" customHeight="true" outlineLevel="0" collapsed="false">
      <c r="A27" s="326" t="s">
        <v>2175</v>
      </c>
      <c r="B27" s="327" t="str">
        <f aca="false">HYPERLINK("#'CH6. Ngưỡng KPI'!A"&amp;MATCH("RCR",'CH6. Ngưỡng KPI'!$A:$A,0),"RCR")</f>
        <v>RCR</v>
      </c>
      <c r="C27" s="328" t="s">
        <v>2185</v>
      </c>
      <c r="D27" s="328" t="s">
        <v>3888</v>
      </c>
      <c r="E27" s="333" t="n">
        <f aca="false">IFERROR(COUNTIFS('DL09. Học viên'!R4:R500,"on_track*",'DL09. Học viên'!T4:T500,"&lt;&gt;")/MAX(COUNTIF('DL09. Học viên'!T4:T500,"&lt;&gt;"),1),0)</f>
        <v>0</v>
      </c>
      <c r="F27" s="330" t="str">
        <f aca="false">HYPERLINK("#'CH6. Ngưỡng KPI'!A"&amp;MATCH("RCR",'CH6. Ngưỡng KPI'!$A:$A,0),"≥ "&amp;TEXT(kpiThreshold_RCR,"0%"))</f>
        <v>≥ 50%</v>
      </c>
      <c r="G27" s="331" t="str">
        <f aca="false">IF(E27&gt;=kpiThreshold_RCR,"ĐẠT","DƯỚI NGƯỠNG")</f>
        <v>DƯỚI NGƯỠNG</v>
      </c>
      <c r="H27" s="332" t="s">
        <v>2186</v>
      </c>
    </row>
    <row r="28" customFormat="false" ht="58.5" hidden="false" customHeight="true" outlineLevel="0" collapsed="false">
      <c r="A28" s="326" t="s">
        <v>2189</v>
      </c>
      <c r="B28" s="327" t="str">
        <f aca="false">HYPERLINK("#'CH6. Ngưỡng KPI'!A"&amp;MATCH("GCR7",'CH6. Ngưỡng KPI'!$A:$A,0),"GCR7")</f>
        <v>GCR7</v>
      </c>
      <c r="C28" s="328" t="s">
        <v>2188</v>
      </c>
      <c r="D28" s="328" t="s">
        <v>3889</v>
      </c>
      <c r="E28" s="333" t="n">
        <f aca="false">IFERROR(SUMPRODUCT(('DL13. Bài tập'!P4:P500=TRUE())*1)/MAX(COUNTA('DL13. Bài tập'!A4:A500),1),0)</f>
        <v>1</v>
      </c>
      <c r="F28" s="330" t="str">
        <f aca="false">HYPERLINK("#'CH6. Ngưỡng KPI'!A"&amp;MATCH("GCR7",'CH6. Ngưỡng KPI'!$A:$A,0),"≥ "&amp;TEXT(kpiThreshold_GCR7,"0%"))</f>
        <v>≥ 100%</v>
      </c>
      <c r="G28" s="331" t="str">
        <f aca="false">IF(E28&gt;=kpiThreshold_GCR7,"ĐẠT","DƯỚI NGƯỠNG")</f>
        <v>ĐẠT</v>
      </c>
      <c r="H28" s="332" t="s">
        <v>2190</v>
      </c>
    </row>
    <row r="29" customFormat="false" ht="58.5" hidden="false" customHeight="true" outlineLevel="0" collapsed="false">
      <c r="A29" s="326" t="s">
        <v>2189</v>
      </c>
      <c r="B29" s="327" t="str">
        <f aca="false">HYPERLINK("#'CH6. Ngưỡng KPI'!A"&amp;MATCH("WOR",'CH6. Ngưỡng KPI'!$A:$A,0),"WOR")</f>
        <v>WOR</v>
      </c>
      <c r="C29" s="328" t="s">
        <v>2192</v>
      </c>
      <c r="D29" s="328" t="s">
        <v>3890</v>
      </c>
      <c r="E29" s="333" t="n">
        <f aca="false">IFERROR(COUNTIF('DL14. Buổi WOW 1-1'!N4:N500,"improved*")/MAX(COUNTIF('DL14. Buổi WOW 1-1'!L4:L500,"completed*"),1),0)</f>
        <v>0.75</v>
      </c>
      <c r="F29" s="330" t="str">
        <f aca="false">HYPERLINK("#'CH6. Ngưỡng KPI'!A"&amp;MATCH("WOR",'CH6. Ngưỡng KPI'!$A:$A,0),"≥ "&amp;TEXT(kpiThreshold_WOR,"0%"))</f>
        <v>≥ 60%</v>
      </c>
      <c r="G29" s="331" t="str">
        <f aca="false">IF(E29&gt;=kpiThreshold_WOR,"ĐẠT","DƯỚI NGƯỠNG")</f>
        <v>ĐẠT</v>
      </c>
      <c r="H29" s="332" t="s">
        <v>2193</v>
      </c>
    </row>
    <row r="30" customFormat="false" ht="58.5" hidden="false" customHeight="true" outlineLevel="0" collapsed="false">
      <c r="A30" s="326" t="s">
        <v>2196</v>
      </c>
      <c r="B30" s="327" t="str">
        <f aca="false">HYPERLINK("#'CH6. Ngưỡng KPI'!A"&amp;MATCH("NER",'CH6. Ngưỡng KPI'!$A:$A,0),"NER")</f>
        <v>NER</v>
      </c>
      <c r="C30" s="328" t="s">
        <v>2195</v>
      </c>
      <c r="D30" s="328" t="s">
        <v>3891</v>
      </c>
      <c r="E30" s="333" t="n">
        <f aca="false">IFERROR(COUNTIF('DL16. Phản hồi'!F4:F500,"negative*")/MAX(COUNTA('DL16. Phản hồi'!A4:A500),1),0)</f>
        <v>0.25</v>
      </c>
      <c r="F30" s="330" t="str">
        <f aca="false">HYPERLINK("#'CH6. Ngưỡng KPI'!A"&amp;MATCH("NER",'CH6. Ngưỡng KPI'!$A:$A,0),"≤ "&amp;TEXT(kpiThreshold_NER,"0%"))</f>
        <v>≤ 15%</v>
      </c>
      <c r="G30" s="331" t="str">
        <f aca="false">IF(E30&lt;=kpiThreshold_NER,"ĐẠT","VƯỢT NGƯỠNG")</f>
        <v>VƯỢT NGƯỠNG</v>
      </c>
      <c r="H30" s="332" t="s">
        <v>2197</v>
      </c>
    </row>
    <row r="31" customFormat="false" ht="58.5" hidden="false" customHeight="true" outlineLevel="0" collapsed="false">
      <c r="A31" s="326" t="s">
        <v>2199</v>
      </c>
      <c r="B31" s="327" t="str">
        <f aca="false">HYPERLINK("#'CH6. Ngưỡng KPI'!A"&amp;MATCH("CIR",'CH6. Ngưỡng KPI'!$A:$A,0),"CIR")</f>
        <v>CIR</v>
      </c>
      <c r="C31" s="328" t="s">
        <v>2198</v>
      </c>
      <c r="D31" s="328" t="s">
        <v>3892</v>
      </c>
      <c r="E31" s="333" t="n">
        <f aca="false">IFERROR(COUNTA('DL17. Khiếu nại'!A4:A500)/MAX(COUNTA('DL09. Học viên'!A4:A500),1),0)</f>
        <v>0.357142857142857</v>
      </c>
      <c r="F31" s="334" t="str">
        <f aca="false">HYPERLINK("#'CH6. Ngưỡng KPI'!A"&amp;MATCH("CIR",'CH6. Ngưỡng KPI'!$A:$A,0),"≤ "&amp;TEXT(kpiThreshold_CIR,"0%"))</f>
        <v>≤ 3%</v>
      </c>
      <c r="G31" s="331" t="str">
        <f aca="false">IF(E31&lt;=kpiThreshold_CIR,"ĐẠT","VƯỢT NGƯỠNG")</f>
        <v>VƯỢT NGƯỠNG</v>
      </c>
      <c r="H31" s="332" t="s">
        <v>2200</v>
      </c>
    </row>
    <row r="32" customFormat="false" ht="58.5" hidden="false" customHeight="true" outlineLevel="0" collapsed="false">
      <c r="A32" s="326" t="s">
        <v>2199</v>
      </c>
      <c r="B32" s="327" t="str">
        <f aca="false">HYPERLINK("#'CH6. Ngưỡng KPI'!A"&amp;MATCH("RR",'CH6. Ngưỡng KPI'!$A:$A,0),"RR")</f>
        <v>RR</v>
      </c>
      <c r="C32" s="328" t="s">
        <v>2201</v>
      </c>
      <c r="D32" s="328" t="s">
        <v>3893</v>
      </c>
      <c r="E32" s="333" t="n">
        <f aca="false">IFERROR(COUNTIFS('DL17. Khiếu nại'!J4:J500,"resolved*",'DL17. Khiếu nại'!O4:O500,"accepted*")/MAX(COUNTA('DL17. Khiếu nại'!A4:A500),1),0)</f>
        <v>0.2</v>
      </c>
      <c r="F32" s="334" t="str">
        <f aca="false">HYPERLINK("#'CH6. Ngưỡng KPI'!A"&amp;MATCH("RR",'CH6. Ngưỡng KPI'!$A:$A,0),"≥ "&amp;TEXT(kpiThreshold_RR,"0%"))</f>
        <v>≥ 90%</v>
      </c>
      <c r="G32" s="331" t="str">
        <f aca="false">IF(E32&gt;=kpiThreshold_RR,"ĐẠT","DƯỚI NGƯỠNG")</f>
        <v>DƯỚI NGƯỠNG</v>
      </c>
      <c r="H32" s="332" t="s">
        <v>2202</v>
      </c>
    </row>
    <row r="33" customFormat="false" ht="58.5" hidden="false" customHeight="true" outlineLevel="0" collapsed="false">
      <c r="A33" s="326" t="s">
        <v>2205</v>
      </c>
      <c r="B33" s="327" t="str">
        <f aca="false">HYPERLINK("#'CH6. Ngưỡng KPI'!A"&amp;MATCH("CR10",'CH6. Ngưỡng KPI'!$A:$A,0),"CR10")</f>
        <v>CR10</v>
      </c>
      <c r="C33" s="328" t="s">
        <v>2204</v>
      </c>
      <c r="D33" s="328" t="s">
        <v>3894</v>
      </c>
      <c r="E33" s="333" t="n">
        <f aca="false">IFERROR(COUNTIF('DL18. Kết thúc khóa'!F4:F500,"completed*")/MAX(COUNTA('DL18. Kết thúc khóa'!A4:A500),1),0)</f>
        <v>0.666666666666667</v>
      </c>
      <c r="F33" s="330" t="str">
        <f aca="false">HYPERLINK("#'CH6. Ngưỡng KPI'!A"&amp;MATCH("CR10",'CH6. Ngưỡng KPI'!$A:$A,0),"≥ "&amp;TEXT(kpiThreshold_CR10,"0%"))</f>
        <v>≥ 85%</v>
      </c>
      <c r="G33" s="331" t="str">
        <f aca="false">IF(E33&gt;=kpiThreshold_CR10,"ĐẠT","DƯỚI NGƯỠNG")</f>
        <v>DƯỚI NGƯỠNG</v>
      </c>
      <c r="H33" s="332" t="s">
        <v>2206</v>
      </c>
    </row>
    <row r="34" customFormat="false" ht="58.5" hidden="false" customHeight="true" outlineLevel="0" collapsed="false">
      <c r="A34" s="326" t="s">
        <v>2205</v>
      </c>
      <c r="B34" s="327" t="str">
        <f aca="false">HYPERLINK("#'CH6. Ngưỡng KPI'!A"&amp;MATCH("RER",'CH6. Ngưỡng KPI'!$A:$A,0),"RER")</f>
        <v>RER</v>
      </c>
      <c r="C34" s="328" t="s">
        <v>2207</v>
      </c>
      <c r="D34" s="328" t="s">
        <v>3895</v>
      </c>
      <c r="E34" s="333" t="n">
        <f aca="false">IFERROR(COUNTIF('DL18. Kết thúc khóa'!T4:T500,"confirmed_with_deposit*")/MAX(COUNTIF('DL18. Kết thúc khóa'!F4:F500,"completed*"),1),0)</f>
        <v>0.5</v>
      </c>
      <c r="F34" s="334" t="str">
        <f aca="false">HYPERLINK("#'CH6. Ngưỡng KPI'!A"&amp;MATCH("RER",'CH6. Ngưỡng KPI'!$A:$A,0),"≥ "&amp;TEXT(kpiThreshold_RER,"0%"))</f>
        <v>≥ 40%</v>
      </c>
      <c r="G34" s="331" t="str">
        <f aca="false">IF(E34&gt;=kpiThreshold_RER,"ĐẠT","DƯỚI NGƯỠNG")</f>
        <v>ĐẠT</v>
      </c>
      <c r="H34" s="332" t="s">
        <v>2208</v>
      </c>
    </row>
    <row r="35" customFormat="false" ht="58.5" hidden="false" customHeight="true" outlineLevel="0" collapsed="false">
      <c r="A35" s="118" t="s">
        <v>2148</v>
      </c>
      <c r="B35" s="117" t="str">
        <f aca="false">HYPERLINK("#'CH6. Ngưỡng KPI'!A"&amp;MATCH("FUR",'CH6. Ngưỡng KPI'!$A:$A,0),"FUR")</f>
        <v>FUR</v>
      </c>
      <c r="C35" s="332" t="s">
        <v>2210</v>
      </c>
      <c r="D35" s="332" t="s">
        <v>3896</v>
      </c>
      <c r="E35" s="335" t="n">
        <f aca="true">IFERROR(SUMPRODUCT(('DL02. Khách tiềm năng'!Q4:Q500&lt;&gt;"")*('DL02. Khách tiềm năng'!Q4:Q500&gt;=TODAY()))/SUMPRODUCT(--('DL02. Khách tiềm năng'!Q4:Q500&lt;&gt;"")),0)</f>
        <v>0.5</v>
      </c>
      <c r="F35" s="336" t="str">
        <f aca="false">HYPERLINK("#'CH6. Ngưỡng KPI'!A"&amp;MATCH("FUR",'CH6. Ngưỡng KPI'!$A:$A,0),"≥ "&amp;TEXT(kpiThreshold_FUR,"0%"))</f>
        <v>≥ 90%</v>
      </c>
      <c r="G35" s="332" t="str">
        <f aca="false">IF(E35&gt;=kpiThreshold_FUR,"ĐẠT","DƯỚI NGƯỠNG")</f>
        <v>DƯỚI NGƯỠNG</v>
      </c>
      <c r="H35" s="332" t="s">
        <v>2211</v>
      </c>
    </row>
    <row r="36" customFormat="false" ht="58.5" hidden="false" customHeight="true" outlineLevel="0" collapsed="false">
      <c r="A36" s="118" t="s">
        <v>2189</v>
      </c>
      <c r="B36" s="117" t="str">
        <f aca="false">HYPERLINK("#'CH6. Ngưỡng KPI'!A"&amp;MATCH("HCR",'CH6. Ngưỡng KPI'!$A:$A,0),"HCR")</f>
        <v>HCR</v>
      </c>
      <c r="C36" s="332" t="s">
        <v>2213</v>
      </c>
      <c r="D36" s="332" t="s">
        <v>3897</v>
      </c>
      <c r="E36" s="335" t="n">
        <f aca="false">IFERROR(COUNTIF('DL13. Bài tập'!J4:J500,"?*")/COUNTIF('DL13. Bài tập'!A4:A500,"?*"),0)</f>
        <v>0.578947368421053</v>
      </c>
      <c r="F36" s="336" t="str">
        <f aca="false">HYPERLINK("#'CH6. Ngưỡng KPI'!A"&amp;MATCH("HCR",'CH6. Ngưỡng KPI'!$A:$A,0),"≥ "&amp;TEXT(kpiThreshold_HCR,"0%"))</f>
        <v>≥ 80%</v>
      </c>
      <c r="G36" s="332" t="str">
        <f aca="false">IF(E36&gt;=kpiThreshold_HCR,"ĐẠT","DƯỚI NGƯỠNG")</f>
        <v>DƯỚI NGƯỠNG</v>
      </c>
      <c r="H36" s="332" t="s">
        <v>2214</v>
      </c>
    </row>
    <row r="37" customFormat="false" ht="58.5" hidden="false" customHeight="true" outlineLevel="0" collapsed="false">
      <c r="A37" s="118" t="s">
        <v>2189</v>
      </c>
      <c r="B37" s="117" t="str">
        <f aca="false">HYPERLINK("#'CH6. Ngưỡng KPI'!A"&amp;MATCH("OTR7",'CH6. Ngưỡng KPI'!$A:$A,0),"OTR7")</f>
        <v>OTR7</v>
      </c>
      <c r="C37" s="332" t="s">
        <v>2216</v>
      </c>
      <c r="D37" s="332" t="s">
        <v>3898</v>
      </c>
      <c r="E37" s="335" t="n">
        <f aca="false">IFERROR(COUNTIFS('DL13. Bài tập'!J4:J500,"?*",'DL13. Bài tập'!K4:K500,FALSE())/COUNTIF('DL13. Bài tập'!A4:A500,"?*"),0)</f>
        <v>0.578947368421053</v>
      </c>
      <c r="F37" s="336" t="str">
        <f aca="false">HYPERLINK("#'CH6. Ngưỡng KPI'!A"&amp;MATCH("OTR7",'CH6. Ngưỡng KPI'!$A:$A,0),"≥ "&amp;TEXT(kpiThreshold_OTR7,"0%"))</f>
        <v>≥ 70%</v>
      </c>
      <c r="G37" s="332" t="str">
        <f aca="false">IF(E37&gt;=kpiThreshold_OTR7,"ĐẠT","DƯỚI NGƯỠNG")</f>
        <v>DƯỚI NGƯỠNG</v>
      </c>
      <c r="H37" s="332" t="s">
        <v>2217</v>
      </c>
    </row>
    <row r="38" customFormat="false" ht="58.5" hidden="false" customHeight="true" outlineLevel="0" collapsed="false">
      <c r="A38" s="118" t="s">
        <v>2189</v>
      </c>
      <c r="B38" s="117" t="str">
        <f aca="false">HYPERLINK("#'CH6. Ngưỡng KPI'!A"&amp;MATCH("TNR",'CH6. Ngưỡng KPI'!$A:$A,0),"TNR")</f>
        <v>TNR</v>
      </c>
      <c r="C38" s="332" t="s">
        <v>2219</v>
      </c>
      <c r="D38" s="332" t="s">
        <v>3899</v>
      </c>
      <c r="E38" s="332" t="n">
        <f aca="false">IFERROR(COUNTIF('DL11. Buổi học'!K4:K500,TRUE())/COUNTIF('DL11. Buổi học'!A4:A500,"?*"),0)</f>
        <v>1</v>
      </c>
      <c r="F38" s="336" t="str">
        <f aca="false">HYPERLINK("#'CH6. Ngưỡng KPI'!A"&amp;MATCH("TNR",'CH6. Ngưỡng KPI'!$A:$A,0),"≥ "&amp;TEXT(kpiThreshold_TNR,"0%"))</f>
        <v>≥ 90%</v>
      </c>
      <c r="G38" s="332" t="str">
        <f aca="false">IF(E38&gt;=kpiThreshold_TNR,"ĐẠT","DƯỚI NGƯỠNG")</f>
        <v>ĐẠT</v>
      </c>
      <c r="H38" s="332" t="s">
        <v>2220</v>
      </c>
    </row>
    <row r="39" customFormat="false" ht="58.5" hidden="false" customHeight="true" outlineLevel="0" collapsed="false">
      <c r="A39" s="118" t="s">
        <v>2175</v>
      </c>
      <c r="B39" s="117" t="str">
        <f aca="false">HYPERLINK("#'CH6. Ngưỡng KPI'!A"&amp;MATCH("ADC",'CH6. Ngưỡng KPI'!$A:$A,0),"ADC")</f>
        <v>ADC</v>
      </c>
      <c r="C39" s="332" t="s">
        <v>2222</v>
      </c>
      <c r="D39" s="332" t="s">
        <v>3900</v>
      </c>
      <c r="E39" s="332" t="n">
        <f aca="false">IFERROR(SUMPRODUCT((COUNTIF('DL12. Điểm danh'!B4:B500,'DL11. Buổi học'!A4:A500&amp;"")&gt;0)*('DL11. Buổi học'!A4:A500&lt;&gt;""))/COUNTIF('DL11. Buổi học'!A4:A500,"?*"),0)</f>
        <v>0.857142857142857</v>
      </c>
      <c r="F39" s="336" t="str">
        <f aca="false">HYPERLINK("#'CH6. Ngưỡng KPI'!A"&amp;MATCH("ADC",'CH6. Ngưỡng KPI'!$A:$A,0),"≥ "&amp;TEXT(kpiThreshold_ADC,"0%"))</f>
        <v>≥ 95%</v>
      </c>
      <c r="G39" s="332" t="str">
        <f aca="false">IF(E39&gt;=kpiThreshold_ADC,"ĐẠT","DƯỚI NGƯỠNG")</f>
        <v>DƯỚI NGƯỠNG</v>
      </c>
      <c r="H39" s="332" t="s">
        <v>2223</v>
      </c>
    </row>
    <row r="40" customFormat="false" ht="58.5" hidden="false" customHeight="true" outlineLevel="0" collapsed="false">
      <c r="A40" s="118" t="s">
        <v>2189</v>
      </c>
      <c r="B40" s="117" t="str">
        <f aca="false">HYPERLINK("#'CH6. Ngưỡng KPI'!A"&amp;MATCH("SPR",'CH6. Ngưỡng KPI'!$A:$A,0),"SPR")</f>
        <v>SPR</v>
      </c>
      <c r="C40" s="332" t="s">
        <v>2225</v>
      </c>
      <c r="D40" s="332" t="s">
        <v>3901</v>
      </c>
      <c r="E40" s="335" t="n">
        <f aca="false">IFERROR(AVERAGEIFS('DL13. Bài tập'!M4:M500,'DL13. Bài tập'!H4:H500,"&gt;="&amp;(MAX('DL13. Bài tập'!H4:H500)-14))-AVERAGEIFS('DL13. Bài tập'!M4:M500,'DL13. Bài tập'!H4:H500,"&lt;="&amp;(MIN('DL13. Bài tập'!H4:H500)+14)),0)</f>
        <v>0</v>
      </c>
      <c r="F40" s="336" t="str">
        <f aca="false">HYPERLINK("#'CH6. Ngưỡng KPI'!A"&amp;MATCH("SPR",'CH6. Ngưỡng KPI'!$A:$A,0),"Tăng &gt; "&amp;kpiThreshold_SPR)</f>
        <v>Tăng &gt; 0.5</v>
      </c>
      <c r="G40" s="332" t="str">
        <f aca="false">IF(E40&gt;=kpiThreshold_SPR,"CÓ TIẾN BỘ",IF(E40&lt;0,"GIẢM","ĐỀU"))</f>
        <v>ĐỀU</v>
      </c>
      <c r="H40" s="332" t="s">
        <v>2226</v>
      </c>
    </row>
    <row r="41" customFormat="false" ht="58.5" hidden="false" customHeight="true" outlineLevel="0" collapsed="false">
      <c r="A41" s="118" t="s">
        <v>2196</v>
      </c>
      <c r="B41" s="117" t="str">
        <f aca="false">HYPERLINK("#'CH6. Ngưỡng KPI'!A"&amp;MATCH("SS",'CH6. Ngưỡng KPI'!$A:$A,0),"SS")</f>
        <v>SS</v>
      </c>
      <c r="C41" s="332" t="s">
        <v>2228</v>
      </c>
      <c r="D41" s="332" t="s">
        <v>3902</v>
      </c>
      <c r="E41" s="337" t="n">
        <f aca="false">IFERROR(AVERAGE('DL16. Phản hồi'!H4:H500),0)</f>
        <v>3.75</v>
      </c>
      <c r="F41" s="336" t="str">
        <f aca="false">HYPERLINK("#'CH6. Ngưỡng KPI'!A"&amp;MATCH("SS",'CH6. Ngưỡng KPI'!$A:$A,0),"≥ "&amp;kpiThreshold_SS)</f>
        <v>≥ 4.5</v>
      </c>
      <c r="G41" s="332" t="str">
        <f aca="false">IF(E41&gt;=kpiThreshold_SS,"ĐẠT","DƯỚI NGƯỠNG")</f>
        <v>DƯỚI NGƯỠNG</v>
      </c>
      <c r="H41" s="332" t="s">
        <v>2229</v>
      </c>
    </row>
    <row r="42" customFormat="false" ht="58.5" hidden="false" customHeight="true" outlineLevel="0" collapsed="false">
      <c r="A42" s="118" t="s">
        <v>2196</v>
      </c>
      <c r="B42" s="117" t="str">
        <f aca="false">HYPERLINK("#'CH6. Ngưỡng KPI'!A"&amp;MATCH("SRR",'CH6. Ngưỡng KPI'!$A:$A,0),"SRR")</f>
        <v>SRR</v>
      </c>
      <c r="C42" s="332" t="s">
        <v>2231</v>
      </c>
      <c r="D42" s="332" t="s">
        <v>3903</v>
      </c>
      <c r="E42" s="338" t="n">
        <f aca="false">IFERROR(COUNTIF('DL15. Khảo sát'!G4:G500,"?*")/COUNTIF('DL15. Khảo sát'!A4:A500,"?*"),0)</f>
        <v>0.833333333333333</v>
      </c>
      <c r="F42" s="336" t="str">
        <f aca="false">HYPERLINK("#'CH6. Ngưỡng KPI'!A"&amp;MATCH("SRR",'CH6. Ngưỡng KPI'!$A:$A,0),"≥ "&amp;TEXT(kpiThreshold_SRR,"0%"))</f>
        <v>≥ 60%</v>
      </c>
      <c r="G42" s="332" t="str">
        <f aca="false">IF(E42&gt;=kpiThreshold_SRR,"ĐẠT","DƯỚI NGƯỠNG")</f>
        <v>ĐẠT</v>
      </c>
      <c r="H42" s="332" t="s">
        <v>2232</v>
      </c>
    </row>
    <row r="43" customFormat="false" ht="58.5" hidden="false" customHeight="true" outlineLevel="0" collapsed="false">
      <c r="A43" s="118" t="s">
        <v>2196</v>
      </c>
      <c r="B43" s="117" t="str">
        <f aca="false">HYPERLINK("#'CH6. Ngưỡng KPI'!A"&amp;MATCH("FTR",'CH6. Ngưỡng KPI'!$A:$A,0),"FTR")</f>
        <v>FTR</v>
      </c>
      <c r="C43" s="332" t="s">
        <v>2234</v>
      </c>
      <c r="D43" s="332" t="s">
        <v>3904</v>
      </c>
      <c r="E43" s="335" t="n">
        <f aca="false">IFERROR(SUMPRODUCT(('DL16. Phản hồi'!K4:K500&lt;&gt;"")*(('DL16. Phản hồi'!K4:K500-'DL16. Phản hồi'!B4:B500)*24&lt;=slaFB_classify_hours))/COUNTIF('DL16. Phản hồi'!A4:A500,"?*"),0)</f>
        <v>0.75</v>
      </c>
      <c r="F43" s="336" t="str">
        <f aca="false">HYPERLINK("#'CH6. Ngưỡng KPI'!A"&amp;MATCH("FTR",'CH6. Ngưỡng KPI'!$A:$A,0),"≥ "&amp;TEXT(kpiThreshold_FTR,"0%"))</f>
        <v>≥ 100%</v>
      </c>
      <c r="G43" s="332" t="str">
        <f aca="false">IF(E43&gt;=kpiThreshold_FTR,"ĐẠT","DƯỚI NGƯỠNG")</f>
        <v>DƯỚI NGƯỠNG</v>
      </c>
      <c r="H43" s="332" t="s">
        <v>2235</v>
      </c>
    </row>
    <row r="44" customFormat="false" ht="58.5" hidden="false" customHeight="true" outlineLevel="0" collapsed="false">
      <c r="A44" s="118" t="s">
        <v>2196</v>
      </c>
      <c r="B44" s="117" t="str">
        <f aca="false">HYPERLINK("#'CH6. Ngưỡng KPI'!A"&amp;MATCH("NPS",'CH6. Ngưỡng KPI'!$A:$A,0),"NPS")</f>
        <v>NPS</v>
      </c>
      <c r="C44" s="332" t="s">
        <v>2237</v>
      </c>
      <c r="D44" s="332" t="s">
        <v>3905</v>
      </c>
      <c r="E44" s="332" t="n">
        <f aca="false">IFERROR((COUNTIF('DL15. Khảo sát'!J4:J500,5)-COUNTIFS('DL15. Khảo sát'!J4:J500,"&gt;=1",'DL15. Khảo sát'!J4:J500,"&lt;=2"))/COUNTIF('DL15. Khảo sát'!J4:J500,"&gt;=1"),0)</f>
        <v>0</v>
      </c>
      <c r="F44" s="336" t="str">
        <f aca="false">HYPERLINK("#'CH6. Ngưỡng KPI'!A"&amp;MATCH("NPS",'CH6. Ngưỡng KPI'!$A:$A,0),"≥ "&amp;TEXT(kpiThreshold_NPS,"0%"))</f>
        <v>≥ 50%</v>
      </c>
      <c r="G44" s="332" t="str">
        <f aca="false">IF(E44&gt;=kpiThreshold_NPS,"ĐẠT","DƯỚI NGƯỠNG")</f>
        <v>DƯỚI NGƯỠNG</v>
      </c>
      <c r="H44" s="332" t="s">
        <v>2238</v>
      </c>
    </row>
    <row r="45" customFormat="false" ht="58.5" hidden="false" customHeight="true" outlineLevel="0" collapsed="false">
      <c r="A45" s="118" t="s">
        <v>2199</v>
      </c>
      <c r="B45" s="117" t="str">
        <f aca="false">HYPERLINK("#'CH6. Ngưỡng KPI'!A"&amp;MATCH("SLA_R",'CH6. Ngưỡng KPI'!$A:$A,0),"SLA_R")</f>
        <v>SLA_R</v>
      </c>
      <c r="C45" s="332" t="s">
        <v>2240</v>
      </c>
      <c r="D45" s="332" t="s">
        <v>3906</v>
      </c>
      <c r="E45" s="335" t="n">
        <f aca="false">IFERROR(SUMPRODUCT(('DL17. Khiếu nại'!L4:L500&lt;&gt;"")*(('DL17. Khiếu nại'!L4:L500-'DL17. Khiếu nại'!F4:F500)*24&lt;=slaKN_high_hours))/COUNTIF('DL17. Khiếu nại'!A4:A500,"?*"),0)</f>
        <v>0.6</v>
      </c>
      <c r="F45" s="336" t="str">
        <f aca="false">HYPERLINK("#'CH6. Ngưỡng KPI'!A"&amp;MATCH("SLA_R",'CH6. Ngưỡng KPI'!$A:$A,0),"≥ "&amp;TEXT(kpiThreshold_SLA_R,"0%"))</f>
        <v>≥ 90%</v>
      </c>
      <c r="G45" s="332" t="str">
        <f aca="false">IF(E45&gt;=kpiThreshold_SLA_R,"ĐẠT","DƯỚI NGƯỠNG")</f>
        <v>DƯỚI NGƯỠNG</v>
      </c>
      <c r="H45" s="332" t="s">
        <v>2241</v>
      </c>
    </row>
    <row r="46" customFormat="false" ht="58.5" hidden="false" customHeight="true" outlineLevel="0" collapsed="false">
      <c r="A46" s="118" t="s">
        <v>2199</v>
      </c>
      <c r="B46" s="117" t="str">
        <f aca="false">HYPERLINK("#'CH6. Ngưỡng KPI'!A"&amp;MATCH("CTR",'CH6. Ngưỡng KPI'!$A:$A,0),"CTR")</f>
        <v>CTR</v>
      </c>
      <c r="C46" s="332" t="s">
        <v>2243</v>
      </c>
      <c r="D46" s="332" t="s">
        <v>3907</v>
      </c>
      <c r="E46" s="335" t="n">
        <f aca="false">IFERROR(SUMPRODUCT(('DL17. Khiếu nại'!N4:N500&lt;&gt;"")*('DL17. Khiếu nại'!N4:N500-'DL17. Khiếu nại'!F4:F500)*24)/SUMPRODUCT(--('DL17. Khiếu nại'!N4:N500&lt;&gt;"")),0)</f>
        <v>24</v>
      </c>
      <c r="F46" s="336" t="str">
        <f aca="false">HYPERLINK("#'CH6. Ngưỡng KPI'!A"&amp;MATCH("CTR",'CH6. Ngưỡng KPI'!$A:$A,0),"≤ "&amp;kpiThreshold_CTR&amp;"h")</f>
        <v>≤ 24h</v>
      </c>
      <c r="G46" s="332" t="str">
        <f aca="false">IF(E46&lt;=kpiThreshold_CTR,"ĐẠT","VƯỢT NGƯỠNG")</f>
        <v>ĐẠT</v>
      </c>
      <c r="H46" s="332" t="s">
        <v>2244</v>
      </c>
    </row>
    <row r="47" customFormat="false" ht="58.5" hidden="false" customHeight="true" outlineLevel="0" collapsed="false">
      <c r="A47" s="118" t="s">
        <v>2205</v>
      </c>
      <c r="B47" s="117" t="str">
        <f aca="false">HYPERLINK("#'CH6. Ngưỡng KPI'!A"&amp;MATCH("AR",'CH6. Ngưỡng KPI'!$A:$A,0),"AR")</f>
        <v>AR</v>
      </c>
      <c r="C47" s="332" t="s">
        <v>2246</v>
      </c>
      <c r="D47" s="332" t="s">
        <v>3908</v>
      </c>
      <c r="E47" s="332" t="n">
        <f aca="false">IFERROR(COUNTIF('DL18. Kết thúc khóa'!O4:O500,"achieved*")/COUNTIF('DL18. Kết thúc khóa'!F4:F500,"completed*"),0)</f>
        <v>0.5</v>
      </c>
      <c r="F47" s="336" t="str">
        <f aca="false">HYPERLINK("#'CH6. Ngưỡng KPI'!A"&amp;MATCH("AR",'CH6. Ngưỡng KPI'!$A:$A,0),"≥ "&amp;TEXT(kpiThreshold_AR,"0%"))</f>
        <v>≥ 70%</v>
      </c>
      <c r="G47" s="332" t="str">
        <f aca="false">IF(E47&gt;=kpiThreshold_AR,"ĐẠT","DƯỚI NGƯỠNG")</f>
        <v>DƯỚI NGƯỠNG</v>
      </c>
      <c r="H47" s="332" t="s">
        <v>2247</v>
      </c>
    </row>
    <row r="48" customFormat="false" ht="58.5" hidden="false" customHeight="true" outlineLevel="0" collapsed="false">
      <c r="A48" s="118" t="s">
        <v>2205</v>
      </c>
      <c r="B48" s="117" t="str">
        <f aca="false">HYPERLINK("#'CH6. Ngưỡng KPI'!A"&amp;MATCH("DOR",'CH6. Ngưỡng KPI'!$A:$A,0),"DOR")</f>
        <v>DOR</v>
      </c>
      <c r="C48" s="332" t="s">
        <v>2249</v>
      </c>
      <c r="D48" s="332" t="s">
        <v>3909</v>
      </c>
      <c r="E48" s="332" t="n">
        <f aca="false">IFERROR(COUNTIF('DL18. Kết thúc khóa'!F4:F500,"dropped*")/(COUNTIF('DL18. Kết thúc khóa'!A4:A500,"?*")-COUNTIF('DL18. Kết thúc khóa'!F4:F500,"transferred*")),0)</f>
        <v>0.333333333333333</v>
      </c>
      <c r="F48" s="336" t="str">
        <f aca="false">HYPERLINK("#'CH6. Ngưỡng KPI'!A"&amp;MATCH("DOR",'CH6. Ngưỡng KPI'!$A:$A,0),"≤ "&amp;TEXT(kpiThreshold_DOR,"0%"))</f>
        <v>≤ 10%</v>
      </c>
      <c r="G48" s="332" t="str">
        <f aca="false">IF(E48&lt;=kpiThreshold_DOR,"ĐẠT","VƯỢT NGƯỠNG")</f>
        <v>VƯỢT NGƯỠNG</v>
      </c>
      <c r="H48" s="332" t="s">
        <v>2250</v>
      </c>
    </row>
    <row r="49" customFormat="false" ht="58.5" hidden="false" customHeight="true" outlineLevel="0" collapsed="false">
      <c r="A49" s="118" t="s">
        <v>2205</v>
      </c>
      <c r="B49" s="117" t="str">
        <f aca="false">HYPERLINK("#'CH6. Ngưỡng KPI'!A"&amp;MATCH("RTR",'CH6. Ngưỡng KPI'!$A:$A,0),"RTR")</f>
        <v>RTR</v>
      </c>
      <c r="C49" s="332" t="s">
        <v>2252</v>
      </c>
      <c r="D49" s="332" t="s">
        <v>3910</v>
      </c>
      <c r="E49" s="335" t="n">
        <f aca="false">IFERROR(SUMPRODUCT(('DL18. Kết thúc khóa'!U4:U500&lt;&gt;"")*(('DL18. Kết thúc khóa'!U4:U500-'DL18. Kết thúc khóa'!E4:E500)&lt;=slaReenroll_contact_days))/COUNTIF('DL18. Kết thúc khóa'!F4:F500,"completed*"),0)</f>
        <v>0</v>
      </c>
      <c r="F49" s="336" t="str">
        <f aca="false">HYPERLINK("#'CH6. Ngưỡng KPI'!A"&amp;MATCH("RTR",'CH6. Ngưỡng KPI'!$A:$A,0),"≥ "&amp;TEXT(kpiThreshold_RTR,"0%"))</f>
        <v>≥ 90%</v>
      </c>
      <c r="G49" s="332" t="str">
        <f aca="false">IF(E49&gt;=kpiThreshold_RTR,"ĐẠT","DƯỚI NGƯỠNG")</f>
        <v>DƯỚI NGƯỠNG</v>
      </c>
      <c r="H49" s="332" t="s">
        <v>2253</v>
      </c>
    </row>
    <row r="50" customFormat="false" ht="58.5" hidden="false" customHeight="true" outlineLevel="0" collapsed="false">
      <c r="A50" s="118" t="s">
        <v>2205</v>
      </c>
      <c r="B50" s="117" t="str">
        <f aca="false">HYPERLINK("#'CH6. Ngưỡng KPI'!A"&amp;MATCH("TCR",'CH6. Ngưỡng KPI'!$A:$A,0),"TCR")</f>
        <v>TCR</v>
      </c>
      <c r="C50" s="332" t="s">
        <v>2255</v>
      </c>
      <c r="D50" s="332" t="s">
        <v>3911</v>
      </c>
      <c r="E50" s="332" t="n">
        <f aca="false">IFERROR(COUNTIFS('DL18. Kết thúc khóa'!F4:F500,"transferred*",'DL18. Kết thúc khóa'!W4:W500,"?*")/COUNTIF('DL18. Kết thúc khóa'!F4:F500,"transferred*"),0)</f>
        <v>0</v>
      </c>
      <c r="F50" s="336" t="str">
        <f aca="false">HYPERLINK("#'CH6. Ngưỡng KPI'!A"&amp;MATCH("TCR",'CH6. Ngưỡng KPI'!$A:$A,0),"≥ "&amp;TEXT(kpiThreshold_TCR,"0%"))</f>
        <v>≥ 50%</v>
      </c>
      <c r="G50" s="332" t="str">
        <f aca="false">IF(E50&gt;=kpiThreshold_TCR,"ĐẠT","DƯỚI NGƯỠNG")</f>
        <v>DƯỚI NGƯỠNG</v>
      </c>
      <c r="H50" s="332" t="s">
        <v>2256</v>
      </c>
    </row>
    <row r="51" customFormat="false" ht="58.5" hidden="false" customHeight="true" outlineLevel="0" collapsed="false">
      <c r="A51" s="118" t="s">
        <v>2205</v>
      </c>
      <c r="B51" s="117" t="str">
        <f aca="false">HYPERLINK("#'CH6. Ngưỡng KPI'!A"&amp;MATCH("WSR",'CH6. Ngưỡng KPI'!$A:$A,0),"WSR")</f>
        <v>WSR</v>
      </c>
      <c r="C51" s="332" t="s">
        <v>2258</v>
      </c>
      <c r="D51" s="332" t="s">
        <v>3912</v>
      </c>
      <c r="E51" s="332" t="n">
        <f aca="false">IFERROR(COUNTIF('DL14. Buổi WOW 1-1'!L4:L500,"completed*")/COUNTIF('DL14. Buổi WOW 1-1'!L4:L500,"?*"),0)</f>
        <v>0.571428571428571</v>
      </c>
      <c r="F51" s="336" t="str">
        <f aca="false">HYPERLINK("#'CH6. Ngưỡng KPI'!A"&amp;MATCH("WSR",'CH6. Ngưỡng KPI'!$A:$A,0),"≥ "&amp;TEXT(kpiThreshold_WSR,"0%"))</f>
        <v>≥ 90%</v>
      </c>
      <c r="G51" s="332" t="str">
        <f aca="false">IF(E51&gt;=kpiThreshold_WSR,"ĐẠT","DƯỚI NGƯỠNG")</f>
        <v>DƯỚI NGƯỠNG</v>
      </c>
      <c r="H51" s="332" t="s">
        <v>2259</v>
      </c>
    </row>
    <row r="52" customFormat="false" ht="58.5" hidden="false" customHeight="true" outlineLevel="0" collapsed="false">
      <c r="A52" s="118" t="s">
        <v>2205</v>
      </c>
      <c r="B52" s="117" t="str">
        <f aca="false">HYPERLINK("#'CH6. Ngưỡng KPI'!A"&amp;MATCH("WRR",'CH6. Ngưỡng KPI'!$A:$A,0),"WRR")</f>
        <v>WRR</v>
      </c>
      <c r="C52" s="332" t="s">
        <v>2261</v>
      </c>
      <c r="D52" s="332" t="s">
        <v>3913</v>
      </c>
      <c r="E52" s="332" t="n">
        <f aca="false">IFERROR(COUNTIFS('DL14. Buổi WOW 1-1'!G4:G500,"teacher*",'DL14. Buổi WOW 1-1'!N4:N500,"improved*")/COUNTIF('DL14. Buổi WOW 1-1'!G4:G500,"teacher*"),0)</f>
        <v>0</v>
      </c>
      <c r="F52" s="336" t="str">
        <f aca="false">HYPERLINK("#'CH6. Ngưỡng KPI'!A"&amp;MATCH("WRR",'CH6. Ngưỡng KPI'!$A:$A,0),"≥ "&amp;TEXT(kpiThreshold_WRR,"0%"))</f>
        <v>≥ 70%</v>
      </c>
      <c r="G52" s="332" t="str">
        <f aca="false">IF(E52&gt;=kpiThreshold_WRR,"ĐẠT","DƯỚI NGƯỠNG")</f>
        <v>DƯỚI NGƯỠNG</v>
      </c>
      <c r="H52" s="332" t="s">
        <v>2262</v>
      </c>
    </row>
    <row r="53" customFormat="false" ht="58.5" hidden="false" customHeight="true" outlineLevel="0" collapsed="false">
      <c r="A53" s="118" t="s">
        <v>2205</v>
      </c>
      <c r="B53" s="118" t="s">
        <v>3914</v>
      </c>
      <c r="C53" s="332" t="s">
        <v>3915</v>
      </c>
      <c r="D53" s="332" t="s">
        <v>3916</v>
      </c>
      <c r="E53" s="332" t="n">
        <f aca="false">IFERROR(SUMPRODUCT(((ISNUMBER(SEARCH("risk",'DL09. Học viên'!R4:R500))+ISNUMBER(SEARCH("risk",'DL09. Học viên'!S4:S500)))&gt;0)*('DL09. Học viên'!W4:W500&lt;&gt;""))/SUMPRODUCT(--((ISNUMBER(SEARCH("risk",'DL09. Học viên'!R4:R500))+ISNUMBER(SEARCH("risk",'DL09. Học viên'!S4:S500)))&gt;0)),0)</f>
        <v>0</v>
      </c>
      <c r="F53" s="332" t="s">
        <v>3917</v>
      </c>
      <c r="G53" s="332" t="str">
        <f aca="false">IF(E53&gt;=1,"ĐẠT","DƯỚI 100%")</f>
        <v>DƯỚI 100%</v>
      </c>
      <c r="H53" s="332" t="s">
        <v>3918</v>
      </c>
    </row>
    <row r="54" customFormat="false" ht="58.5" hidden="false" customHeight="true" outlineLevel="0" collapsed="false">
      <c r="A54" s="118" t="s">
        <v>2205</v>
      </c>
      <c r="B54" s="118" t="s">
        <v>3919</v>
      </c>
      <c r="C54" s="332" t="s">
        <v>3920</v>
      </c>
      <c r="D54" s="332" t="s">
        <v>3921</v>
      </c>
      <c r="E54" s="335" t="n">
        <f aca="false">IFERROR(SUMPRODUCT(('DL06. Đăng ký'!U4:U500&lt;&gt;"")*(('DL06. Đăng ký'!U4:U500-'DL06. Đăng ký'!G4:G500)&lt;=slaApproval_days))/SUMPRODUCT(--('DL06. Đăng ký'!U4:U500&lt;&gt;"")),0)</f>
        <v>0</v>
      </c>
      <c r="F54" s="332" t="s">
        <v>3922</v>
      </c>
      <c r="G54" s="332" t="str">
        <f aca="false">IF(E54&gt;=0.9,"ĐẠT","DƯỚI NGƯỠNG")</f>
        <v>DƯỚI NGƯỠNG</v>
      </c>
      <c r="H54" s="332" t="s">
        <v>3923</v>
      </c>
    </row>
    <row r="55" customFormat="false" ht="58.5" hidden="false" customHeight="true" outlineLevel="0" collapsed="false">
      <c r="A55" s="118" t="s">
        <v>2205</v>
      </c>
      <c r="B55" s="118" t="s">
        <v>3924</v>
      </c>
      <c r="C55" s="332" t="s">
        <v>3925</v>
      </c>
      <c r="D55" s="332" t="s">
        <v>3926</v>
      </c>
      <c r="E55" s="332" t="n">
        <f aca="false">IFERROR(AVERAGE('DL15. Khảo sát'!I4:I500),0)</f>
        <v>4</v>
      </c>
      <c r="F55" s="332" t="s">
        <v>3927</v>
      </c>
      <c r="G55" s="332" t="str">
        <f aca="false">IF(E55&gt;=4.5,"ĐẠT","DƯỚI NGƯỠNG")</f>
        <v>DƯỚI NGƯỠNG</v>
      </c>
      <c r="H55" s="332" t="s">
        <v>3928</v>
      </c>
    </row>
    <row r="56" customFormat="false" ht="43.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sheetData>
  <mergeCells count="2">
    <mergeCell ref="A1:H1"/>
    <mergeCell ref="A2:H2"/>
  </mergeCells>
  <conditionalFormatting sqref="G5:G34">
    <cfRule type="expression" priority="2" aboveAverage="0" equalAverage="0" bottom="0" percent="0" rank="0" text="" dxfId="18">
      <formula>ISNUMBER(SEARCH("ĐẠT",G5))*NOT(ISNUMBER(SEARCH("DƯỚI",G5)))*NOT(ISNUMBER(SEARCH("VƯỢT",G5)))</formula>
    </cfRule>
    <cfRule type="expression" priority="3" aboveAverage="0" equalAverage="0" bottom="0" percent="0" rank="0" text="" dxfId="14">
      <formula>ISNUMBER(SEARCH("⚠",G5))</formula>
    </cfRule>
  </conditionalFormatting>
  <conditionalFormatting sqref="G5:G42">
    <cfRule type="expression" priority="4" aboveAverage="0" equalAverage="0" bottom="0" percent="0" rank="0" text="" dxfId="14">
      <formula>OR(ISNUMBER(SEARCH("DƯỚI NGƯỠNG",G5)),ISNUMBER(SEARCH("VƯỢT NGƯỠNG",G5)),ISNUMBER(SEARCH("DƯỚI 100%",G5)))</formula>
    </cfRule>
    <cfRule type="expression" priority="5" aboveAverage="0" equalAverage="0" bottom="0" percent="0" rank="0" text="" dxfId="18">
      <formula>AND(ISNUMBER(SEARCH("ĐẠT",G5)),NOT(ISNUMBER(SEARCH("DƯỚI",G5))),NOT(ISNUMBER(SEARCH("VƯỢT",G5))))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770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8" activeCellId="0" sqref="B8"/>
    </sheetView>
  </sheetViews>
  <sheetFormatPr defaultColWidth="14.43359375" defaultRowHeight="15" zeroHeight="false" outlineLevelRow="0" outlineLevelCol="0"/>
  <cols>
    <col collapsed="false" customWidth="true" hidden="false" outlineLevel="0" max="1" min="1" style="1" width="35"/>
    <col collapsed="false" customWidth="true" hidden="false" outlineLevel="0" max="4" min="2" style="1" width="23.43"/>
    <col collapsed="false" customWidth="true" hidden="false" outlineLevel="0" max="6" min="5" style="1" width="25.85"/>
    <col collapsed="false" customWidth="true" hidden="false" outlineLevel="0" max="8" min="7" style="1" width="20.85"/>
    <col collapsed="false" customWidth="true" hidden="false" outlineLevel="0" max="26" min="9" style="1" width="8.71"/>
  </cols>
  <sheetData>
    <row r="1" customFormat="false" ht="31.5" hidden="false" customHeight="true" outlineLevel="0" collapsed="false">
      <c r="A1" s="257" t="s">
        <v>3929</v>
      </c>
      <c r="B1" s="257"/>
      <c r="C1" s="257"/>
      <c r="D1" s="257"/>
      <c r="E1" s="257"/>
      <c r="F1" s="257"/>
      <c r="G1" s="257"/>
      <c r="H1" s="257"/>
    </row>
    <row r="2" customFormat="false" ht="15" hidden="false" customHeight="true" outlineLevel="0" collapsed="false">
      <c r="A2" s="4"/>
      <c r="B2" s="4"/>
      <c r="C2" s="4"/>
      <c r="D2" s="4"/>
      <c r="E2" s="4"/>
      <c r="F2" s="4"/>
      <c r="G2" s="4"/>
      <c r="H2" s="4"/>
    </row>
    <row r="3" customFormat="false" ht="21.75" hidden="false" customHeight="true" outlineLevel="0" collapsed="false">
      <c r="A3" s="316" t="s">
        <v>3</v>
      </c>
      <c r="B3" s="316"/>
      <c r="C3" s="8" t="s">
        <v>3930</v>
      </c>
      <c r="D3" s="8"/>
      <c r="E3" s="339" t="s">
        <v>3931</v>
      </c>
      <c r="F3" s="339"/>
      <c r="G3" s="9" t="s">
        <v>5</v>
      </c>
      <c r="H3" s="9"/>
    </row>
    <row r="4" customFormat="false" ht="39.75" hidden="false" customHeight="true" outlineLevel="0" collapsed="false">
      <c r="A4" s="317" t="n">
        <f aca="false">COUNTA('DL02. Khách tiềm năng'!A4:A500)</f>
        <v>20</v>
      </c>
      <c r="B4" s="317"/>
      <c r="C4" s="317" t="n">
        <f aca="false">COUNTIF('DL02. Khách tiềm năng'!O4:O500,"qualified*")</f>
        <v>17</v>
      </c>
      <c r="D4" s="317"/>
      <c r="E4" s="317" t="n">
        <f aca="false">COUNTIF('DL03. Đặt lịch test'!E4:E500,"booked*")</f>
        <v>6</v>
      </c>
      <c r="F4" s="317"/>
      <c r="G4" s="317" t="n">
        <f aca="false">COUNTIF('DL06. Đăng ký'!F4:F500,"confirmed*")</f>
        <v>14</v>
      </c>
      <c r="H4" s="317"/>
    </row>
    <row r="5" customFormat="false" ht="18" hidden="false" customHeight="true" outlineLevel="0" collapsed="false">
      <c r="A5" s="12" t="s">
        <v>3932</v>
      </c>
      <c r="B5" s="12"/>
      <c r="C5" s="12" t="s">
        <v>2481</v>
      </c>
      <c r="D5" s="12"/>
      <c r="E5" s="12" t="s">
        <v>3933</v>
      </c>
      <c r="F5" s="12"/>
      <c r="G5" s="12" t="s">
        <v>3934</v>
      </c>
      <c r="H5" s="12"/>
    </row>
    <row r="6" customFormat="false" ht="15" hidden="false" customHeight="true" outlineLevel="0" collapsed="false">
      <c r="A6" s="4"/>
      <c r="B6" s="4"/>
      <c r="C6" s="4"/>
      <c r="D6" s="4"/>
      <c r="E6" s="4"/>
      <c r="F6" s="4"/>
      <c r="G6" s="4"/>
      <c r="H6" s="4"/>
    </row>
    <row r="7" customFormat="false" ht="25.5" hidden="false" customHeight="true" outlineLevel="0" collapsed="false">
      <c r="A7" s="340" t="s">
        <v>3935</v>
      </c>
      <c r="B7" s="340"/>
      <c r="C7" s="340"/>
      <c r="D7" s="340"/>
      <c r="E7" s="340"/>
      <c r="F7" s="340"/>
      <c r="G7" s="340"/>
      <c r="H7" s="340"/>
    </row>
    <row r="8" customFormat="false" ht="21.75" hidden="false" customHeight="true" outlineLevel="0" collapsed="false">
      <c r="A8" s="341" t="s">
        <v>3936</v>
      </c>
      <c r="B8" s="341" t="s">
        <v>20</v>
      </c>
      <c r="C8" s="341" t="s">
        <v>3937</v>
      </c>
      <c r="D8" s="341" t="s">
        <v>3938</v>
      </c>
      <c r="E8" s="341" t="s">
        <v>2119</v>
      </c>
      <c r="F8" s="341" t="s">
        <v>2281</v>
      </c>
      <c r="G8" s="4"/>
      <c r="H8" s="4"/>
    </row>
    <row r="9" customFormat="false" ht="32.25" hidden="false" customHeight="true" outlineLevel="0" collapsed="false">
      <c r="A9" s="21" t="s">
        <v>3939</v>
      </c>
      <c r="B9" s="138" t="n">
        <f aca="false">COUNTA('DL02. Khách tiềm năng'!A4:A500)</f>
        <v>20</v>
      </c>
      <c r="C9" s="342" t="n">
        <f aca="false">1</f>
        <v>1</v>
      </c>
      <c r="D9" s="342" t="s">
        <v>220</v>
      </c>
      <c r="E9" s="138" t="s">
        <v>2124</v>
      </c>
      <c r="F9" s="21" t="s">
        <v>3940</v>
      </c>
      <c r="G9" s="4"/>
      <c r="H9" s="4"/>
    </row>
    <row r="10" customFormat="false" ht="32.25" hidden="false" customHeight="true" outlineLevel="0" collapsed="false">
      <c r="A10" s="21" t="s">
        <v>3941</v>
      </c>
      <c r="B10" s="138" t="n">
        <f aca="false">COUNTIF('DL02. Khách tiềm năng'!P4:P500,"contacted*")+COUNTIF('DL02. Khách tiềm năng'!P4:P500,"considering*")+COUNTIF('DL02. Khách tiềm năng'!P4:P500,"converted*")+COUNTIF('DL02. Khách tiềm năng'!P4:P500,"rejected*")</f>
        <v>17</v>
      </c>
      <c r="C10" s="342" t="n">
        <f aca="false">B10/$B$9</f>
        <v>0.85</v>
      </c>
      <c r="D10" s="342" t="n">
        <f aca="false">B10/$B$9</f>
        <v>0.85</v>
      </c>
      <c r="E10" s="138" t="s">
        <v>2124</v>
      </c>
      <c r="F10" s="21" t="s">
        <v>3942</v>
      </c>
      <c r="G10" s="4"/>
      <c r="H10" s="4"/>
    </row>
    <row r="11" customFormat="false" ht="32.25" hidden="false" customHeight="true" outlineLevel="0" collapsed="false">
      <c r="A11" s="21" t="s">
        <v>3943</v>
      </c>
      <c r="B11" s="138" t="n">
        <f aca="false">COUNTIF('DL02. Khách tiềm năng'!O4:O500,"qualified*")</f>
        <v>17</v>
      </c>
      <c r="C11" s="342" t="n">
        <f aca="false">B11/$B$9</f>
        <v>0.85</v>
      </c>
      <c r="D11" s="342" t="n">
        <f aca="false">IFERROR(B11/B10,0)</f>
        <v>1</v>
      </c>
      <c r="E11" s="138" t="s">
        <v>2124</v>
      </c>
      <c r="F11" s="21" t="s">
        <v>2481</v>
      </c>
      <c r="G11" s="4"/>
      <c r="H11" s="4"/>
    </row>
    <row r="12" customFormat="false" ht="32.25" hidden="false" customHeight="true" outlineLevel="0" collapsed="false">
      <c r="A12" s="21" t="s">
        <v>3944</v>
      </c>
      <c r="B12" s="138" t="n">
        <f aca="false">COUNTIF('DL03. Đặt lịch test'!E4:E500,"booked*")</f>
        <v>6</v>
      </c>
      <c r="C12" s="342" t="n">
        <f aca="false">B12/$B$9</f>
        <v>0.3</v>
      </c>
      <c r="D12" s="342" t="n">
        <f aca="false">IFERROR(B12/B11,0)</f>
        <v>0.352941176470588</v>
      </c>
      <c r="E12" s="138" t="s">
        <v>2131</v>
      </c>
      <c r="F12" s="21" t="s">
        <v>3933</v>
      </c>
      <c r="G12" s="4"/>
      <c r="H12" s="4"/>
    </row>
    <row r="13" customFormat="false" ht="32.25" hidden="false" customHeight="true" outlineLevel="0" collapsed="false">
      <c r="A13" s="21" t="s">
        <v>3945</v>
      </c>
      <c r="B13" s="138" t="n">
        <f aca="false">COUNTIF('DL03. Đặt lịch test'!J4:J500,"graded*")</f>
        <v>5</v>
      </c>
      <c r="C13" s="342" t="n">
        <f aca="false">B13/$B$9</f>
        <v>0.25</v>
      </c>
      <c r="D13" s="342" t="n">
        <f aca="false">IFERROR(B13/B12,0)</f>
        <v>0.833333333333333</v>
      </c>
      <c r="E13" s="138" t="s">
        <v>2131</v>
      </c>
      <c r="F13" s="21" t="s">
        <v>3946</v>
      </c>
      <c r="G13" s="4"/>
      <c r="H13" s="4"/>
    </row>
    <row r="14" customFormat="false" ht="32.25" hidden="false" customHeight="true" outlineLevel="0" collapsed="false">
      <c r="A14" s="21" t="s">
        <v>3947</v>
      </c>
      <c r="B14" s="138" t="n">
        <f aca="false">COUNTIF('DL04. Tư vấn'!E4:E500,"consulted*")</f>
        <v>13</v>
      </c>
      <c r="C14" s="342" t="n">
        <f aca="false">B14/$B$9</f>
        <v>0.65</v>
      </c>
      <c r="D14" s="342" t="n">
        <f aca="false">IFERROR(B14/B13,0)</f>
        <v>2.6</v>
      </c>
      <c r="E14" s="138" t="s">
        <v>2148</v>
      </c>
      <c r="F14" s="21" t="s">
        <v>3948</v>
      </c>
      <c r="G14" s="4"/>
      <c r="H14" s="4"/>
    </row>
    <row r="15" customFormat="false" ht="32.25" hidden="false" customHeight="true" outlineLevel="0" collapsed="false">
      <c r="A15" s="21" t="s">
        <v>3949</v>
      </c>
      <c r="B15" s="138" t="n">
        <f aca="false">COUNTIF('DL04. Tư vấn'!K4:K500,"confirmed_with_deposit*")</f>
        <v>12</v>
      </c>
      <c r="C15" s="342" t="n">
        <f aca="false">B15/$B$9</f>
        <v>0.6</v>
      </c>
      <c r="D15" s="342" t="n">
        <f aca="false">IFERROR(B15/B14,0)</f>
        <v>0.923076923076923</v>
      </c>
      <c r="E15" s="138" t="s">
        <v>2148</v>
      </c>
      <c r="F15" s="21" t="s">
        <v>3950</v>
      </c>
      <c r="G15" s="4"/>
      <c r="H15" s="4"/>
    </row>
    <row r="16" customFormat="false" ht="32.25" hidden="false" customHeight="true" outlineLevel="0" collapsed="false">
      <c r="A16" s="21" t="s">
        <v>3951</v>
      </c>
      <c r="B16" s="138" t="n">
        <f aca="false">COUNTIF('DL06. Đăng ký'!F4:F500,"confirmed*")</f>
        <v>14</v>
      </c>
      <c r="C16" s="342" t="n">
        <f aca="false">B16/$B$9</f>
        <v>0.7</v>
      </c>
      <c r="D16" s="342" t="n">
        <f aca="false">IFERROR(B16/B15,0)</f>
        <v>1.16666666666667</v>
      </c>
      <c r="E16" s="138" t="s">
        <v>2158</v>
      </c>
      <c r="F16" s="21" t="s">
        <v>3952</v>
      </c>
      <c r="G16" s="4"/>
      <c r="H16" s="4"/>
    </row>
    <row r="17" customFormat="false" ht="32.25" hidden="false" customHeight="true" outlineLevel="0" collapsed="false">
      <c r="A17" s="21" t="s">
        <v>3953</v>
      </c>
      <c r="B17" s="138" t="n">
        <f aca="false">COUNTIF('DL06. Đăng ký'!P4:P500,"*paid*")</f>
        <v>11</v>
      </c>
      <c r="C17" s="342" t="n">
        <f aca="false">B17/$B$9</f>
        <v>0.55</v>
      </c>
      <c r="D17" s="342" t="n">
        <f aca="false">IFERROR(B17/B16,0)</f>
        <v>0.785714285714286</v>
      </c>
      <c r="E17" s="138" t="s">
        <v>2158</v>
      </c>
      <c r="F17" s="21" t="s">
        <v>565</v>
      </c>
      <c r="G17" s="4"/>
      <c r="H17" s="4"/>
    </row>
    <row r="18" customFormat="false" ht="15" hidden="false" customHeight="true" outlineLevel="0" collapsed="false">
      <c r="A18" s="4"/>
      <c r="B18" s="4"/>
      <c r="C18" s="4"/>
      <c r="D18" s="4"/>
      <c r="E18" s="4"/>
      <c r="F18" s="4"/>
      <c r="G18" s="4"/>
      <c r="H18" s="4"/>
    </row>
    <row r="19" customFormat="false" ht="25.5" hidden="false" customHeight="true" outlineLevel="0" collapsed="false">
      <c r="A19" s="340" t="s">
        <v>3954</v>
      </c>
      <c r="B19" s="340"/>
      <c r="C19" s="340"/>
      <c r="D19" s="340"/>
      <c r="E19" s="340"/>
      <c r="F19" s="340"/>
      <c r="G19" s="4"/>
      <c r="H19" s="4"/>
    </row>
    <row r="20" customFormat="false" ht="21.75" hidden="false" customHeight="true" outlineLevel="0" collapsed="false">
      <c r="A20" s="341" t="s">
        <v>2498</v>
      </c>
      <c r="B20" s="341" t="s">
        <v>20</v>
      </c>
      <c r="C20" s="341" t="s">
        <v>3955</v>
      </c>
      <c r="D20" s="341" t="s">
        <v>3956</v>
      </c>
      <c r="E20" s="341" t="s">
        <v>3957</v>
      </c>
      <c r="F20" s="4"/>
      <c r="G20" s="4"/>
      <c r="H20" s="4"/>
    </row>
    <row r="21" customFormat="false" ht="32.25" hidden="false" customHeight="true" outlineLevel="0" collapsed="false">
      <c r="A21" s="21" t="s">
        <v>3958</v>
      </c>
      <c r="B21" s="138" t="n">
        <f aca="false">COUNTIF('DL02. Khách tiềm năng'!N4:N500,"facebook_ads*")</f>
        <v>11</v>
      </c>
      <c r="C21" s="342" t="n">
        <f aca="false">IFERROR(B21/COUNTA('DL02. Khách tiềm năng'!A4:A500),0)</f>
        <v>0.55</v>
      </c>
      <c r="D21" s="138" t="n">
        <f aca="false">COUNTIFS('DL02. Khách tiềm năng'!N4:N500,"facebook_ads*",'DL02. Khách tiềm năng'!O4:O500,"qualified*")</f>
        <v>9</v>
      </c>
      <c r="E21" s="342" t="n">
        <f aca="false">IFERROR(COUNTIFS('DL02. Khách tiềm năng'!N4:N500,"facebook_ads*",'DL02. Khách tiềm năng'!P4:P500,"converted*")/MAX(B21,1),0)</f>
        <v>0.545454545454545</v>
      </c>
      <c r="F21" s="4"/>
      <c r="G21" s="4"/>
      <c r="H21" s="4"/>
    </row>
    <row r="22" customFormat="false" ht="32.25" hidden="false" customHeight="true" outlineLevel="0" collapsed="false">
      <c r="A22" s="21" t="s">
        <v>3959</v>
      </c>
      <c r="B22" s="138" t="n">
        <f aca="false">COUNTIF('DL02. Khách tiềm năng'!N4:N500,"hotline*")</f>
        <v>1</v>
      </c>
      <c r="C22" s="342" t="n">
        <f aca="false">IFERROR(B22/COUNTA('DL02. Khách tiềm năng'!A4:A500),0)</f>
        <v>0.05</v>
      </c>
      <c r="D22" s="138" t="n">
        <f aca="false">COUNTIFS('DL02. Khách tiềm năng'!N4:N500,"hotline*",'DL02. Khách tiềm năng'!O4:O500,"qualified*")</f>
        <v>1</v>
      </c>
      <c r="E22" s="342" t="n">
        <f aca="false">IFERROR(COUNTIFS('DL02. Khách tiềm năng'!N4:N500,"hotline*",'DL02. Khách tiềm năng'!P4:P500,"converted*")/MAX(B22,1),0)</f>
        <v>0</v>
      </c>
      <c r="F22" s="4"/>
      <c r="G22" s="4"/>
      <c r="H22" s="4"/>
    </row>
    <row r="23" customFormat="false" ht="32.25" hidden="false" customHeight="true" outlineLevel="0" collapsed="false">
      <c r="A23" s="21" t="s">
        <v>961</v>
      </c>
      <c r="B23" s="138" t="n">
        <f aca="false">COUNTIF('DL02. Khách tiềm năng'!N4:N500,"referral*")</f>
        <v>2</v>
      </c>
      <c r="C23" s="342" t="n">
        <f aca="false">IFERROR(B23/COUNTA('DL02. Khách tiềm năng'!A4:A500),0)</f>
        <v>0.1</v>
      </c>
      <c r="D23" s="138" t="n">
        <f aca="false">COUNTIFS('DL02. Khách tiềm năng'!N4:N500,"referral*",'DL02. Khách tiềm năng'!O4:O500,"qualified*")</f>
        <v>2</v>
      </c>
      <c r="E23" s="342" t="n">
        <f aca="false">IFERROR(COUNTIFS('DL02. Khách tiềm năng'!N4:N500,"referral*",'DL02. Khách tiềm năng'!P4:P500,"converted*")/MAX(B23,1),0)</f>
        <v>1</v>
      </c>
      <c r="F23" s="4"/>
      <c r="G23" s="4"/>
      <c r="H23" s="4"/>
    </row>
    <row r="24" customFormat="false" ht="32.25" hidden="false" customHeight="true" outlineLevel="0" collapsed="false">
      <c r="A24" s="21" t="s">
        <v>3960</v>
      </c>
      <c r="B24" s="138" t="n">
        <f aca="false">COUNTIF('DL02. Khách tiềm năng'!N4:N500,"website*")</f>
        <v>1</v>
      </c>
      <c r="C24" s="342" t="n">
        <f aca="false">IFERROR(B24/COUNTA('DL02. Khách tiềm năng'!A4:A500),0)</f>
        <v>0.05</v>
      </c>
      <c r="D24" s="138" t="n">
        <f aca="false">COUNTIFS('DL02. Khách tiềm năng'!N4:N500,"website*",'DL02. Khách tiềm năng'!O4:O500,"qualified*")</f>
        <v>1</v>
      </c>
      <c r="E24" s="342" t="n">
        <f aca="false">IFERROR(COUNTIFS('DL02. Khách tiềm năng'!N4:N500,"website*",'DL02. Khách tiềm năng'!P4:P500,"converted*")/MAX(B24,1),0)</f>
        <v>1</v>
      </c>
      <c r="F24" s="4"/>
      <c r="G24" s="4"/>
      <c r="H24" s="4"/>
    </row>
    <row r="25" customFormat="false" ht="32.25" hidden="false" customHeight="true" outlineLevel="0" collapsed="false">
      <c r="A25" s="21" t="s">
        <v>3961</v>
      </c>
      <c r="B25" s="138" t="n">
        <f aca="false">COUNTIF('DL02. Khách tiềm năng'!N4:N500,"zalo_oa*")</f>
        <v>1</v>
      </c>
      <c r="C25" s="342" t="n">
        <f aca="false">IFERROR(B25/COUNTA('DL02. Khách tiềm năng'!A4:A500),0)</f>
        <v>0.05</v>
      </c>
      <c r="D25" s="138" t="n">
        <f aca="false">COUNTIFS('DL02. Khách tiềm năng'!N4:N500,"zalo_oa*",'DL02. Khách tiềm năng'!O4:O500,"qualified*")</f>
        <v>1</v>
      </c>
      <c r="E25" s="342" t="n">
        <f aca="false">IFERROR(COUNTIFS('DL02. Khách tiềm năng'!N4:N500,"zalo_oa*",'DL02. Khách tiềm năng'!P4:P500,"converted*")/MAX(B25,1),0)</f>
        <v>1</v>
      </c>
      <c r="F25" s="4"/>
      <c r="G25" s="4"/>
      <c r="H25" s="4"/>
    </row>
    <row r="26" customFormat="false" ht="32.25" hidden="false" customHeight="true" outlineLevel="0" collapsed="false">
      <c r="A26" s="21" t="s">
        <v>949</v>
      </c>
      <c r="B26" s="138" t="n">
        <f aca="false">COUNTIF('DL02. Khách tiềm năng'!N4:N500,"tiktok_ads*")</f>
        <v>1</v>
      </c>
      <c r="C26" s="342" t="n">
        <f aca="false">IFERROR(B26/MAX(COUNTA('DL02. Khách tiềm năng'!A4:A500)-1,1),0)</f>
        <v>0.0526315789473684</v>
      </c>
      <c r="D26" s="138" t="n">
        <f aca="false">COUNTIFS('DL02. Khách tiềm năng'!N4:N500,"tiktok_ads*",'DL02. Khách tiềm năng'!O4:O500,"qualified*")</f>
        <v>1</v>
      </c>
      <c r="E26" s="342" t="n">
        <f aca="false">IFERROR(COUNTIFS('DL02. Khách tiềm năng'!N4:N500,"tiktok_ads*",'DL02. Khách tiềm năng'!P4:P500,"converted*")/MAX(B26,1),0)</f>
        <v>1</v>
      </c>
      <c r="F26" s="4"/>
      <c r="G26" s="179"/>
      <c r="H26" s="179"/>
    </row>
    <row r="27" customFormat="false" ht="32.25" hidden="false" customHeight="true" outlineLevel="0" collapsed="false">
      <c r="A27" s="21" t="s">
        <v>3962</v>
      </c>
      <c r="B27" s="138" t="n">
        <f aca="false">COUNTIF('DL02. Khách tiềm năng'!N4:N500,"landing_page*")</f>
        <v>1</v>
      </c>
      <c r="C27" s="342" t="n">
        <f aca="false">IFERROR(B27/MAX(COUNTA('DL02. Khách tiềm năng'!A4:A500)-1,1),0)</f>
        <v>0.0526315789473684</v>
      </c>
      <c r="D27" s="138" t="n">
        <f aca="false">COUNTIFS('DL02. Khách tiềm năng'!N4:N500,"landing_page*",'DL02. Khách tiềm năng'!O4:O500,"qualified*")</f>
        <v>0</v>
      </c>
      <c r="E27" s="342" t="n">
        <f aca="false">IFERROR(COUNTIFS('DL02. Khách tiềm năng'!N4:N500,"landing_page*",'DL02. Khách tiềm năng'!P4:P500,"converted*")/MAX(B27,1),0)</f>
        <v>0</v>
      </c>
      <c r="F27" s="4"/>
      <c r="G27" s="179"/>
      <c r="H27" s="179"/>
    </row>
    <row r="28" customFormat="false" ht="32.25" hidden="false" customHeight="true" outlineLevel="0" collapsed="false">
      <c r="A28" s="21" t="s">
        <v>3963</v>
      </c>
      <c r="B28" s="138" t="n">
        <f aca="false">COUNTIF('DL02. Khách tiềm năng'!N4:N500,"walk_in*")</f>
        <v>1</v>
      </c>
      <c r="C28" s="342" t="n">
        <f aca="false">IFERROR(B28/MAX(COUNTA('DL02. Khách tiềm năng'!A4:A500)-1,1),0)</f>
        <v>0.0526315789473684</v>
      </c>
      <c r="D28" s="138" t="n">
        <f aca="false">COUNTIFS('DL02. Khách tiềm năng'!N4:N500,"walk_in*",'DL02. Khách tiềm năng'!O4:O500,"qualified*")</f>
        <v>1</v>
      </c>
      <c r="E28" s="342" t="n">
        <f aca="false">IFERROR(COUNTIFS('DL02. Khách tiềm năng'!N4:N500,"walk_in*",'DL02. Khách tiềm năng'!P4:P500,"converted*")/MAX(B28,1),0)</f>
        <v>1</v>
      </c>
      <c r="F28" s="4"/>
      <c r="G28" s="179"/>
      <c r="H28" s="179"/>
    </row>
    <row r="29" customFormat="false" ht="32.25" hidden="false" customHeight="true" outlineLevel="0" collapsed="false">
      <c r="A29" s="21" t="s">
        <v>3964</v>
      </c>
      <c r="B29" s="138" t="n">
        <f aca="false">COUNTIF('DL02. Khách tiềm năng'!N4:N500,"seeding*")</f>
        <v>1</v>
      </c>
      <c r="C29" s="342" t="n">
        <f aca="false">IFERROR(B29/MAX(COUNTA('DL02. Khách tiềm năng'!A4:A500)-1,1),0)</f>
        <v>0.0526315789473684</v>
      </c>
      <c r="D29" s="138" t="n">
        <f aca="false">COUNTIFS('DL02. Khách tiềm năng'!N4:N500,"seeding*",'DL02. Khách tiềm năng'!O4:O500,"qualified*")</f>
        <v>1</v>
      </c>
      <c r="E29" s="342" t="n">
        <f aca="false">IFERROR(COUNTIFS('DL02. Khách tiềm năng'!N4:N500,"seeding*",'DL02. Khách tiềm năng'!P4:P500,"converted*")/MAX(B29,1),0)</f>
        <v>0</v>
      </c>
      <c r="F29" s="4"/>
      <c r="G29" s="179"/>
      <c r="H29" s="179"/>
    </row>
    <row r="30" customFormat="false" ht="32.25" hidden="false" customHeight="true" outlineLevel="0" collapsed="false">
      <c r="A30" s="21" t="s">
        <v>3965</v>
      </c>
      <c r="B30" s="138" t="n">
        <f aca="false">COUNTIF('DL02. Khách tiềm năng'!N4:N500,"upsell*")</f>
        <v>0</v>
      </c>
      <c r="C30" s="342" t="n">
        <f aca="false">IFERROR(B30/MAX(COUNTA('DL02. Khách tiềm năng'!A4:A500)-1,1),0)</f>
        <v>0</v>
      </c>
      <c r="D30" s="138" t="n">
        <f aca="false">COUNTIFS('DL02. Khách tiềm năng'!N4:N500,"upsell*",'DL02. Khách tiềm năng'!O4:O500,"qualified*")</f>
        <v>0</v>
      </c>
      <c r="E30" s="342" t="n">
        <f aca="false">IFERROR(COUNTIFS('DL02. Khách tiềm năng'!N4:N500,"upsell*",'DL02. Khách tiềm năng'!P4:P500,"converted*")/MAX(B30,1),0)</f>
        <v>0</v>
      </c>
      <c r="F30" s="4"/>
      <c r="G30" s="179"/>
      <c r="H30" s="179"/>
    </row>
    <row r="31" customFormat="false" ht="32.25" hidden="false" customHeight="true" outlineLevel="0" collapsed="false">
      <c r="A31" s="21" t="s">
        <v>967</v>
      </c>
      <c r="B31" s="138" t="n">
        <f aca="false">COUNTIF('DL02. Khách tiềm năng'!N4:N500,"other*")</f>
        <v>0</v>
      </c>
      <c r="C31" s="342" t="n">
        <f aca="false">IFERROR(B31/MAX(COUNTA('DL02. Khách tiềm năng'!A4:A500)-1,1),0)</f>
        <v>0</v>
      </c>
      <c r="D31" s="138" t="n">
        <f aca="false">COUNTIFS('DL02. Khách tiềm năng'!N4:N500,"other*",'DL02. Khách tiềm năng'!O4:O500,"qualified*")</f>
        <v>0</v>
      </c>
      <c r="E31" s="342" t="n">
        <f aca="false">IFERROR(COUNTIFS('DL02. Khách tiềm năng'!N4:N500,"other*",'DL02. Khách tiềm năng'!P4:P500,"converted*")/MAX(B31,1),0)</f>
        <v>0</v>
      </c>
      <c r="F31" s="4"/>
      <c r="G31" s="179"/>
      <c r="H31" s="179"/>
    </row>
    <row r="32" customFormat="false" ht="21.75" hidden="false" customHeight="true" outlineLevel="0" collapsed="false">
      <c r="A32" s="4"/>
      <c r="B32" s="4"/>
      <c r="C32" s="4"/>
      <c r="D32" s="4"/>
      <c r="E32" s="4"/>
      <c r="F32" s="4"/>
      <c r="G32" s="4"/>
      <c r="H32" s="4"/>
    </row>
    <row r="33" customFormat="false" ht="21.75" hidden="false" customHeight="true" outlineLevel="0" collapsed="false">
      <c r="A33" s="340" t="s">
        <v>3966</v>
      </c>
      <c r="B33" s="340"/>
      <c r="C33" s="340"/>
      <c r="D33" s="340"/>
      <c r="E33" s="340"/>
      <c r="F33" s="340"/>
      <c r="G33" s="4"/>
      <c r="H33" s="4"/>
    </row>
    <row r="34" customFormat="false" ht="21.75" hidden="false" customHeight="true" outlineLevel="0" collapsed="false">
      <c r="A34" s="341" t="s">
        <v>3710</v>
      </c>
      <c r="B34" s="341" t="s">
        <v>20</v>
      </c>
      <c r="C34" s="341" t="s">
        <v>3955</v>
      </c>
      <c r="D34" s="341" t="s">
        <v>3803</v>
      </c>
      <c r="E34" s="4"/>
      <c r="F34" s="4"/>
      <c r="G34" s="4"/>
      <c r="H34" s="4"/>
    </row>
    <row r="35" customFormat="false" ht="32.25" hidden="false" customHeight="true" outlineLevel="0" collapsed="false">
      <c r="A35" s="21" t="s">
        <v>3967</v>
      </c>
      <c r="B35" s="138" t="n">
        <f aca="false">COUNTIF('DL02. Khách tiềm năng'!P4:P500,"new*")</f>
        <v>2</v>
      </c>
      <c r="C35" s="342" t="n">
        <f aca="false">IFERROR(B35/MAX(COUNTA('DL02. Khách tiềm năng'!A4:A500)-1,1),0)</f>
        <v>0.105263157894737</v>
      </c>
      <c r="D35" s="21" t="s">
        <v>3968</v>
      </c>
      <c r="E35" s="4"/>
      <c r="F35" s="4"/>
      <c r="G35" s="4"/>
      <c r="H35" s="4"/>
    </row>
    <row r="36" customFormat="false" ht="32.25" hidden="false" customHeight="true" outlineLevel="0" collapsed="false">
      <c r="A36" s="21" t="s">
        <v>3969</v>
      </c>
      <c r="B36" s="138" t="n">
        <f aca="false">COUNTIF('DL02. Khách tiềm năng'!P4:P500,"contacted*")</f>
        <v>2</v>
      </c>
      <c r="C36" s="342" t="n">
        <f aca="false">IFERROR(B36/MAX(COUNTA('DL02. Khách tiềm năng'!A4:A500)-1,1),0)</f>
        <v>0.105263157894737</v>
      </c>
      <c r="D36" s="21"/>
      <c r="E36" s="4"/>
      <c r="F36" s="4"/>
      <c r="G36" s="4"/>
      <c r="H36" s="4"/>
    </row>
    <row r="37" customFormat="false" ht="32.25" hidden="false" customHeight="true" outlineLevel="0" collapsed="false">
      <c r="A37" s="21" t="s">
        <v>981</v>
      </c>
      <c r="B37" s="138" t="n">
        <f aca="false">COUNTIF('DL02. Khách tiềm năng'!P4:P500,"considering*")</f>
        <v>2</v>
      </c>
      <c r="C37" s="342" t="n">
        <f aca="false">IFERROR(B37/MAX(COUNTA('DL02. Khách tiềm năng'!A4:A500)-1,1),0)</f>
        <v>0.105263157894737</v>
      </c>
      <c r="D37" s="21"/>
      <c r="E37" s="4"/>
      <c r="F37" s="4"/>
      <c r="G37" s="4"/>
      <c r="H37" s="4"/>
    </row>
    <row r="38" customFormat="false" ht="32.25" hidden="false" customHeight="true" outlineLevel="0" collapsed="false">
      <c r="A38" s="21" t="s">
        <v>1062</v>
      </c>
      <c r="B38" s="138" t="n">
        <f aca="false">COUNTIF('DL02. Khách tiềm năng'!P4:P500,"no_response*")</f>
        <v>0</v>
      </c>
      <c r="C38" s="342" t="n">
        <f aca="false">IFERROR(B38/MAX(COUNTA('DL02. Khách tiềm năng'!A4:A500)-1,1),0)</f>
        <v>0</v>
      </c>
      <c r="D38" s="21" t="s">
        <v>3970</v>
      </c>
      <c r="E38" s="4"/>
      <c r="F38" s="4"/>
      <c r="G38" s="4"/>
      <c r="H38" s="4"/>
    </row>
    <row r="39" customFormat="false" ht="32.25" hidden="false" customHeight="true" outlineLevel="0" collapsed="false">
      <c r="A39" s="21" t="s">
        <v>3971</v>
      </c>
      <c r="B39" s="138" t="n">
        <f aca="false">COUNTIF('DL02. Khách tiềm năng'!P4:P500,"unreachable*")</f>
        <v>1</v>
      </c>
      <c r="C39" s="342" t="n">
        <f aca="false">IFERROR(B39/MAX(COUNTA('DL02. Khách tiềm năng'!A4:A500)-1,1),0)</f>
        <v>0.0526315789473684</v>
      </c>
      <c r="D39" s="21"/>
      <c r="E39" s="4"/>
      <c r="F39" s="4"/>
      <c r="G39" s="4"/>
      <c r="H39" s="4"/>
    </row>
    <row r="40" customFormat="false" ht="32.25" hidden="false" customHeight="true" outlineLevel="0" collapsed="false">
      <c r="A40" s="21" t="s">
        <v>987</v>
      </c>
      <c r="B40" s="138" t="n">
        <f aca="false">COUNTIF('DL02. Khách tiềm năng'!P4:P500,"rejected*")</f>
        <v>1</v>
      </c>
      <c r="C40" s="342" t="n">
        <f aca="false">IFERROR(B40/MAX(COUNTA('DL02. Khách tiềm năng'!A4:A500)-1,1),0)</f>
        <v>0.0526315789473684</v>
      </c>
      <c r="D40" s="21"/>
      <c r="E40" s="4"/>
      <c r="F40" s="4"/>
      <c r="G40" s="4"/>
      <c r="H40" s="4"/>
    </row>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6">
    <mergeCell ref="A1:H1"/>
    <mergeCell ref="A3:B3"/>
    <mergeCell ref="C3:D3"/>
    <mergeCell ref="E3:F3"/>
    <mergeCell ref="G3:H3"/>
    <mergeCell ref="A4:B4"/>
    <mergeCell ref="C4:D4"/>
    <mergeCell ref="E4:F4"/>
    <mergeCell ref="G4:H4"/>
    <mergeCell ref="A5:B5"/>
    <mergeCell ref="C5:D5"/>
    <mergeCell ref="E5:F5"/>
    <mergeCell ref="G5:H5"/>
    <mergeCell ref="A7:H7"/>
    <mergeCell ref="A19:F19"/>
    <mergeCell ref="A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770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8" activeCellId="0" sqref="B8"/>
    </sheetView>
  </sheetViews>
  <sheetFormatPr defaultColWidth="14.43359375" defaultRowHeight="15" zeroHeight="false" outlineLevelRow="0" outlineLevelCol="0"/>
  <cols>
    <col collapsed="false" customWidth="true" hidden="false" outlineLevel="0" max="8" min="1" style="1" width="31.71"/>
    <col collapsed="false" customWidth="true" hidden="false" outlineLevel="0" max="26" min="9" style="1" width="8.71"/>
  </cols>
  <sheetData>
    <row r="1" customFormat="false" ht="31.5" hidden="false" customHeight="true" outlineLevel="0" collapsed="false">
      <c r="A1" s="325" t="s">
        <v>3972</v>
      </c>
      <c r="B1" s="325"/>
      <c r="C1" s="325"/>
      <c r="D1" s="325"/>
      <c r="E1" s="325"/>
      <c r="F1" s="325"/>
      <c r="G1" s="325"/>
      <c r="H1" s="325"/>
    </row>
    <row r="2" customFormat="false" ht="15" hidden="false" customHeight="true" outlineLevel="0" collapsed="false">
      <c r="A2" s="4"/>
      <c r="B2" s="4"/>
      <c r="C2" s="4"/>
      <c r="D2" s="4"/>
      <c r="E2" s="4"/>
      <c r="F2" s="4"/>
      <c r="G2" s="4"/>
      <c r="H2" s="4"/>
    </row>
    <row r="3" customFormat="false" ht="21.75" hidden="false" customHeight="true" outlineLevel="0" collapsed="false">
      <c r="A3" s="6" t="s">
        <v>3973</v>
      </c>
      <c r="B3" s="6"/>
      <c r="C3" s="8" t="s">
        <v>3974</v>
      </c>
      <c r="D3" s="8"/>
      <c r="E3" s="9" t="s">
        <v>3975</v>
      </c>
      <c r="F3" s="9"/>
      <c r="G3" s="15" t="s">
        <v>3976</v>
      </c>
      <c r="H3" s="15"/>
    </row>
    <row r="4" customFormat="false" ht="39.75" hidden="false" customHeight="true" outlineLevel="0" collapsed="false">
      <c r="A4" s="317" t="n">
        <f aca="false">COUNTA('DL02. Khách tiềm năng'!A4:A500)</f>
        <v>20</v>
      </c>
      <c r="B4" s="317"/>
      <c r="C4" s="317" t="n">
        <f aca="false">COUNTIF('DL06. Đăng ký'!F4:F500,"confirmed*")</f>
        <v>14</v>
      </c>
      <c r="D4" s="317"/>
      <c r="E4" s="343" t="n">
        <f aca="false">SUM('DL07. Thanh toán'!H4:H500)</f>
        <v>218000000</v>
      </c>
      <c r="F4" s="343"/>
      <c r="G4" s="317" t="n">
        <f aca="false">COUNTIF('DL09. Học viên'!O4:O500,"active*")</f>
        <v>11</v>
      </c>
      <c r="H4" s="317"/>
    </row>
    <row r="5" customFormat="false" ht="21.75" hidden="false" customHeight="true" outlineLevel="0" collapsed="false">
      <c r="A5" s="12" t="s">
        <v>3977</v>
      </c>
      <c r="B5" s="12"/>
      <c r="C5" s="12" t="s">
        <v>8</v>
      </c>
      <c r="D5" s="12"/>
      <c r="E5" s="12" t="s">
        <v>9</v>
      </c>
      <c r="F5" s="12"/>
      <c r="G5" s="12" t="s">
        <v>3978</v>
      </c>
      <c r="H5" s="12"/>
    </row>
    <row r="6" customFormat="false" ht="15" hidden="false" customHeight="true" outlineLevel="0" collapsed="false">
      <c r="A6" s="4"/>
      <c r="B6" s="4"/>
      <c r="C6" s="4"/>
      <c r="D6" s="4"/>
      <c r="E6" s="4"/>
      <c r="F6" s="4"/>
      <c r="G6" s="4"/>
      <c r="H6" s="4"/>
    </row>
    <row r="7" customFormat="false" ht="33.75" hidden="false" customHeight="true" outlineLevel="0" collapsed="false">
      <c r="A7" s="344" t="s">
        <v>3979</v>
      </c>
      <c r="B7" s="344"/>
      <c r="C7" s="344"/>
      <c r="D7" s="344"/>
      <c r="E7" s="344"/>
      <c r="F7" s="344"/>
      <c r="G7" s="344"/>
      <c r="H7" s="344"/>
    </row>
    <row r="8" customFormat="false" ht="30" hidden="false" customHeight="true" outlineLevel="0" collapsed="false">
      <c r="A8" s="320" t="s">
        <v>3980</v>
      </c>
      <c r="B8" s="320" t="s">
        <v>3981</v>
      </c>
      <c r="C8" s="320" t="s">
        <v>3982</v>
      </c>
      <c r="D8" s="4"/>
      <c r="E8" s="4"/>
      <c r="F8" s="4"/>
      <c r="G8" s="4"/>
      <c r="H8" s="4"/>
    </row>
    <row r="9" customFormat="false" ht="21.75" hidden="false" customHeight="true" outlineLevel="0" collapsed="false">
      <c r="A9" s="21" t="s">
        <v>3983</v>
      </c>
      <c r="B9" s="21" t="s">
        <v>3984</v>
      </c>
      <c r="C9" s="180" t="str">
        <f aca="false">HYPERLINK("#'BC3. Phễu khách tiềm năng'!A1","Mở ")</f>
        <v>Mở </v>
      </c>
      <c r="D9" s="4"/>
      <c r="E9" s="4"/>
      <c r="F9" s="4"/>
      <c r="G9" s="4"/>
      <c r="H9" s="4"/>
    </row>
    <row r="10" customFormat="false" ht="21.75" hidden="false" customHeight="true" outlineLevel="0" collapsed="false">
      <c r="A10" s="21" t="s">
        <v>3985</v>
      </c>
      <c r="B10" s="21" t="s">
        <v>3986</v>
      </c>
      <c r="C10" s="180" t="str">
        <f aca="false">HYPERLINK("#'BC5. Bảng NV Tư vấn'!A1","Mở ")</f>
        <v>Mở </v>
      </c>
      <c r="D10" s="4"/>
      <c r="E10" s="4"/>
      <c r="F10" s="4"/>
      <c r="G10" s="4"/>
      <c r="H10" s="4"/>
    </row>
    <row r="11" customFormat="false" ht="21.75" hidden="false" customHeight="true" outlineLevel="0" collapsed="false">
      <c r="A11" s="21" t="s">
        <v>3987</v>
      </c>
      <c r="B11" s="21" t="s">
        <v>3988</v>
      </c>
      <c r="C11" s="180" t="str">
        <f aca="false">HYPERLINK("#'BC1. Học viên nguy cơ'!A1","Mở ")</f>
        <v>Mở </v>
      </c>
      <c r="D11" s="4"/>
      <c r="E11" s="4"/>
      <c r="F11" s="4"/>
      <c r="G11" s="4"/>
      <c r="H11" s="4"/>
    </row>
    <row r="12" customFormat="false" ht="21.75" hidden="false" customHeight="true" outlineLevel="0" collapsed="false">
      <c r="A12" s="21" t="s">
        <v>3989</v>
      </c>
      <c r="B12" s="21" t="s">
        <v>3990</v>
      </c>
      <c r="C12" s="180" t="str">
        <f aca="false">HYPERLINK("#'BC6. Bảng NV WOW'!A1","Mở ")</f>
        <v>Mở </v>
      </c>
      <c r="D12" s="4"/>
      <c r="E12" s="4"/>
      <c r="F12" s="4"/>
      <c r="G12" s="4"/>
      <c r="H12" s="4"/>
    </row>
    <row r="13" customFormat="false" ht="21.75" hidden="false" customHeight="true" outlineLevel="0" collapsed="false">
      <c r="A13" s="21" t="s">
        <v>3991</v>
      </c>
      <c r="B13" s="21" t="s">
        <v>3992</v>
      </c>
      <c r="C13" s="180" t="str">
        <f aca="false">HYPERLINK("#'BC7. Bảng Giảng viên'!A1","Mở ")</f>
        <v>Mở </v>
      </c>
      <c r="D13" s="4"/>
      <c r="E13" s="4"/>
      <c r="F13" s="4"/>
      <c r="G13" s="4"/>
      <c r="H13" s="4"/>
    </row>
    <row r="14" customFormat="false" ht="21.75" hidden="false" customHeight="true" outlineLevel="0" collapsed="false">
      <c r="A14" s="21" t="s">
        <v>3993</v>
      </c>
      <c r="B14" s="21" t="s">
        <v>3994</v>
      </c>
      <c r="C14" s="180" t="str">
        <f aca="false">HYPERLINK("#'BC8. Bảng Học vụ'!A1","Mở ")</f>
        <v>Mở </v>
      </c>
      <c r="D14" s="4"/>
      <c r="E14" s="4"/>
      <c r="F14" s="4"/>
      <c r="G14" s="4"/>
      <c r="H14" s="4"/>
    </row>
    <row r="15" customFormat="false" ht="21.75" hidden="false" customHeight="true" outlineLevel="0" collapsed="false">
      <c r="A15" s="21" t="s">
        <v>3995</v>
      </c>
      <c r="B15" s="21" t="s">
        <v>3996</v>
      </c>
      <c r="C15" s="180" t="str">
        <f aca="false">HYPERLINK("#'BC2. Chỉ số KPI'!A1","Mở ")</f>
        <v>Mở </v>
      </c>
      <c r="D15" s="4"/>
      <c r="E15" s="4"/>
      <c r="F15" s="4"/>
      <c r="G15" s="4"/>
      <c r="H15" s="4"/>
    </row>
    <row r="16" customFormat="false" ht="21.75" hidden="false" customHeight="true" outlineLevel="0" collapsed="false">
      <c r="A16" s="21" t="s">
        <v>3997</v>
      </c>
      <c r="B16" s="21" t="s">
        <v>3998</v>
      </c>
      <c r="C16" s="180" t="str">
        <f aca="false">HYPERLINK("#'BC9. Bảng Quản lý'!A1","Mở ")</f>
        <v>Mở </v>
      </c>
      <c r="D16" s="4"/>
      <c r="E16" s="4"/>
      <c r="F16" s="4"/>
      <c r="G16" s="4"/>
      <c r="H16" s="4"/>
    </row>
    <row r="17" customFormat="false" ht="15" hidden="false" customHeight="true" outlineLevel="0" collapsed="false">
      <c r="A17" s="4"/>
      <c r="B17" s="4"/>
      <c r="C17" s="4"/>
      <c r="D17" s="4"/>
      <c r="E17" s="4"/>
      <c r="F17" s="4"/>
      <c r="G17" s="4"/>
      <c r="H17" s="4"/>
    </row>
    <row r="18" customFormat="false" ht="15" hidden="false" customHeight="true" outlineLevel="0" collapsed="false">
      <c r="A18" s="4"/>
      <c r="B18" s="4"/>
      <c r="C18" s="4"/>
      <c r="D18" s="4"/>
      <c r="E18" s="4"/>
      <c r="F18" s="4"/>
      <c r="G18" s="4"/>
      <c r="H18" s="4"/>
    </row>
    <row r="19" customFormat="false" ht="33.75" hidden="false" customHeight="true" outlineLevel="0" collapsed="false">
      <c r="A19" s="344" t="s">
        <v>3999</v>
      </c>
      <c r="B19" s="344"/>
      <c r="C19" s="344"/>
      <c r="D19" s="344"/>
      <c r="E19" s="344"/>
      <c r="F19" s="344"/>
      <c r="G19" s="344"/>
      <c r="H19" s="344"/>
    </row>
    <row r="20" customFormat="false" ht="30" hidden="false" customHeight="true" outlineLevel="0" collapsed="false">
      <c r="A20" s="320" t="s">
        <v>2486</v>
      </c>
      <c r="B20" s="320" t="s">
        <v>3709</v>
      </c>
      <c r="C20" s="320" t="s">
        <v>2498</v>
      </c>
      <c r="D20" s="320" t="s">
        <v>4000</v>
      </c>
      <c r="E20" s="320" t="s">
        <v>4001</v>
      </c>
      <c r="F20" s="320" t="s">
        <v>3504</v>
      </c>
      <c r="G20" s="320" t="s">
        <v>4002</v>
      </c>
      <c r="H20" s="320" t="s">
        <v>3802</v>
      </c>
    </row>
    <row r="21" customFormat="false" ht="39" hidden="false" customHeight="true" outlineLevel="0" collapsed="false">
      <c r="A21" s="21" t="str">
        <f aca="false">IFERROR('DL02. Khách tiềm năng'!A4,"")</f>
        <v>L-2026-00001</v>
      </c>
      <c r="B21" s="21" t="str">
        <f aca="false">IFERROR('DL02. Khách tiềm năng'!E4,"")</f>
        <v>Ngô Thanh Tú</v>
      </c>
      <c r="C21" s="21" t="str">
        <f aca="false">IFERROR('DL02. Khách tiềm năng'!N4,"")</f>
        <v>facebook_ads (Quảng cáo Facebook)</v>
      </c>
      <c r="D21" s="21" t="str">
        <f aca="false">IFERROR('DL02. Khách tiềm năng'!P4,"")</f>
        <v>new (Chưa liên hệ)</v>
      </c>
      <c r="E21" s="21" t="str">
        <f aca="false">IFERROR('DL02. Khách tiềm năng'!O4,"")</f>
        <v>unknown (Chưa rõ)</v>
      </c>
      <c r="F21" s="80" t="str">
        <f aca="false">IFERROR('DL02. Khách tiềm năng'!C4,"")</f>
        <v>NV001</v>
      </c>
      <c r="G21" s="185" t="n">
        <f aca="false">IFERROR('DL02. Khách tiềm năng'!B4,"")</f>
        <v>46208.4468865741</v>
      </c>
      <c r="H21" s="185" t="n">
        <f aca="false">IFERROR('DL02. Khách tiềm năng'!Q4,"")</f>
        <v>0</v>
      </c>
    </row>
    <row r="22" customFormat="false" ht="39" hidden="false" customHeight="true" outlineLevel="0" collapsed="false">
      <c r="A22" s="21" t="str">
        <f aca="false">IFERROR('DL02. Khách tiềm năng'!A5,"")</f>
        <v>L-2026-00002</v>
      </c>
      <c r="B22" s="21" t="str">
        <f aca="false">IFERROR('DL02. Khách tiềm năng'!E5,"")</f>
        <v>Đỗ Quang Huy</v>
      </c>
      <c r="C22" s="21" t="str">
        <f aca="false">IFERROR('DL02. Khách tiềm năng'!N5,"")</f>
        <v>facebook_ads (Quảng cáo Facebook)</v>
      </c>
      <c r="D22" s="21" t="str">
        <f aca="false">IFERROR('DL02. Khách tiềm năng'!P5,"")</f>
        <v>new (Chưa liên hệ)</v>
      </c>
      <c r="E22" s="21" t="str">
        <f aca="false">IFERROR('DL02. Khách tiềm năng'!O5,"")</f>
        <v>unknown (Chưa rõ)</v>
      </c>
      <c r="F22" s="80" t="str">
        <f aca="false">IFERROR('DL02. Khách tiềm năng'!C5,"")</f>
        <v>NV002</v>
      </c>
      <c r="G22" s="185" t="n">
        <f aca="false">IFERROR('DL02. Khách tiềm năng'!B5,"")</f>
        <v>46208.5663310185</v>
      </c>
      <c r="H22" s="185" t="n">
        <f aca="false">IFERROR('DL02. Khách tiềm năng'!Q5,"")</f>
        <v>0</v>
      </c>
    </row>
    <row r="23" customFormat="false" ht="39" hidden="false" customHeight="true" outlineLevel="0" collapsed="false">
      <c r="A23" s="21" t="str">
        <f aca="false">IFERROR('DL02. Khách tiềm năng'!A6,"")</f>
        <v>L-2026-00003</v>
      </c>
      <c r="B23" s="21" t="str">
        <f aca="false">IFERROR('DL02. Khách tiềm năng'!E6,"")</f>
        <v>Lý Mỹ Linh</v>
      </c>
      <c r="C23" s="21" t="str">
        <f aca="false">IFERROR('DL02. Khách tiềm năng'!N6,"")</f>
        <v>facebook_ads (Quảng cáo Facebook)</v>
      </c>
      <c r="D23" s="21" t="str">
        <f aca="false">IFERROR('DL02. Khách tiềm năng'!P6,"")</f>
        <v>contacted (Đã liên hệ, đang khai thác)</v>
      </c>
      <c r="E23" s="21" t="str">
        <f aca="false">IFERROR('DL02. Khách tiềm năng'!O6,"")</f>
        <v>qualified (Đủ điều kiện)</v>
      </c>
      <c r="F23" s="80" t="str">
        <f aca="false">IFERROR('DL02. Khách tiềm năng'!C6,"")</f>
        <v>NV023</v>
      </c>
      <c r="G23" s="185" t="n">
        <f aca="false">IFERROR('DL02. Khách tiềm năng'!B6,"")</f>
        <v>46206.375</v>
      </c>
      <c r="H23" s="185" t="n">
        <f aca="false">IFERROR('DL02. Khách tiềm năng'!Q6,"")</f>
        <v>46208.375</v>
      </c>
    </row>
    <row r="24" customFormat="false" ht="39" hidden="false" customHeight="true" outlineLevel="0" collapsed="false">
      <c r="A24" s="21" t="str">
        <f aca="false">IFERROR('DL02. Khách tiềm năng'!A7,"")</f>
        <v>L-2026-00004</v>
      </c>
      <c r="B24" s="21" t="str">
        <f aca="false">IFERROR('DL02. Khách tiềm năng'!E7,"")</f>
        <v>Trịnh Văn Nam</v>
      </c>
      <c r="C24" s="21" t="str">
        <f aca="false">IFERROR('DL02. Khách tiềm năng'!N7,"")</f>
        <v>facebook_ads (Quảng cáo Facebook)</v>
      </c>
      <c r="D24" s="21" t="str">
        <f aca="false">IFERROR('DL02. Khách tiềm năng'!P7,"")</f>
        <v>contacted (Đã liên hệ, đang khai thác)</v>
      </c>
      <c r="E24" s="21" t="str">
        <f aca="false">IFERROR('DL02. Khách tiềm năng'!O7,"")</f>
        <v>qualified (Đủ điều kiện)</v>
      </c>
      <c r="F24" s="80" t="str">
        <f aca="false">IFERROR('DL02. Khách tiềm năng'!C7,"")</f>
        <v>NV024</v>
      </c>
      <c r="G24" s="185" t="n">
        <f aca="false">IFERROR('DL02. Khách tiềm năng'!B7,"")</f>
        <v>46204.375</v>
      </c>
      <c r="H24" s="185" t="n">
        <f aca="false">IFERROR('DL02. Khách tiềm năng'!Q7,"")</f>
        <v>46210.375</v>
      </c>
    </row>
    <row r="25" customFormat="false" ht="39" hidden="false" customHeight="true" outlineLevel="0" collapsed="false">
      <c r="A25" s="21" t="str">
        <f aca="false">IFERROR('DL02. Khách tiềm năng'!A8,"")</f>
        <v>L-2026-00005</v>
      </c>
      <c r="B25" s="21" t="str">
        <f aca="false">IFERROR('DL02. Khách tiềm năng'!E8,"")</f>
        <v>Cao Thị Oanh</v>
      </c>
      <c r="C25" s="21" t="str">
        <f aca="false">IFERROR('DL02. Khách tiềm năng'!N8,"")</f>
        <v>facebook_ads (Quảng cáo Facebook)</v>
      </c>
      <c r="D25" s="21" t="str">
        <f aca="false">IFERROR('DL02. Khách tiềm năng'!P8,"")</f>
        <v>considering (Đang cân nhắc)</v>
      </c>
      <c r="E25" s="21" t="str">
        <f aca="false">IFERROR('DL02. Khách tiềm năng'!O8,"")</f>
        <v>qualified (Đủ điều kiện)</v>
      </c>
      <c r="F25" s="80" t="str">
        <f aca="false">IFERROR('DL02. Khách tiềm năng'!C8,"")</f>
        <v>NV025</v>
      </c>
      <c r="G25" s="185" t="n">
        <f aca="false">IFERROR('DL02. Khách tiềm năng'!B8,"")</f>
        <v>46202.375</v>
      </c>
      <c r="H25" s="185" t="n">
        <f aca="false">IFERROR('DL02. Khách tiềm năng'!Q8,"")</f>
        <v>46207.375</v>
      </c>
    </row>
    <row r="26" customFormat="false" ht="39" hidden="false" customHeight="true" outlineLevel="0" collapsed="false">
      <c r="A26" s="21" t="str">
        <f aca="false">IFERROR('DL02. Khách tiềm năng'!A9,"")</f>
        <v>L-2026-00006</v>
      </c>
      <c r="B26" s="21" t="str">
        <f aca="false">IFERROR('DL02. Khách tiềm năng'!E9,"")</f>
        <v>Trần Minh Anh</v>
      </c>
      <c r="C26" s="21" t="str">
        <f aca="false">IFERROR('DL02. Khách tiềm năng'!N9,"")</f>
        <v>facebook_ads (Quảng cáo Facebook)</v>
      </c>
      <c r="D26" s="21" t="str">
        <f aca="false">IFERROR('DL02. Khách tiềm năng'!P9,"")</f>
        <v>converted (Đã chuyển đổi - đã thành HV)</v>
      </c>
      <c r="E26" s="21" t="str">
        <f aca="false">IFERROR('DL02. Khách tiềm năng'!O9,"")</f>
        <v>qualified (Đủ điều kiện)</v>
      </c>
      <c r="F26" s="80" t="str">
        <f aca="false">IFERROR('DL02. Khách tiềm năng'!C9,"")</f>
        <v>NV001</v>
      </c>
      <c r="G26" s="185" t="n">
        <f aca="false">IFERROR('DL02. Khách tiềm năng'!B9,"")</f>
        <v>46153.375</v>
      </c>
      <c r="H26" s="185" t="n">
        <f aca="false">IFERROR('DL02. Khách tiềm năng'!Q9,"")</f>
        <v>0</v>
      </c>
    </row>
    <row r="27" customFormat="false" ht="39" hidden="false" customHeight="true" outlineLevel="0" collapsed="false">
      <c r="A27" s="21" t="str">
        <f aca="false">IFERROR('DL02. Khách tiềm năng'!A10,"")</f>
        <v>L-2026-00007</v>
      </c>
      <c r="B27" s="21" t="str">
        <f aca="false">IFERROR('DL02. Khách tiềm năng'!E10,"")</f>
        <v>Lê Thị Bích Ngọc</v>
      </c>
      <c r="C27" s="21" t="str">
        <f aca="false">IFERROR('DL02. Khách tiềm năng'!N10,"")</f>
        <v>facebook_ads (Quảng cáo Facebook)</v>
      </c>
      <c r="D27" s="21" t="str">
        <f aca="false">IFERROR('DL02. Khách tiềm năng'!P10,"")</f>
        <v>converted (Đã chuyển đổi - đã thành HV)</v>
      </c>
      <c r="E27" s="21" t="str">
        <f aca="false">IFERROR('DL02. Khách tiềm năng'!O10,"")</f>
        <v>qualified (Đủ điều kiện)</v>
      </c>
      <c r="F27" s="80" t="str">
        <f aca="false">IFERROR('DL02. Khách tiềm năng'!C10,"")</f>
        <v>NV002</v>
      </c>
      <c r="G27" s="185" t="n">
        <f aca="false">IFERROR('DL02. Khách tiềm năng'!B10,"")</f>
        <v>46138.375</v>
      </c>
      <c r="H27" s="185" t="n">
        <f aca="false">IFERROR('DL02. Khách tiềm năng'!Q10,"")</f>
        <v>0</v>
      </c>
    </row>
    <row r="28" customFormat="false" ht="39" hidden="false" customHeight="true" outlineLevel="0" collapsed="false">
      <c r="A28" s="21" t="str">
        <f aca="false">IFERROR('DL02. Khách tiềm năng'!A11,"")</f>
        <v>L-2026-00008</v>
      </c>
      <c r="B28" s="21" t="str">
        <f aca="false">IFERROR('DL02. Khách tiềm năng'!E11,"")</f>
        <v>Phạm Quốc Cường</v>
      </c>
      <c r="C28" s="21" t="str">
        <f aca="false">IFERROR('DL02. Khách tiềm năng'!N11,"")</f>
        <v>facebook_ads (Quảng cáo Facebook)</v>
      </c>
      <c r="D28" s="21" t="str">
        <f aca="false">IFERROR('DL02. Khách tiềm năng'!P11,"")</f>
        <v>converted (Đã chuyển đổi - đã thành HV)</v>
      </c>
      <c r="E28" s="21" t="str">
        <f aca="false">IFERROR('DL02. Khách tiềm năng'!O11,"")</f>
        <v>qualified (Đủ điều kiện)</v>
      </c>
      <c r="F28" s="80" t="str">
        <f aca="false">IFERROR('DL02. Khách tiềm năng'!C11,"")</f>
        <v>NV023</v>
      </c>
      <c r="G28" s="185" t="n">
        <f aca="false">IFERROR('DL02. Khách tiềm năng'!B11,"")</f>
        <v>46158.375</v>
      </c>
      <c r="H28" s="185" t="n">
        <f aca="false">IFERROR('DL02. Khách tiềm năng'!Q11,"")</f>
        <v>0</v>
      </c>
    </row>
    <row r="29" customFormat="false" ht="39" hidden="false" customHeight="true" outlineLevel="0" collapsed="false">
      <c r="A29" s="21" t="str">
        <f aca="false">IFERROR('DL02. Khách tiềm năng'!A12,"")</f>
        <v>L-2026-00009</v>
      </c>
      <c r="B29" s="21" t="str">
        <f aca="false">IFERROR('DL02. Khách tiềm năng'!E12,"")</f>
        <v>Nguyễn Thị Dung</v>
      </c>
      <c r="C29" s="21" t="str">
        <f aca="false">IFERROR('DL02. Khách tiềm năng'!N12,"")</f>
        <v>facebook_ads (Quảng cáo Facebook)</v>
      </c>
      <c r="D29" s="21" t="str">
        <f aca="false">IFERROR('DL02. Khách tiềm năng'!P12,"")</f>
        <v>converted (Đã chuyển đổi - đã thành HV)</v>
      </c>
      <c r="E29" s="21" t="str">
        <f aca="false">IFERROR('DL02. Khách tiềm năng'!O12,"")</f>
        <v>qualified (Đủ điều kiện)</v>
      </c>
      <c r="F29" s="80" t="str">
        <f aca="false">IFERROR('DL02. Khách tiềm năng'!C12,"")</f>
        <v>NV024</v>
      </c>
      <c r="G29" s="185" t="n">
        <f aca="false">IFERROR('DL02. Khách tiềm năng'!B12,"")</f>
        <v>46160.375</v>
      </c>
      <c r="H29" s="185" t="n">
        <f aca="false">IFERROR('DL02. Khách tiềm năng'!Q12,"")</f>
        <v>0</v>
      </c>
    </row>
    <row r="30" customFormat="false" ht="39" hidden="false" customHeight="true" outlineLevel="0" collapsed="false">
      <c r="A30" s="21" t="str">
        <f aca="false">IFERROR('DL02. Khách tiềm năng'!A13,"")</f>
        <v>L-2026-00010</v>
      </c>
      <c r="B30" s="21" t="str">
        <f aca="false">IFERROR('DL02. Khách tiềm năng'!E13,"")</f>
        <v>Võ Hoàng Em</v>
      </c>
      <c r="C30" s="21" t="str">
        <f aca="false">IFERROR('DL02. Khách tiềm năng'!N13,"")</f>
        <v>facebook_ads (Quảng cáo Facebook)</v>
      </c>
      <c r="D30" s="21" t="str">
        <f aca="false">IFERROR('DL02. Khách tiềm năng'!P13,"")</f>
        <v>converted (Đã chuyển đổi - đã thành HV)</v>
      </c>
      <c r="E30" s="21" t="str">
        <f aca="false">IFERROR('DL02. Khách tiềm năng'!O13,"")</f>
        <v>qualified (Đủ điều kiện)</v>
      </c>
      <c r="F30" s="80" t="str">
        <f aca="false">IFERROR('DL02. Khách tiềm năng'!C13,"")</f>
        <v>NV025</v>
      </c>
      <c r="G30" s="185" t="n">
        <f aca="false">IFERROR('DL02. Khách tiềm năng'!B13,"")</f>
        <v>46163.375</v>
      </c>
      <c r="H30" s="185" t="n">
        <f aca="false">IFERROR('DL02. Khách tiềm năng'!Q13,"")</f>
        <v>0</v>
      </c>
    </row>
    <row r="31" customFormat="false" ht="15" hidden="false" customHeight="true" outlineLevel="0" collapsed="false">
      <c r="A31" s="179"/>
      <c r="B31" s="179"/>
      <c r="C31" s="179"/>
      <c r="D31" s="179"/>
      <c r="E31" s="179"/>
      <c r="F31" s="179"/>
      <c r="G31" s="179"/>
      <c r="H31" s="179"/>
    </row>
    <row r="32" customFormat="false" ht="15" hidden="false" customHeight="true" outlineLevel="0" collapsed="false">
      <c r="A32" s="179"/>
      <c r="B32" s="179"/>
      <c r="C32" s="179"/>
      <c r="D32" s="179"/>
      <c r="E32" s="179"/>
      <c r="F32" s="179"/>
      <c r="G32" s="179"/>
      <c r="H32" s="179"/>
    </row>
    <row r="33" customFormat="false" ht="33.75" hidden="false" customHeight="true" outlineLevel="0" collapsed="false">
      <c r="A33" s="344" t="s">
        <v>4003</v>
      </c>
      <c r="B33" s="344"/>
      <c r="C33" s="344"/>
      <c r="D33" s="344"/>
      <c r="E33" s="344"/>
      <c r="F33" s="344"/>
      <c r="G33" s="344"/>
      <c r="H33" s="344"/>
    </row>
    <row r="34" customFormat="false" ht="30" hidden="false" customHeight="true" outlineLevel="0" collapsed="false">
      <c r="A34" s="320" t="s">
        <v>4004</v>
      </c>
      <c r="B34" s="345" t="n">
        <f aca="true">DATE(YEAR(TODAY()),MONTH(TODAY()),1)</f>
        <v>46204</v>
      </c>
      <c r="C34" s="179"/>
      <c r="D34" s="179"/>
      <c r="E34" s="179"/>
      <c r="F34" s="179"/>
      <c r="G34" s="179"/>
      <c r="H34" s="179"/>
    </row>
    <row r="35" customFormat="false" ht="22.5" hidden="false" customHeight="true" outlineLevel="0" collapsed="false">
      <c r="A35" s="320" t="s">
        <v>4005</v>
      </c>
      <c r="B35" s="320" t="s">
        <v>4006</v>
      </c>
      <c r="C35" s="320" t="s">
        <v>4007</v>
      </c>
      <c r="D35" s="320" t="s">
        <v>4008</v>
      </c>
      <c r="E35" s="320" t="s">
        <v>2281</v>
      </c>
      <c r="F35" s="179"/>
      <c r="G35" s="179"/>
      <c r="H35" s="179"/>
    </row>
    <row r="36" customFormat="false" ht="27" hidden="false" customHeight="true" outlineLevel="0" collapsed="false">
      <c r="A36" s="21" t="s">
        <v>3973</v>
      </c>
      <c r="B36" s="185" t="n">
        <f aca="false">SUMPRODUCT((TEXT('DL02. Khách tiềm năng'!B4:B500,"MM/YYYY")=TEXT($B$34,"MM/YYYY"))*('DL02. Khách tiềm năng'!A4:A500&lt;&gt;""))</f>
        <v>5</v>
      </c>
      <c r="C36" s="185" t="n">
        <f aca="false">SUMPRODUCT((TEXT('DL02. Khách tiềm năng'!B4:B500,"MM/YYYY")=TEXT(EDATE($B$34,-1),"MM/YYYY"))*('DL02. Khách tiềm năng'!A4:A500&lt;&gt;""))</f>
        <v>10</v>
      </c>
      <c r="D36" s="346" t="n">
        <f aca="false">B36-C36</f>
        <v>-5</v>
      </c>
      <c r="E36" s="21" t="s">
        <v>4009</v>
      </c>
      <c r="F36" s="179"/>
      <c r="G36" s="179"/>
      <c r="H36" s="179"/>
    </row>
    <row r="37" customFormat="false" ht="27" hidden="false" customHeight="true" outlineLevel="0" collapsed="false">
      <c r="A37" s="21" t="s">
        <v>4010</v>
      </c>
      <c r="B37" s="185" t="n">
        <f aca="false">SUMPRODUCT((TEXT('DL06. Đăng ký'!G4:G500,"MM/YYYY")=TEXT($B$34,"MM/YYYY"))*ISNUMBER(SEARCH("confirmed",'DL06. Đăng ký'!F4:F500)))</f>
        <v>0</v>
      </c>
      <c r="C37" s="185" t="n">
        <f aca="false">SUMPRODUCT((TEXT('DL06. Đăng ký'!G4:G500,"MM/YYYY")=TEXT(EDATE($B$34,-1),"MM/YYYY"))*ISNUMBER(SEARCH("confirmed",'DL06. Đăng ký'!F4:F500)))</f>
        <v>8</v>
      </c>
      <c r="D37" s="346" t="n">
        <f aca="false">B37-C37</f>
        <v>-8</v>
      </c>
      <c r="E37" s="21" t="s">
        <v>4011</v>
      </c>
      <c r="F37" s="179"/>
      <c r="G37" s="179"/>
      <c r="H37" s="179"/>
    </row>
    <row r="38" customFormat="false" ht="27" hidden="false" customHeight="true" outlineLevel="0" collapsed="false">
      <c r="A38" s="21" t="s">
        <v>4012</v>
      </c>
      <c r="B38" s="240" t="n">
        <f aca="false">SUMPRODUCT((TEXT('DL07. Thanh toán'!D4:D500,"MM/YYYY")=TEXT($B$34,"MM/YYYY"))*N('DL07. Thanh toán'!F4:F500))</f>
        <v>0</v>
      </c>
      <c r="C38" s="240" t="n">
        <f aca="false">SUMPRODUCT((TEXT('DL07. Thanh toán'!D4:D500,"MM/YYYY")=TEXT(EDATE($B$34,-1),"MM/YYYY"))*N('DL07. Thanh toán'!F4:F500))</f>
        <v>106000000</v>
      </c>
      <c r="D38" s="240" t="n">
        <f aca="false">B38-C38</f>
        <v>-106000000</v>
      </c>
      <c r="E38" s="21" t="s">
        <v>4013</v>
      </c>
      <c r="F38" s="179"/>
      <c r="G38" s="179"/>
      <c r="H38" s="179"/>
    </row>
    <row r="39" customFormat="false" ht="27" hidden="false" customHeight="true" outlineLevel="0" collapsed="false">
      <c r="A39" s="21" t="s">
        <v>4014</v>
      </c>
      <c r="B39" s="185" t="n">
        <f aca="false">SUMPRODUCT((TEXT('DL08. Xếp lớp &amp; Nhập học'!M4:M500,"MM/YYYY")=TEXT($B$34,"MM/YYYY"))*('DL08. Xếp lớp &amp; Nhập học'!A4:A500&lt;&gt;""))</f>
        <v>0</v>
      </c>
      <c r="C39" s="185" t="n">
        <f aca="false">SUMPRODUCT((TEXT('DL08. Xếp lớp &amp; Nhập học'!M4:M500,"MM/YYYY")=TEXT(EDATE($B$34,-1),"MM/YYYY"))*('DL08. Xếp lớp &amp; Nhập học'!A4:A500&lt;&gt;""))</f>
        <v>6</v>
      </c>
      <c r="D39" s="346" t="n">
        <f aca="false">B39-C39</f>
        <v>-6</v>
      </c>
      <c r="E39" s="21" t="s">
        <v>4015</v>
      </c>
      <c r="F39" s="179"/>
      <c r="G39" s="179"/>
      <c r="H39" s="179"/>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6">
    <mergeCell ref="A1:H1"/>
    <mergeCell ref="A3:B3"/>
    <mergeCell ref="C3:D3"/>
    <mergeCell ref="E3:F3"/>
    <mergeCell ref="G3:H3"/>
    <mergeCell ref="A4:B4"/>
    <mergeCell ref="C4:D4"/>
    <mergeCell ref="E4:F4"/>
    <mergeCell ref="G4:H4"/>
    <mergeCell ref="A5:B5"/>
    <mergeCell ref="C5:D5"/>
    <mergeCell ref="E5:F5"/>
    <mergeCell ref="G5:H5"/>
    <mergeCell ref="A7:H7"/>
    <mergeCell ref="A19:H19"/>
    <mergeCell ref="A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770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B9" activeCellId="0" sqref="B9"/>
    </sheetView>
  </sheetViews>
  <sheetFormatPr defaultColWidth="14.43359375" defaultRowHeight="15" zeroHeight="false" outlineLevelRow="0" outlineLevelCol="0"/>
  <cols>
    <col collapsed="false" customWidth="true" hidden="false" outlineLevel="0" max="8" min="1" style="1" width="28.43"/>
    <col collapsed="false" customWidth="true" hidden="false" outlineLevel="0" max="26" min="9" style="1" width="8.71"/>
  </cols>
  <sheetData>
    <row r="1" customFormat="false" ht="31.5" hidden="false" customHeight="true" outlineLevel="0" collapsed="false">
      <c r="A1" s="257" t="s">
        <v>4016</v>
      </c>
      <c r="B1" s="257"/>
      <c r="C1" s="257"/>
      <c r="D1" s="257"/>
      <c r="E1" s="257"/>
      <c r="F1" s="257"/>
      <c r="G1" s="257"/>
      <c r="H1" s="257"/>
    </row>
    <row r="2" customFormat="false" ht="24" hidden="false" customHeight="true" outlineLevel="0" collapsed="false">
      <c r="A2" s="3" t="s">
        <v>4017</v>
      </c>
      <c r="B2" s="3"/>
      <c r="C2" s="3"/>
      <c r="D2" s="3"/>
      <c r="E2" s="3"/>
      <c r="F2" s="3"/>
      <c r="G2" s="3"/>
      <c r="H2" s="3"/>
    </row>
    <row r="3" customFormat="false" ht="15" hidden="false" customHeight="true" outlineLevel="0" collapsed="false">
      <c r="A3" s="4"/>
      <c r="B3" s="4"/>
      <c r="C3" s="4"/>
      <c r="D3" s="4"/>
      <c r="E3" s="4"/>
      <c r="F3" s="4"/>
      <c r="G3" s="4"/>
      <c r="H3" s="4"/>
    </row>
    <row r="4" customFormat="false" ht="21.75" hidden="false" customHeight="true" outlineLevel="0" collapsed="false">
      <c r="A4" s="7" t="s">
        <v>4018</v>
      </c>
      <c r="B4" s="7"/>
      <c r="C4" s="9" t="s">
        <v>4019</v>
      </c>
      <c r="D4" s="9"/>
      <c r="E4" s="339" t="s">
        <v>4020</v>
      </c>
      <c r="F4" s="339"/>
      <c r="G4" s="8" t="s">
        <v>4021</v>
      </c>
      <c r="H4" s="8"/>
    </row>
    <row r="5" customFormat="false" ht="39.75" hidden="false" customHeight="true" outlineLevel="0" collapsed="false">
      <c r="A5" s="317" t="n">
        <f aca="false">COUNTIF('DL02. Khách tiềm năng'!P4:P500,"new*")</f>
        <v>2</v>
      </c>
      <c r="B5" s="317"/>
      <c r="C5" s="317" t="n">
        <f aca="false">COUNTIF('DL02. Khách tiềm năng'!P4:P500,"contacted*")+COUNTIF('DL02. Khách tiềm năng'!P4:P500,"considering*")</f>
        <v>4</v>
      </c>
      <c r="D5" s="317"/>
      <c r="E5" s="317" t="n">
        <f aca="false">COUNTIF('DL03. Đặt lịch test'!E4:E500,"booked*")</f>
        <v>6</v>
      </c>
      <c r="F5" s="317"/>
      <c r="G5" s="317" t="n">
        <f aca="false">COUNTIF('DL03. Đặt lịch test'!R4:R500,"awaiting_consultation*")</f>
        <v>0</v>
      </c>
      <c r="H5" s="317"/>
    </row>
    <row r="6" customFormat="false" ht="24.75" hidden="false" customHeight="true" outlineLevel="0" collapsed="false">
      <c r="A6" s="13" t="str">
        <f aca="false">HYPERLINK("#'CH2. Tham số &amp; Quy tắc'!A"&amp;MATCH("slaLRT_minutes",'CH2. Tham số &amp; Quy tắc'!$A:$A,0),"SLA gọi: "&amp;slaLRT_minutes&amp;" phút")</f>
        <v>SLA gọi: 15 phút</v>
      </c>
      <c r="B6" s="13"/>
      <c r="C6" s="12" t="s">
        <v>4022</v>
      </c>
      <c r="D6" s="12"/>
      <c r="E6" s="12" t="s">
        <v>4023</v>
      </c>
      <c r="F6" s="12"/>
      <c r="G6" s="12" t="s">
        <v>4024</v>
      </c>
      <c r="H6" s="12"/>
    </row>
    <row r="7" customFormat="false" ht="15" hidden="false" customHeight="true" outlineLevel="0" collapsed="false">
      <c r="A7" s="4"/>
      <c r="B7" s="4"/>
      <c r="C7" s="4"/>
      <c r="D7" s="4"/>
      <c r="E7" s="4"/>
      <c r="F7" s="4"/>
      <c r="G7" s="4"/>
      <c r="H7" s="4"/>
    </row>
    <row r="8" customFormat="false" ht="25.5" hidden="false" customHeight="true" outlineLevel="0" collapsed="false">
      <c r="A8" s="347" t="s">
        <v>4025</v>
      </c>
      <c r="B8" s="347"/>
      <c r="C8" s="347"/>
      <c r="D8" s="347"/>
      <c r="E8" s="347"/>
      <c r="F8" s="347"/>
      <c r="G8" s="347"/>
      <c r="H8" s="347"/>
    </row>
    <row r="9" customFormat="false" ht="21.75" hidden="false" customHeight="true" outlineLevel="0" collapsed="false">
      <c r="A9" s="320" t="s">
        <v>2486</v>
      </c>
      <c r="B9" s="320" t="s">
        <v>3709</v>
      </c>
      <c r="C9" s="320" t="s">
        <v>2278</v>
      </c>
      <c r="D9" s="320" t="s">
        <v>250</v>
      </c>
      <c r="E9" s="320" t="s">
        <v>3504</v>
      </c>
      <c r="F9" s="320" t="s">
        <v>3801</v>
      </c>
      <c r="G9" s="320" t="s">
        <v>4026</v>
      </c>
      <c r="H9" s="320" t="s">
        <v>2503</v>
      </c>
    </row>
    <row r="10" customFormat="false" ht="47.25" hidden="false" customHeight="true" outlineLevel="0" collapsed="false">
      <c r="A10" s="185" t="str">
        <f aca="true" t="array" ref="A10:A10">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L-2026-00003</v>
      </c>
      <c r="B10" s="185" t="str">
        <f aca="true" t="array" ref="B10:B10">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Lý Mỹ Linh</v>
      </c>
      <c r="C10" s="185" t="str">
        <f aca="true" t="array" ref="C10:C10">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0901000003</v>
      </c>
      <c r="D10" s="185" t="str">
        <f aca="true" t="array" ref="D10:D10">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contacted (Đã liên hệ, đang khai thác)</v>
      </c>
      <c r="E10" s="348" t="str">
        <f aca="true" t="array" ref="E10:E10">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NV023</v>
      </c>
      <c r="F10" s="185" t="n">
        <f aca="true" t="array" ref="F10:F10">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46206.4166666667</v>
      </c>
      <c r="G10" s="185" t="n">
        <f aca="true" t="array" ref="G10:G10">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46208.375</v>
      </c>
      <c r="H10" s="349" t="str">
        <f aca="true" t="array" ref="H10:H10">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Sắp tới hẹn theo dõi lead (trong vòng 24 giờ). Việc cần làm: chuẩn bị liên hệ khách.</v>
      </c>
    </row>
    <row r="11" customFormat="false" ht="47.25" hidden="false" customHeight="true" outlineLevel="0" collapsed="false">
      <c r="A11" s="185" t="str">
        <f aca="true" t="array" ref="A11:A11">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L-2026-00005</v>
      </c>
      <c r="B11" s="185" t="str">
        <f aca="true" t="array" ref="B11:B11">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Cao Thị Oanh</v>
      </c>
      <c r="C11" s="185" t="str">
        <f aca="true" t="array" ref="C11:C11">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0901000005</v>
      </c>
      <c r="D11" s="185" t="str">
        <f aca="true" t="array" ref="D11:D11">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considering (Đang cân nhắc)</v>
      </c>
      <c r="E11" s="348" t="str">
        <f aca="true" t="array" ref="E11:E11">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NV025</v>
      </c>
      <c r="F11" s="185" t="n">
        <f aca="true" t="array" ref="F11:F11">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46202.5833333333</v>
      </c>
      <c r="G11" s="185" t="n">
        <f aca="true" t="array" ref="G11:G11">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46207.375</v>
      </c>
      <c r="H11" s="349" t="str">
        <f aca="true" t="array" ref="H11:H11">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Sắp tới hẹn theo dõi lead (trong vòng 24 giờ). Việc cần làm: chuẩn bị liên hệ khách.</v>
      </c>
    </row>
    <row r="12" customFormat="false" ht="21.75" hidden="false" customHeight="true" outlineLevel="0" collapsed="false">
      <c r="A12" s="185" t="str">
        <f aca="true" t="array" ref="A12:A12">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L-2026-00020</v>
      </c>
      <c r="B12" s="185" t="str">
        <f aca="true" t="array" ref="B12:B12">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Ngân Hải Yến</v>
      </c>
      <c r="C12" s="185" t="str">
        <f aca="true" t="array" ref="C12:C12">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0904000020</v>
      </c>
      <c r="D12" s="185" t="str">
        <f aca="true" t="array" ref="D12:D12">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considering (Đang cân nhắc)</v>
      </c>
      <c r="E12" s="185" t="str">
        <f aca="true" t="array" ref="E12:E12">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NV024</v>
      </c>
      <c r="F12" s="185" t="n">
        <f aca="true" t="array" ref="F12:F12">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46207.625</v>
      </c>
      <c r="G12" s="185" t="n">
        <f aca="true" t="array" ref="G12:G12">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46209.375</v>
      </c>
      <c r="H12" s="349" t="str">
        <f aca="true" t="array" ref="H12:H12">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Sắp tới hẹn theo dõi lead (trong vòng 24 giờ). Việc cần làm: chuẩn bị liên hệ khách.</v>
      </c>
    </row>
    <row r="13" customFormat="false" ht="21.75" hidden="false" customHeight="true" outlineLevel="0" collapsed="false">
      <c r="A13" s="185" t="str">
        <f aca="true" t="array" ref="A13:A13">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13" s="185" t="str">
        <f aca="true" t="array" ref="B13:B13">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13" s="185" t="str">
        <f aca="true" t="array" ref="C13:C13">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13" s="185" t="str">
        <f aca="true" t="array" ref="D13:D13">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13" s="185" t="str">
        <f aca="true" t="array" ref="E13:E13">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13" s="185" t="str">
        <f aca="true" t="array" ref="F13:F13">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13" s="185" t="str">
        <f aca="true" t="array" ref="G13:G13">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13" s="349" t="str">
        <f aca="true" t="array" ref="H13:H13">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14" customFormat="false" ht="21.75" hidden="false" customHeight="true" outlineLevel="0" collapsed="false">
      <c r="A14" s="185" t="str">
        <f aca="true" t="array" ref="A14:A14">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14" s="185" t="str">
        <f aca="true" t="array" ref="B14:B14">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14" s="185" t="str">
        <f aca="true" t="array" ref="C14:C14">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14" s="185" t="str">
        <f aca="true" t="array" ref="D14:D14">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14" s="185" t="str">
        <f aca="true" t="array" ref="E14:E14">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14" s="185" t="str">
        <f aca="true" t="array" ref="F14:F14">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14" s="185" t="str">
        <f aca="true" t="array" ref="G14:G14">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14" s="349" t="str">
        <f aca="true" t="array" ref="H14:H14">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15" customFormat="false" ht="21.75" hidden="false" customHeight="true" outlineLevel="0" collapsed="false">
      <c r="A15" s="185" t="str">
        <f aca="true" t="array" ref="A15:A15">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15" s="185" t="str">
        <f aca="true" t="array" ref="B15:B15">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15" s="185" t="str">
        <f aca="true" t="array" ref="C15:C15">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15" s="185" t="str">
        <f aca="true" t="array" ref="D15:D15">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15" s="185" t="str">
        <f aca="true" t="array" ref="E15:E15">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15" s="185" t="str">
        <f aca="true" t="array" ref="F15:F15">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15" s="185" t="str">
        <f aca="true" t="array" ref="G15:G15">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15" s="349" t="str">
        <f aca="true" t="array" ref="H15:H15">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16" customFormat="false" ht="21.75" hidden="false" customHeight="true" outlineLevel="0" collapsed="false">
      <c r="A16" s="185" t="str">
        <f aca="true" t="array" ref="A16:A16">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16" s="185" t="str">
        <f aca="true" t="array" ref="B16:B16">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16" s="185" t="str">
        <f aca="true" t="array" ref="C16:C16">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16" s="185" t="str">
        <f aca="true" t="array" ref="D16:D16">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16" s="185" t="str">
        <f aca="true" t="array" ref="E16:E16">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16" s="185" t="str">
        <f aca="true" t="array" ref="F16:F16">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16" s="185" t="str">
        <f aca="true" t="array" ref="G16:G16">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16" s="349" t="str">
        <f aca="true" t="array" ref="H16:H16">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17" customFormat="false" ht="21.75" hidden="false" customHeight="true" outlineLevel="0" collapsed="false">
      <c r="A17" s="185" t="str">
        <f aca="true" t="array" ref="A17:A17">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17" s="185" t="str">
        <f aca="true" t="array" ref="B17:B17">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17" s="185" t="str">
        <f aca="true" t="array" ref="C17:C17">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17" s="185" t="str">
        <f aca="true" t="array" ref="D17:D17">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17" s="185" t="str">
        <f aca="true" t="array" ref="E17:E17">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17" s="185" t="str">
        <f aca="true" t="array" ref="F17:F17">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17" s="185" t="str">
        <f aca="true" t="array" ref="G17:G17">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17" s="349" t="str">
        <f aca="true" t="array" ref="H17:H17">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18" customFormat="false" ht="21.75" hidden="false" customHeight="true" outlineLevel="0" collapsed="false">
      <c r="A18" s="185" t="str">
        <f aca="true" t="array" ref="A18:A18">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18" s="185" t="str">
        <f aca="true" t="array" ref="B18:B18">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18" s="185" t="str">
        <f aca="true" t="array" ref="C18:C18">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18" s="185" t="str">
        <f aca="true" t="array" ref="D18:D18">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18" s="185" t="str">
        <f aca="true" t="array" ref="E18:E18">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18" s="185" t="str">
        <f aca="true" t="array" ref="F18:F18">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18" s="185" t="str">
        <f aca="true" t="array" ref="G18:G18">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18" s="349" t="str">
        <f aca="true" t="array" ref="H18:H18">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19" customFormat="false" ht="21.75" hidden="false" customHeight="true" outlineLevel="0" collapsed="false">
      <c r="A19" s="185" t="str">
        <f aca="true" t="array" ref="A19:A19">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19" s="185" t="str">
        <f aca="true" t="array" ref="B19:B19">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19" s="185" t="str">
        <f aca="true" t="array" ref="C19:C19">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19" s="185" t="str">
        <f aca="true" t="array" ref="D19:D19">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19" s="185" t="str">
        <f aca="true" t="array" ref="E19:E19">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19" s="185" t="str">
        <f aca="true" t="array" ref="F19:F19">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19" s="185" t="str">
        <f aca="true" t="array" ref="G19:G19">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19" s="349" t="str">
        <f aca="true" t="array" ref="H19:H19">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20" customFormat="false" ht="21.75" hidden="false" customHeight="true" outlineLevel="0" collapsed="false">
      <c r="A20" s="185" t="str">
        <f aca="true" t="array" ref="A20:A20">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20" s="185" t="str">
        <f aca="true" t="array" ref="B20:B20">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20" s="185" t="str">
        <f aca="true" t="array" ref="C20:C20">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20" s="185" t="str">
        <f aca="true" t="array" ref="D20:D20">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20" s="185" t="str">
        <f aca="true" t="array" ref="E20:E20">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20" s="185" t="str">
        <f aca="true" t="array" ref="F20:F20">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20" s="185" t="str">
        <f aca="true" t="array" ref="G20:G20">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20" s="349" t="str">
        <f aca="true" t="array" ref="H20:H20">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21" customFormat="false" ht="21.75" hidden="false" customHeight="true" outlineLevel="0" collapsed="false">
      <c r="A21" s="185" t="str">
        <f aca="true" t="array" ref="A21:A21">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21" s="185" t="str">
        <f aca="true" t="array" ref="B21:B21">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21" s="185" t="str">
        <f aca="true" t="array" ref="C21:C21">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21" s="185" t="str">
        <f aca="true" t="array" ref="D21:D21">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21" s="185" t="str">
        <f aca="true" t="array" ref="E21:E21">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21" s="185" t="str">
        <f aca="true" t="array" ref="F21:F21">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21" s="185" t="str">
        <f aca="true" t="array" ref="G21:G21">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21" s="349" t="str">
        <f aca="true" t="array" ref="H21:H21">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22" customFormat="false" ht="21.75" hidden="false" customHeight="true" outlineLevel="0" collapsed="false">
      <c r="A22" s="185" t="str">
        <f aca="true" t="array" ref="A22:A22">IFERROR(IF(INDEX('DL02. Khách tiềm năng'!$A$4:$A$500,SMALL(IF(('DL02. Khách tiềm năng'!$Q$4:$Q$500&lt;&gt;"")*('DL02. Khách tiềm năng'!$Q$4:$Q$500&lt;=TODAY()+1)*('DL02. Khách tiềm năng'!$A$4:$A$500&lt;&gt;""),ROW('DL02. Khách tiềm năng'!$A$4:$A$500)-3),ROW()-9))="","",INDEX('DL02. Khách tiềm năng'!$A$4:$A$500,SMALL(IF(('DL02. Khách tiềm năng'!$Q$4:$Q$500&lt;&gt;"")*('DL02. Khách tiềm năng'!$Q$4:$Q$500&lt;=TODAY()+1)*('DL02. Khách tiềm năng'!$A$4:$A$500&lt;&gt;""),ROW('DL02. Khách tiềm năng'!$A$4:$A$500)-3),ROW()-9))),"")</f>
        <v/>
      </c>
      <c r="B22" s="185" t="str">
        <f aca="true" t="array" ref="B22:B22">IFERROR(IF(INDEX('DL02. Khách tiềm năng'!$E$4:$E$500,SMALL(IF(('DL02. Khách tiềm năng'!$Q$4:$Q$500&lt;&gt;"")*('DL02. Khách tiềm năng'!$Q$4:$Q$500&lt;=TODAY()+1)*('DL02. Khách tiềm năng'!$A$4:$A$500&lt;&gt;""),ROW('DL02. Khách tiềm năng'!$A$4:$A$500)-3),ROW()-9))="","",INDEX('DL02. Khách tiềm năng'!$E$4:$E$500,SMALL(IF(('DL02. Khách tiềm năng'!$Q$4:$Q$500&lt;&gt;"")*('DL02. Khách tiềm năng'!$Q$4:$Q$500&lt;=TODAY()+1)*('DL02. Khách tiềm năng'!$A$4:$A$500&lt;&gt;""),ROW('DL02. Khách tiềm năng'!$A$4:$A$500)-3),ROW()-9))),"")</f>
        <v/>
      </c>
      <c r="C22" s="185" t="str">
        <f aca="true" t="array" ref="C22:C22">IFERROR(IF(INDEX('DL02. Khách tiềm năng'!$F$4:$F$500,SMALL(IF(('DL02. Khách tiềm năng'!$Q$4:$Q$500&lt;&gt;"")*('DL02. Khách tiềm năng'!$Q$4:$Q$500&lt;=TODAY()+1)*('DL02. Khách tiềm năng'!$A$4:$A$500&lt;&gt;""),ROW('DL02. Khách tiềm năng'!$A$4:$A$500)-3),ROW()-9))="","",INDEX('DL02. Khách tiềm năng'!$F$4:$F$500,SMALL(IF(('DL02. Khách tiềm năng'!$Q$4:$Q$500&lt;&gt;"")*('DL02. Khách tiềm năng'!$Q$4:$Q$500&lt;=TODAY()+1)*('DL02. Khách tiềm năng'!$A$4:$A$500&lt;&gt;""),ROW('DL02. Khách tiềm năng'!$A$4:$A$500)-3),ROW()-9))),"")</f>
        <v/>
      </c>
      <c r="D22" s="185" t="str">
        <f aca="true" t="array" ref="D22:D22">IFERROR(IF(INDEX('DL02. Khách tiềm năng'!$P$4:$P$500,SMALL(IF(('DL02. Khách tiềm năng'!$Q$4:$Q$500&lt;&gt;"")*('DL02. Khách tiềm năng'!$Q$4:$Q$500&lt;=TODAY()+1)*('DL02. Khách tiềm năng'!$A$4:$A$500&lt;&gt;""),ROW('DL02. Khách tiềm năng'!$A$4:$A$500)-3),ROW()-9))="","",INDEX('DL02. Khách tiềm năng'!$P$4:$P$500,SMALL(IF(('DL02. Khách tiềm năng'!$Q$4:$Q$500&lt;&gt;"")*('DL02. Khách tiềm năng'!$Q$4:$Q$500&lt;=TODAY()+1)*('DL02. Khách tiềm năng'!$A$4:$A$500&lt;&gt;""),ROW('DL02. Khách tiềm năng'!$A$4:$A$500)-3),ROW()-9))),"")</f>
        <v/>
      </c>
      <c r="E22" s="185" t="str">
        <f aca="true" t="array" ref="E22:E22">IFERROR(IF(INDEX('DL02. Khách tiềm năng'!$C$4:$C$500,SMALL(IF(('DL02. Khách tiềm năng'!$Q$4:$Q$500&lt;&gt;"")*('DL02. Khách tiềm năng'!$Q$4:$Q$500&lt;=TODAY()+1)*('DL02. Khách tiềm năng'!$A$4:$A$500&lt;&gt;""),ROW('DL02. Khách tiềm năng'!$A$4:$A$500)-3),ROW()-9))="","",INDEX('DL02. Khách tiềm năng'!$C$4:$C$500,SMALL(IF(('DL02. Khách tiềm năng'!$Q$4:$Q$500&lt;&gt;"")*('DL02. Khách tiềm năng'!$Q$4:$Q$500&lt;=TODAY()+1)*('DL02. Khách tiềm năng'!$A$4:$A$500&lt;&gt;""),ROW('DL02. Khách tiềm năng'!$A$4:$A$500)-3),ROW()-9))),"")</f>
        <v/>
      </c>
      <c r="F22" s="185" t="str">
        <f aca="true" t="array" ref="F22:F22">IFERROR(IF(INDEX('DL02. Khách tiềm năng'!$V$4:$V$500,SMALL(IF(('DL02. Khách tiềm năng'!$Q$4:$Q$500&lt;&gt;"")*('DL02. Khách tiềm năng'!$Q$4:$Q$500&lt;=TODAY()+1)*('DL02. Khách tiềm năng'!$A$4:$A$500&lt;&gt;""),ROW('DL02. Khách tiềm năng'!$A$4:$A$500)-3),ROW()-9))="","",INDEX('DL02. Khách tiềm năng'!$V$4:$V$500,SMALL(IF(('DL02. Khách tiềm năng'!$Q$4:$Q$500&lt;&gt;"")*('DL02. Khách tiềm năng'!$Q$4:$Q$500&lt;=TODAY()+1)*('DL02. Khách tiềm năng'!$A$4:$A$500&lt;&gt;""),ROW('DL02. Khách tiềm năng'!$A$4:$A$500)-3),ROW()-9))),"")</f>
        <v/>
      </c>
      <c r="G22" s="185" t="str">
        <f aca="true" t="array" ref="G22:G22">IFERROR(IF(INDEX('DL02. Khách tiềm năng'!$Q$4:$Q$500,SMALL(IF(('DL02. Khách tiềm năng'!$Q$4:$Q$500&lt;&gt;"")*('DL02. Khách tiềm năng'!$Q$4:$Q$500&lt;=TODAY()+1)*('DL02. Khách tiềm năng'!$A$4:$A$500&lt;&gt;""),ROW('DL02. Khách tiềm năng'!$A$4:$A$500)-3),ROW()-9))="","",INDEX('DL02. Khách tiềm năng'!$Q$4:$Q$500,SMALL(IF(('DL02. Khách tiềm năng'!$Q$4:$Q$500&lt;&gt;"")*('DL02. Khách tiềm năng'!$Q$4:$Q$500&lt;=TODAY()+1)*('DL02. Khách tiềm năng'!$A$4:$A$500&lt;&gt;""),ROW('DL02. Khách tiềm năng'!$A$4:$A$500)-3),ROW()-9))),"")</f>
        <v/>
      </c>
      <c r="H22" s="349" t="str">
        <f aca="true" t="array" ref="H22:H22">IFERROR(IF(INDEX('DL02. Khách tiềm năng'!$T$4:$T$500,SMALL(IF(('DL02. Khách tiềm năng'!$Q$4:$Q$500&lt;&gt;"")*('DL02. Khách tiềm năng'!$Q$4:$Q$500&lt;=TODAY()+1)*('DL02. Khách tiềm năng'!$A$4:$A$500&lt;&gt;""),ROW('DL02. Khách tiềm năng'!$A$4:$A$500)-3),ROW()-9))="","",INDEX('DL02. Khách tiềm năng'!$T$4:$T$500,SMALL(IF(('DL02. Khách tiềm năng'!$Q$4:$Q$500&lt;&gt;"")*('DL02. Khách tiềm năng'!$Q$4:$Q$500&lt;=TODAY()+1)*('DL02. Khách tiềm năng'!$A$4:$A$500&lt;&gt;""),ROW('DL02. Khách tiềm năng'!$A$4:$A$500)-3),ROW()-9))),"")</f>
        <v/>
      </c>
    </row>
    <row r="23" customFormat="false" ht="15" hidden="false" customHeight="true" outlineLevel="0" collapsed="false">
      <c r="A23" s="4"/>
      <c r="B23" s="4"/>
      <c r="C23" s="4"/>
      <c r="D23" s="4"/>
      <c r="E23" s="4"/>
      <c r="F23" s="4"/>
      <c r="G23" s="4"/>
      <c r="H23" s="4"/>
    </row>
    <row r="24" customFormat="false" ht="25.5" hidden="false" customHeight="true" outlineLevel="0" collapsed="false">
      <c r="A24" s="340" t="s">
        <v>4027</v>
      </c>
      <c r="B24" s="340"/>
      <c r="C24" s="340"/>
      <c r="D24" s="340"/>
      <c r="E24" s="340"/>
      <c r="F24" s="340"/>
      <c r="G24" s="340"/>
      <c r="H24" s="340"/>
    </row>
    <row r="25" customFormat="false" ht="21.75" hidden="false" customHeight="true" outlineLevel="0" collapsed="false">
      <c r="A25" s="320" t="s">
        <v>2498</v>
      </c>
      <c r="B25" s="320" t="s">
        <v>2027</v>
      </c>
      <c r="C25" s="320" t="s">
        <v>3930</v>
      </c>
      <c r="D25" s="320" t="s">
        <v>4028</v>
      </c>
      <c r="E25" s="320" t="s">
        <v>4029</v>
      </c>
      <c r="F25" s="320" t="s">
        <v>2082</v>
      </c>
      <c r="G25" s="4"/>
      <c r="H25" s="4"/>
    </row>
    <row r="26" customFormat="false" ht="33.75" hidden="false" customHeight="true" outlineLevel="0" collapsed="false">
      <c r="A26" s="21" t="s">
        <v>4030</v>
      </c>
      <c r="B26" s="138" t="n">
        <f aca="false">COUNTIF('DL02. Khách tiềm năng'!N4:N500,"facebook_ads*")</f>
        <v>11</v>
      </c>
      <c r="C26" s="138" t="n">
        <f aca="false">COUNTIFS('DL02. Khách tiềm năng'!N4:N500,"facebook_ads*",'DL02. Khách tiềm năng'!O4:O500,"qualified*")</f>
        <v>9</v>
      </c>
      <c r="D26" s="138" t="n">
        <f aca="false">COUNTIFS('DL02. Khách tiềm năng'!N4:N500,"facebook_ads*",'DL02. Khách tiềm năng'!P4:P500,"considering*")+COUNTIFS('DL02. Khách tiềm năng'!N4:N500,"facebook_ads*",'DL02. Khách tiềm năng'!P4:P500,"contacted*")</f>
        <v>3</v>
      </c>
      <c r="E26" s="138" t="n">
        <f aca="false">COUNTIFS('DL02. Khách tiềm năng'!N4:N500,"facebook_ads*",'DL02. Khách tiềm năng'!P4:P500,"converted*")</f>
        <v>6</v>
      </c>
      <c r="F26" s="342" t="n">
        <f aca="false">IFERROR(E26/B26,0)</f>
        <v>0.545454545454545</v>
      </c>
      <c r="G26" s="4"/>
      <c r="H26" s="4"/>
    </row>
    <row r="27" customFormat="false" ht="33.75" hidden="false" customHeight="true" outlineLevel="0" collapsed="false">
      <c r="A27" s="21" t="s">
        <v>3959</v>
      </c>
      <c r="B27" s="138" t="n">
        <f aca="false">COUNTIF('DL02. Khách tiềm năng'!N4:N500,"hotline*")</f>
        <v>1</v>
      </c>
      <c r="C27" s="138" t="n">
        <f aca="false">COUNTIFS('DL02. Khách tiềm năng'!N4:N500,"hotline*",'DL02. Khách tiềm năng'!O4:O500,"qualified*")</f>
        <v>1</v>
      </c>
      <c r="D27" s="138" t="n">
        <f aca="false">COUNTIFS('DL02. Khách tiềm năng'!N4:N500,"hotline*",'DL02. Khách tiềm năng'!P4:P500,"considering*")+COUNTIFS('DL02. Khách tiềm năng'!N4:N500,"hotline*",'DL02. Khách tiềm năng'!P4:P500,"contacted*")</f>
        <v>0</v>
      </c>
      <c r="E27" s="138" t="n">
        <f aca="false">COUNTIFS('DL02. Khách tiềm năng'!N4:N500,"hotline*",'DL02. Khách tiềm năng'!P4:P500,"converted*")</f>
        <v>0</v>
      </c>
      <c r="F27" s="342" t="n">
        <f aca="false">IFERROR(E27/B27,0)</f>
        <v>0</v>
      </c>
      <c r="G27" s="4"/>
      <c r="H27" s="4"/>
    </row>
    <row r="28" customFormat="false" ht="33.75" hidden="false" customHeight="true" outlineLevel="0" collapsed="false">
      <c r="A28" s="21" t="s">
        <v>961</v>
      </c>
      <c r="B28" s="138" t="n">
        <f aca="false">COUNTIF('DL02. Khách tiềm năng'!N4:N500,"referral*")</f>
        <v>2</v>
      </c>
      <c r="C28" s="138" t="n">
        <f aca="false">COUNTIFS('DL02. Khách tiềm năng'!N4:N500,"referral*",'DL02. Khách tiềm năng'!O4:O500,"qualified*")</f>
        <v>2</v>
      </c>
      <c r="D28" s="138" t="n">
        <f aca="false">COUNTIFS('DL02. Khách tiềm năng'!N4:N500,"referral*",'DL02. Khách tiềm năng'!P4:P500,"considering*")+COUNTIFS('DL02. Khách tiềm năng'!N4:N500,"referral*",'DL02. Khách tiềm năng'!P4:P500,"contacted*")</f>
        <v>0</v>
      </c>
      <c r="E28" s="138" t="n">
        <f aca="false">COUNTIFS('DL02. Khách tiềm năng'!N4:N500,"referral*",'DL02. Khách tiềm năng'!P4:P500,"converted*")</f>
        <v>2</v>
      </c>
      <c r="F28" s="342" t="n">
        <f aca="false">IFERROR(E28/B28,0)</f>
        <v>1</v>
      </c>
      <c r="G28" s="4"/>
      <c r="H28" s="4"/>
    </row>
    <row r="29" customFormat="false" ht="33.75" hidden="false" customHeight="true" outlineLevel="0" collapsed="false">
      <c r="A29" s="21" t="s">
        <v>3960</v>
      </c>
      <c r="B29" s="138" t="n">
        <f aca="false">COUNTIF('DL02. Khách tiềm năng'!N4:N500,"website*")</f>
        <v>1</v>
      </c>
      <c r="C29" s="138" t="n">
        <f aca="false">COUNTIFS('DL02. Khách tiềm năng'!N4:N500,"website*",'DL02. Khách tiềm năng'!O4:O500,"qualified*")</f>
        <v>1</v>
      </c>
      <c r="D29" s="138" t="n">
        <f aca="false">COUNTIFS('DL02. Khách tiềm năng'!N4:N500,"website*",'DL02. Khách tiềm năng'!P4:P500,"considering*")+COUNTIFS('DL02. Khách tiềm năng'!N4:N500,"website*",'DL02. Khách tiềm năng'!P4:P500,"contacted*")</f>
        <v>0</v>
      </c>
      <c r="E29" s="138" t="n">
        <f aca="false">COUNTIFS('DL02. Khách tiềm năng'!N4:N500,"website*",'DL02. Khách tiềm năng'!P4:P500,"converted*")</f>
        <v>1</v>
      </c>
      <c r="F29" s="342" t="n">
        <f aca="false">IFERROR(E29/B29,0)</f>
        <v>1</v>
      </c>
      <c r="G29" s="4"/>
      <c r="H29" s="4"/>
    </row>
    <row r="30" customFormat="false" ht="33.75" hidden="false" customHeight="true" outlineLevel="0" collapsed="false">
      <c r="A30" s="21" t="s">
        <v>3961</v>
      </c>
      <c r="B30" s="138" t="n">
        <f aca="false">COUNTIF('DL02. Khách tiềm năng'!N4:N500,"zalo_oa*")</f>
        <v>1</v>
      </c>
      <c r="C30" s="138" t="n">
        <f aca="false">COUNTIFS('DL02. Khách tiềm năng'!N4:N500,"zalo_oa*",'DL02. Khách tiềm năng'!O4:O500,"qualified*")</f>
        <v>1</v>
      </c>
      <c r="D30" s="138" t="n">
        <f aca="false">COUNTIFS('DL02. Khách tiềm năng'!N4:N500,"zalo_oa*",'DL02. Khách tiềm năng'!P4:P500,"considering*")+COUNTIFS('DL02. Khách tiềm năng'!N4:N500,"zalo_oa*",'DL02. Khách tiềm năng'!P4:P500,"contacted*")</f>
        <v>0</v>
      </c>
      <c r="E30" s="138" t="n">
        <f aca="false">COUNTIFS('DL02. Khách tiềm năng'!N4:N500,"zalo_oa*",'DL02. Khách tiềm năng'!P4:P500,"converted*")</f>
        <v>1</v>
      </c>
      <c r="F30" s="342" t="n">
        <f aca="false">IFERROR(E30/B30,0)</f>
        <v>1</v>
      </c>
      <c r="G30" s="4"/>
      <c r="H30" s="4"/>
    </row>
    <row r="31" customFormat="false" ht="15" hidden="false" customHeight="true" outlineLevel="0" collapsed="false">
      <c r="A31" s="179"/>
      <c r="B31" s="179"/>
      <c r="C31" s="179"/>
      <c r="D31" s="179"/>
      <c r="E31" s="179"/>
      <c r="F31" s="179"/>
      <c r="G31" s="179"/>
      <c r="H31" s="179"/>
    </row>
    <row r="32" customFormat="false" ht="21.75" hidden="false" customHeight="true" outlineLevel="0" collapsed="false">
      <c r="A32" s="260" t="s">
        <v>4031</v>
      </c>
      <c r="B32" s="260"/>
      <c r="C32" s="260"/>
      <c r="D32" s="260"/>
      <c r="E32" s="260"/>
      <c r="F32" s="260"/>
      <c r="G32" s="260"/>
      <c r="H32" s="260"/>
    </row>
    <row r="33" customFormat="false" ht="19.5" hidden="false" customHeight="true" outlineLevel="0" collapsed="false">
      <c r="A33" s="261" t="s">
        <v>472</v>
      </c>
      <c r="B33" s="261" t="s">
        <v>2116</v>
      </c>
      <c r="C33" s="261"/>
      <c r="D33" s="261" t="s">
        <v>944</v>
      </c>
      <c r="E33" s="261" t="s">
        <v>4032</v>
      </c>
      <c r="F33" s="261" t="s">
        <v>250</v>
      </c>
      <c r="G33" s="261" t="s">
        <v>4033</v>
      </c>
      <c r="H33" s="261"/>
    </row>
    <row r="34" customFormat="false" ht="56.25" hidden="false" customHeight="true" outlineLevel="0" collapsed="false">
      <c r="A34" s="350" t="str">
        <f aca="false">HYPERLINK("#'CH6. Ngưỡng KPI'!A"&amp;MATCH("LRT",'CH6. Ngưỡng KPI'!$A:$A,0),"LRT")</f>
        <v>LRT</v>
      </c>
      <c r="B34" s="166" t="str">
        <f aca="false">IFERROR(VLOOKUP("LRT",'BC2. Chỉ số KPI'!$B:$H,2,FALSE()),"")</f>
        <v>Lead Response Time - TB phút từ lead vào gọi LH đầu</v>
      </c>
      <c r="C34" s="166"/>
      <c r="D34" s="351" t="n">
        <f aca="false">IFERROR(VLOOKUP("LRT",'BC2. Chỉ số KPI'!$B:$H,4,FALSE()),"")</f>
        <v>0</v>
      </c>
      <c r="E34" s="193" t="str">
        <f aca="false">IFERROR(VLOOKUP("LRT",'BC2. Chỉ số KPI'!$B:$H,5,FALSE()),"")</f>
        <v>≤ 15 phút</v>
      </c>
      <c r="F34" s="44" t="str">
        <f aca="false">IFERROR(VLOOKUP("LRT",'BC2. Chỉ số KPI'!$B:$H,6,FALSE()),"")</f>
        <v>-</v>
      </c>
      <c r="G34" s="166" t="str">
        <f aca="false">IFERROR(VLOOKUP("LRT",'BC2. Chỉ số KPI'!$B:$H,7,FALSE()),"")</f>
        <v>Đọc theo từng nhân viên hoặc theo tổng thể. LRT cao ở nhiều nhân viên cùng lúc -&gt; vấn đề về cách hệ thống phân bổ hoặc số lượng task đang quá tải. LRT cao ở một vài người -&gt; xem lại kỷ luật cá nhân</v>
      </c>
      <c r="H34" s="166"/>
    </row>
    <row r="35" customFormat="false" ht="56.25" hidden="false" customHeight="true" outlineLevel="0" collapsed="false">
      <c r="A35" s="350" t="str">
        <f aca="false">HYPERLINK("#'CH6. Ngưỡng KPI'!A"&amp;MATCH("VLR",'CH6. Ngưỡng KPI'!$A:$A,0),"VLR")</f>
        <v>VLR</v>
      </c>
      <c r="B35" s="166" t="str">
        <f aca="false">IFERROR(VLOOKUP("VLR",'BC2. Chỉ số KPI'!$B:$H,2,FALSE()),"")</f>
        <v>Valid Lead Rate - Tỷ lệ lead qualified</v>
      </c>
      <c r="C35" s="166"/>
      <c r="D35" s="44" t="n">
        <f aca="false">IFERROR(VLOOKUP("VLR",'BC2. Chỉ số KPI'!$B:$H,4,FALSE()),"")</f>
        <v>0.85</v>
      </c>
      <c r="E35" s="193" t="str">
        <f aca="false">IFERROR(VLOOKUP("VLR",'BC2. Chỉ số KPI'!$B:$H,5,FALSE()),"")</f>
        <v>≥ 60%</v>
      </c>
      <c r="F35" s="44" t="str">
        <f aca="false">IFERROR(VLOOKUP("VLR",'BC2. Chỉ số KPI'!$B:$H,6,FALSE()),"")</f>
        <v>ĐẠT</v>
      </c>
      <c r="G35" s="166" t="str">
        <f aca="false">IFERROR(VLOOKUP("VLR",'BC2. Chỉ số KPI'!$B:$H,7,FALSE()),"")</f>
        <v>VLR thấp ở tất cả nguồn -&gt; nhân viên chưa khai thác nhu cầu đúng cách. VLR thấp chỉ ở một vài nguồn -&gt; nguồn đó ra lead kém chất lượng, cần điều chỉnh ngân sách marketing</v>
      </c>
      <c r="H35" s="166"/>
    </row>
    <row r="36" customFormat="false" ht="56.25" hidden="false" customHeight="true" outlineLevel="0" collapsed="false">
      <c r="A36" s="350" t="str">
        <f aca="false">HYPERLINK("#'CH6. Ngưỡng KPI'!A"&amp;MATCH("CVR",'CH6. Ngưỡng KPI'!$A:$A,0),"CVR")</f>
        <v>CVR</v>
      </c>
      <c r="B36" s="166" t="str">
        <f aca="false">IFERROR(VLOOKUP("CVR",'BC2. Chỉ số KPI'!$B:$H,2,FALSE()),"")</f>
        <v>Conversion Rate - Lead đăng ký + cọc</v>
      </c>
      <c r="C36" s="166"/>
      <c r="D36" s="44" t="n">
        <f aca="false">IFERROR(VLOOKUP("CVR",'BC2. Chỉ số KPI'!$B:$H,4,FALSE()),"")</f>
        <v>0.6</v>
      </c>
      <c r="E36" s="193" t="str">
        <f aca="false">IFERROR(VLOOKUP("CVR",'BC2. Chỉ số KPI'!$B:$H,5,FALSE()),"")</f>
        <v>≥ 40%</v>
      </c>
      <c r="F36" s="44" t="str">
        <f aca="false">IFERROR(VLOOKUP("CVR",'BC2. Chỉ số KPI'!$B:$H,6,FALSE()),"")</f>
        <v>ĐẠT</v>
      </c>
      <c r="G36" s="166" t="str">
        <f aca="false">IFERROR(VLOOKUP("CVR",'BC2. Chỉ số KPI'!$B:$H,7,FALSE()),"")</f>
        <v>Thấp đồng loạt nhiều người -&gt; vấn đề kịch bản, giá, hoặc sản phẩm. Thấp ở một vài người -&gt; kỹ năng xử lý rào cản / xử lý từ chối. Thấp ở một khóa cụ thể -&gt; vấn đề giá hoặc sự phù hợp của khóa đó với nhu cầu học viên</v>
      </c>
      <c r="H36" s="166"/>
    </row>
    <row r="37" customFormat="false" ht="56.25" hidden="false" customHeight="true" outlineLevel="0" collapsed="false">
      <c r="A37" s="350" t="str">
        <f aca="false">HYPERLINK("#'CH6. Ngưỡng KPI'!A"&amp;MATCH("FUR",'CH6. Ngưỡng KPI'!$A:$A,0),"FUR")</f>
        <v>FUR</v>
      </c>
      <c r="B37" s="166" t="str">
        <f aca="false">IFERROR(VLOOKUP("FUR",'BC2. Chỉ số KPI'!$B:$H,2,FALSE()),"")</f>
        <v>Follow-up Rate - Tuân thủ lịch follow-up</v>
      </c>
      <c r="C37" s="166"/>
      <c r="D37" s="44" t="n">
        <f aca="false">IFERROR(VLOOKUP("FUR",'BC2. Chỉ số KPI'!$B:$H,4,FALSE()),"")</f>
        <v>0.5</v>
      </c>
      <c r="E37" s="193" t="str">
        <f aca="false">IFERROR(VLOOKUP("FUR",'BC2. Chỉ số KPI'!$B:$H,5,FALSE()),"")</f>
        <v>≥ 90%</v>
      </c>
      <c r="F37" s="44" t="str">
        <f aca="false">IFERROR(VLOOKUP("FUR",'BC2. Chỉ số KPI'!$B:$H,6,FALSE()),"")</f>
        <v>DƯỚI NGƯỠNG</v>
      </c>
      <c r="G37" s="166" t="str">
        <f aca="false">IFERROR(VLOOKUP("FUR",'BC2. Chỉ số KPI'!$B:$H,7,FALSE()),"")</f>
        <v>Thấp -&gt; lead đang bị bỏ lơ dù đã có lịch hẹn. Đây là chỉ số kỷ luật cá nhân của NV tư vấn - quản lý nên xem hàng ngày</v>
      </c>
      <c r="H37" s="166"/>
    </row>
    <row r="38" customFormat="false" ht="56.25" hidden="false" customHeight="true" outlineLevel="0" collapsed="false">
      <c r="A38" s="350" t="str">
        <f aca="false">HYPERLINK("#'CH6. Ngưỡng KPI'!A"&amp;MATCH("RER",'CH6. Ngưỡng KPI'!$A:$A,0),"RER")</f>
        <v>RER</v>
      </c>
      <c r="B38" s="166" t="str">
        <f aca="false">IFERROR(VLOOKUP("RER",'BC2. Chỉ số KPI'!$B:$H,2,FALSE()),"")</f>
        <v>Re-Enrollment Rate - Tỷ lệ tái ĐK</v>
      </c>
      <c r="C38" s="166"/>
      <c r="D38" s="44" t="n">
        <f aca="false">IFERROR(VLOOKUP("RER",'BC2. Chỉ số KPI'!$B:$H,4,FALSE()),"")</f>
        <v>0.5</v>
      </c>
      <c r="E38" s="193" t="str">
        <f aca="false">IFERROR(VLOOKUP("RER",'BC2. Chỉ số KPI'!$B:$H,5,FALSE()),"")</f>
        <v>≥ 40%</v>
      </c>
      <c r="F38" s="44" t="str">
        <f aca="false">IFERROR(VLOOKUP("RER",'BC2. Chỉ số KPI'!$B:$H,6,FALSE()),"")</f>
        <v>ĐẠT</v>
      </c>
      <c r="G38" s="166" t="str">
        <f aca="false">IFERROR(VLOOKUP("RER",'BC2. Chỉ số KPI'!$B:$H,7,FALSE()),"")</f>
        <v>Chỉ số phản ánh mức độ hài lòng và giá trị cảm nhận của học viên sau khi trải nghiệm toàn bộ khóa học. Thấp không nhất thiết là do dịch vụ kém - có thể học viên đã đạt mục tiêu và không cần học tiếp (đọc cùng AR)</v>
      </c>
      <c r="H38" s="166"/>
    </row>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9">
    <mergeCell ref="A1:H1"/>
    <mergeCell ref="A2:H2"/>
    <mergeCell ref="A4:B4"/>
    <mergeCell ref="C4:D4"/>
    <mergeCell ref="E4:F4"/>
    <mergeCell ref="G4:H4"/>
    <mergeCell ref="A5:B5"/>
    <mergeCell ref="C5:D5"/>
    <mergeCell ref="E5:F5"/>
    <mergeCell ref="G5:H5"/>
    <mergeCell ref="A6:B6"/>
    <mergeCell ref="C6:D6"/>
    <mergeCell ref="E6:F6"/>
    <mergeCell ref="G6:H6"/>
    <mergeCell ref="A8:H8"/>
    <mergeCell ref="A24:H24"/>
    <mergeCell ref="A32:H32"/>
    <mergeCell ref="B33:C33"/>
    <mergeCell ref="G33:H33"/>
    <mergeCell ref="B34:C34"/>
    <mergeCell ref="G34:H34"/>
    <mergeCell ref="B35:C35"/>
    <mergeCell ref="G35:H35"/>
    <mergeCell ref="B36:C36"/>
    <mergeCell ref="G36:H36"/>
    <mergeCell ref="B37:C37"/>
    <mergeCell ref="G37:H37"/>
    <mergeCell ref="B38:C38"/>
    <mergeCell ref="G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770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B9" activeCellId="0" sqref="B9"/>
    </sheetView>
  </sheetViews>
  <sheetFormatPr defaultColWidth="14.43359375" defaultRowHeight="15" zeroHeight="false" outlineLevelRow="0" outlineLevelCol="0"/>
  <cols>
    <col collapsed="false" customWidth="true" hidden="false" outlineLevel="0" max="8" min="1" style="1" width="30"/>
    <col collapsed="false" customWidth="true" hidden="false" outlineLevel="0" max="26" min="9" style="1" width="8.71"/>
  </cols>
  <sheetData>
    <row r="1" customFormat="false" ht="31.5" hidden="false" customHeight="true" outlineLevel="0" collapsed="false">
      <c r="A1" s="147" t="s">
        <v>4034</v>
      </c>
      <c r="B1" s="147"/>
      <c r="C1" s="147"/>
      <c r="D1" s="147"/>
      <c r="E1" s="147"/>
      <c r="F1" s="147"/>
      <c r="G1" s="147"/>
      <c r="H1" s="147"/>
    </row>
    <row r="2" customFormat="false" ht="24" hidden="false" customHeight="true" outlineLevel="0" collapsed="false">
      <c r="A2" s="3" t="s">
        <v>4035</v>
      </c>
      <c r="B2" s="3"/>
      <c r="C2" s="3"/>
      <c r="D2" s="3"/>
      <c r="E2" s="3"/>
      <c r="F2" s="3"/>
      <c r="G2" s="3"/>
      <c r="H2" s="3"/>
    </row>
    <row r="3" customFormat="false" ht="15" hidden="false" customHeight="true" outlineLevel="0" collapsed="false">
      <c r="A3" s="4"/>
      <c r="B3" s="4"/>
      <c r="C3" s="4"/>
      <c r="D3" s="4"/>
      <c r="E3" s="4"/>
      <c r="F3" s="4"/>
      <c r="G3" s="4"/>
      <c r="H3" s="4"/>
    </row>
    <row r="4" customFormat="false" ht="21.75" hidden="false" customHeight="true" outlineLevel="0" collapsed="false">
      <c r="A4" s="7" t="s">
        <v>4036</v>
      </c>
      <c r="B4" s="7"/>
      <c r="C4" s="8" t="s">
        <v>4037</v>
      </c>
      <c r="D4" s="8"/>
      <c r="E4" s="9" t="s">
        <v>4038</v>
      </c>
      <c r="F4" s="9"/>
      <c r="G4" s="352" t="s">
        <v>4039</v>
      </c>
      <c r="H4" s="352"/>
    </row>
    <row r="5" customFormat="false" ht="39.75" hidden="false" customHeight="true" outlineLevel="0" collapsed="false">
      <c r="A5" s="317" t="n">
        <f aca="false">COUNTIF('DL03. Đặt lịch test'!J4:J500,"pending*")</f>
        <v>1</v>
      </c>
      <c r="B5" s="317"/>
      <c r="C5" s="317" t="n">
        <f aca="false">COUNTIF('DL03. Đặt lịch test'!J4:J500,"graded*")</f>
        <v>5</v>
      </c>
      <c r="D5" s="317"/>
      <c r="E5" s="317" t="n">
        <f aca="false">COUNTIF('DL14. Buổi WOW 1-1'!L4:L500,"booked*")+COUNTIF('DL14. Buổi WOW 1-1'!L4:L500,"confirmed*")</f>
        <v>2</v>
      </c>
      <c r="F5" s="317"/>
      <c r="G5" s="318" t="n">
        <f aca="false">IFERROR(COUNTIF('DL14. Buổi WOW 1-1'!N4:N500,"improved*")/MAX(COUNTIF('DL14. Buổi WOW 1-1'!L4:L500,"completed*"),1),0)</f>
        <v>0.75</v>
      </c>
      <c r="H5" s="318"/>
    </row>
    <row r="6" customFormat="false" ht="27.75" hidden="false" customHeight="true" outlineLevel="0" collapsed="false">
      <c r="A6" s="13" t="str">
        <f aca="false">HYPERLINK("#'CH2. Tham số &amp; Quy tắc'!A"&amp;MATCH("slaGLA_hours",'CH2. Tham số &amp; Quy tắc'!$A:$A,0),"SLA chấm: "&amp;slaGLA_hours&amp;"h")</f>
        <v>SLA chấm: 24h</v>
      </c>
      <c r="B6" s="13"/>
      <c r="C6" s="12" t="s">
        <v>4040</v>
      </c>
      <c r="D6" s="12"/>
      <c r="E6" s="12" t="s">
        <v>4041</v>
      </c>
      <c r="F6" s="12"/>
      <c r="G6" s="12" t="s">
        <v>4042</v>
      </c>
      <c r="H6" s="12"/>
    </row>
    <row r="7" customFormat="false" ht="15" hidden="false" customHeight="true" outlineLevel="0" collapsed="false">
      <c r="A7" s="4"/>
      <c r="B7" s="4"/>
      <c r="C7" s="4"/>
      <c r="D7" s="4"/>
      <c r="E7" s="4"/>
      <c r="F7" s="4"/>
      <c r="G7" s="4"/>
      <c r="H7" s="4"/>
    </row>
    <row r="8" customFormat="false" ht="25.5" hidden="false" customHeight="true" outlineLevel="0" collapsed="false">
      <c r="A8" s="347" t="s">
        <v>4043</v>
      </c>
      <c r="B8" s="347"/>
      <c r="C8" s="347"/>
      <c r="D8" s="347"/>
      <c r="E8" s="347"/>
      <c r="F8" s="347"/>
      <c r="G8" s="347"/>
      <c r="H8" s="347"/>
    </row>
    <row r="9" customFormat="false" ht="21.75" hidden="false" customHeight="true" outlineLevel="0" collapsed="false">
      <c r="A9" s="320" t="s">
        <v>4044</v>
      </c>
      <c r="B9" s="320" t="s">
        <v>2027</v>
      </c>
      <c r="C9" s="320" t="s">
        <v>4045</v>
      </c>
      <c r="D9" s="320" t="s">
        <v>2497</v>
      </c>
      <c r="E9" s="320" t="s">
        <v>162</v>
      </c>
      <c r="F9" s="320" t="s">
        <v>4046</v>
      </c>
      <c r="G9" s="320" t="s">
        <v>4047</v>
      </c>
      <c r="H9" s="320" t="s">
        <v>2503</v>
      </c>
    </row>
    <row r="10" customFormat="false" ht="21.75" hidden="false" customHeight="true" outlineLevel="0" collapsed="false">
      <c r="A10" s="21" t="str">
        <f aca="false" t="array" ref="A10:A10">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TB-2026-001</v>
      </c>
      <c r="B10" s="80" t="str">
        <f aca="false" t="array" ref="B10:B10">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L-2026-00004</v>
      </c>
      <c r="C10" s="185" t="n">
        <f aca="false" t="array" ref="C10:C10">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46206.375</v>
      </c>
      <c r="D10" s="185" t="str">
        <f aca="false" t="array" ref="D10:D10">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offline (Offline tại trung tâm)</v>
      </c>
      <c r="E10" s="21" t="str">
        <f aca="false" t="array" ref="E10:E10">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on_time (Đúng giờ)</v>
      </c>
      <c r="F10" s="21" t="str">
        <f aca="false" t="array" ref="F10:F10">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pending (Chưa có kết quả)</v>
      </c>
      <c r="G10" s="21" t="str">
        <f aca="false" t="array" ref="G10:G10">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0" s="322" t="str">
        <f aca="false" t="array" ref="H10:H10">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11" customFormat="false" ht="21.75" hidden="false" customHeight="true" outlineLevel="0" collapsed="false">
      <c r="A11" s="21" t="str">
        <f aca="false" t="array" ref="A11:A11">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
      </c>
      <c r="B11" s="21" t="str">
        <f aca="false" t="array" ref="B11:B11">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
      </c>
      <c r="C11" s="185" t="str">
        <f aca="false" t="array" ref="C11:C11">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
      </c>
      <c r="D11" s="185" t="str">
        <f aca="false" t="array" ref="D11:D11">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
      </c>
      <c r="E11" s="21" t="str">
        <f aca="false" t="array" ref="E11:E11">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
      </c>
      <c r="F11" s="21" t="str">
        <f aca="false" t="array" ref="F11:F11">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
      </c>
      <c r="G11" s="21" t="str">
        <f aca="false" t="array" ref="G11:G11">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1" s="322" t="str">
        <f aca="false" t="array" ref="H11:H11">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12" customFormat="false" ht="21.75" hidden="false" customHeight="true" outlineLevel="0" collapsed="false">
      <c r="A12" s="21" t="str">
        <f aca="false" t="array" ref="A12:A12">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
      </c>
      <c r="B12" s="21" t="str">
        <f aca="false" t="array" ref="B12:B12">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
      </c>
      <c r="C12" s="185" t="str">
        <f aca="false" t="array" ref="C12:C12">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
      </c>
      <c r="D12" s="185" t="str">
        <f aca="false" t="array" ref="D12:D12">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
      </c>
      <c r="E12" s="21" t="str">
        <f aca="false" t="array" ref="E12:E12">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
      </c>
      <c r="F12" s="21" t="str">
        <f aca="false" t="array" ref="F12:F12">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
      </c>
      <c r="G12" s="21" t="str">
        <f aca="false" t="array" ref="G12:G12">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2" s="322" t="str">
        <f aca="false" t="array" ref="H12:H12">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13" customFormat="false" ht="21.75" hidden="false" customHeight="true" outlineLevel="0" collapsed="false">
      <c r="A13" s="21" t="str">
        <f aca="false" t="array" ref="A13:A13">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
      </c>
      <c r="B13" s="21" t="str">
        <f aca="false" t="array" ref="B13:B13">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
      </c>
      <c r="C13" s="185" t="str">
        <f aca="false" t="array" ref="C13:C13">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
      </c>
      <c r="D13" s="185" t="str">
        <f aca="false" t="array" ref="D13:D13">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
      </c>
      <c r="E13" s="21" t="str">
        <f aca="false" t="array" ref="E13:E13">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
      </c>
      <c r="F13" s="21" t="str">
        <f aca="false" t="array" ref="F13:F13">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
      </c>
      <c r="G13" s="21" t="str">
        <f aca="false" t="array" ref="G13:G13">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3" s="322" t="str">
        <f aca="false" t="array" ref="H13:H13">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14" customFormat="false" ht="21.75" hidden="false" customHeight="true" outlineLevel="0" collapsed="false">
      <c r="A14" s="21" t="str">
        <f aca="false" t="array" ref="A14:A14">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
      </c>
      <c r="B14" s="21" t="str">
        <f aca="false" t="array" ref="B14:B14">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
      </c>
      <c r="C14" s="185" t="str">
        <f aca="false" t="array" ref="C14:C14">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
      </c>
      <c r="D14" s="185" t="str">
        <f aca="false" t="array" ref="D14:D14">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
      </c>
      <c r="E14" s="21" t="str">
        <f aca="false" t="array" ref="E14:E14">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
      </c>
      <c r="F14" s="21" t="str">
        <f aca="false" t="array" ref="F14:F14">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
      </c>
      <c r="G14" s="21" t="str">
        <f aca="false" t="array" ref="G14:G14">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4" s="322" t="str">
        <f aca="false" t="array" ref="H14:H14">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15" customFormat="false" ht="21.75" hidden="false" customHeight="true" outlineLevel="0" collapsed="false">
      <c r="A15" s="21" t="str">
        <f aca="false" t="array" ref="A15:A15">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
      </c>
      <c r="B15" s="21" t="str">
        <f aca="false" t="array" ref="B15:B15">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
      </c>
      <c r="C15" s="185" t="str">
        <f aca="false" t="array" ref="C15:C15">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
      </c>
      <c r="D15" s="185" t="str">
        <f aca="false" t="array" ref="D15:D15">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
      </c>
      <c r="E15" s="21" t="str">
        <f aca="false" t="array" ref="E15:E15">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
      </c>
      <c r="F15" s="21" t="str">
        <f aca="false" t="array" ref="F15:F15">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
      </c>
      <c r="G15" s="21" t="str">
        <f aca="false" t="array" ref="G15:G15">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5" s="322" t="str">
        <f aca="false" t="array" ref="H15:H15">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16" customFormat="false" ht="21.75" hidden="false" customHeight="true" outlineLevel="0" collapsed="false">
      <c r="A16" s="21" t="str">
        <f aca="false" t="array" ref="A16:A16">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
      </c>
      <c r="B16" s="21" t="str">
        <f aca="false" t="array" ref="B16:B16">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
      </c>
      <c r="C16" s="185" t="str">
        <f aca="false" t="array" ref="C16:C16">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
      </c>
      <c r="D16" s="185" t="str">
        <f aca="false" t="array" ref="D16:D16">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
      </c>
      <c r="E16" s="21" t="str">
        <f aca="false" t="array" ref="E16:E16">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
      </c>
      <c r="F16" s="21" t="str">
        <f aca="false" t="array" ref="F16:F16">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
      </c>
      <c r="G16" s="21" t="str">
        <f aca="false" t="array" ref="G16:G16">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6" s="322" t="str">
        <f aca="false" t="array" ref="H16:H16">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17" customFormat="false" ht="21.75" hidden="false" customHeight="true" outlineLevel="0" collapsed="false">
      <c r="A17" s="21" t="str">
        <f aca="false" t="array" ref="A17:A17">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
      </c>
      <c r="B17" s="21" t="str">
        <f aca="false" t="array" ref="B17:B17">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
      </c>
      <c r="C17" s="185" t="str">
        <f aca="false" t="array" ref="C17:C17">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
      </c>
      <c r="D17" s="185" t="str">
        <f aca="false" t="array" ref="D17:D17">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
      </c>
      <c r="E17" s="21" t="str">
        <f aca="false" t="array" ref="E17:E17">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
      </c>
      <c r="F17" s="21" t="str">
        <f aca="false" t="array" ref="F17:F17">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
      </c>
      <c r="G17" s="21" t="str">
        <f aca="false" t="array" ref="G17:G17">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7" s="322" t="str">
        <f aca="false" t="array" ref="H17:H17">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18" customFormat="false" ht="21.75" hidden="false" customHeight="true" outlineLevel="0" collapsed="false">
      <c r="A18" s="21" t="str">
        <f aca="false" t="array" ref="A18:A18">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
      </c>
      <c r="B18" s="21" t="str">
        <f aca="false" t="array" ref="B18:B18">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
      </c>
      <c r="C18" s="185" t="str">
        <f aca="false" t="array" ref="C18:C18">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
      </c>
      <c r="D18" s="185" t="str">
        <f aca="false" t="array" ref="D18:D18">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
      </c>
      <c r="E18" s="21" t="str">
        <f aca="false" t="array" ref="E18:E18">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
      </c>
      <c r="F18" s="21" t="str">
        <f aca="false" t="array" ref="F18:F18">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
      </c>
      <c r="G18" s="21" t="str">
        <f aca="false" t="array" ref="G18:G18">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8" s="322" t="str">
        <f aca="false" t="array" ref="H18:H18">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19" customFormat="false" ht="21.75" hidden="false" customHeight="true" outlineLevel="0" collapsed="false">
      <c r="A19" s="21" t="str">
        <f aca="false" t="array" ref="A19:A19">IFERROR(IF(INDEX('DL03. Đặt lịch test'!$A$4:$A$500,SMALL(IF(ISNUMBER(SEARCH("pending",'DL03. Đặt lịch test'!$J$4:$J$500))*('DL03. Đặt lịch test'!$A$4:$A$500&lt;&gt;""),ROW('DL03. Đặt lịch test'!$A$4:$A$500)-3),ROW()-9))="","",INDEX('DL03. Đặt lịch test'!$A$4:$A$500,SMALL(IF(ISNUMBER(SEARCH("pending",'DL03. Đặt lịch test'!$J$4:$J$500))*('DL03. Đặt lịch test'!$A$4:$A$500&lt;&gt;""),ROW('DL03. Đặt lịch test'!$A$4:$A$500)-3),ROW()-9))),"")</f>
        <v/>
      </c>
      <c r="B19" s="21" t="str">
        <f aca="false" t="array" ref="B19:B19">IFERROR(IF(INDEX('DL03. Đặt lịch test'!$B$4:$B$500,SMALL(IF(ISNUMBER(SEARCH("pending",'DL03. Đặt lịch test'!$J$4:$J$500))*('DL03. Đặt lịch test'!$A$4:$A$500&lt;&gt;""),ROW('DL03. Đặt lịch test'!$A$4:$A$500)-3),ROW()-9))="","",INDEX('DL03. Đặt lịch test'!$B$4:$B$500,SMALL(IF(ISNUMBER(SEARCH("pending",'DL03. Đặt lịch test'!$J$4:$J$500))*('DL03. Đặt lịch test'!$A$4:$A$500&lt;&gt;""),ROW('DL03. Đặt lịch test'!$A$4:$A$500)-3),ROW()-9))),"")</f>
        <v/>
      </c>
      <c r="C19" s="185" t="str">
        <f aca="false" t="array" ref="C19:C19">IFERROR(IF(INDEX('DL03. Đặt lịch test'!$C$4:$C$500,SMALL(IF(ISNUMBER(SEARCH("pending",'DL03. Đặt lịch test'!$J$4:$J$500))*('DL03. Đặt lịch test'!$A$4:$A$500&lt;&gt;""),ROW('DL03. Đặt lịch test'!$A$4:$A$500)-3),ROW()-9))="","",INDEX('DL03. Đặt lịch test'!$C$4:$C$500,SMALL(IF(ISNUMBER(SEARCH("pending",'DL03. Đặt lịch test'!$J$4:$J$500))*('DL03. Đặt lịch test'!$A$4:$A$500&lt;&gt;""),ROW('DL03. Đặt lịch test'!$A$4:$A$500)-3),ROW()-9))),"")</f>
        <v/>
      </c>
      <c r="D19" s="185" t="str">
        <f aca="false" t="array" ref="D19:D19">IFERROR(IF(INDEX('DL03. Đặt lịch test'!$D$4:$D$500,SMALL(IF(ISNUMBER(SEARCH("pending",'DL03. Đặt lịch test'!$J$4:$J$500))*('DL03. Đặt lịch test'!$A$4:$A$500&lt;&gt;""),ROW('DL03. Đặt lịch test'!$A$4:$A$500)-3),ROW()-9))="","",INDEX('DL03. Đặt lịch test'!$D$4:$D$500,SMALL(IF(ISNUMBER(SEARCH("pending",'DL03. Đặt lịch test'!$J$4:$J$500))*('DL03. Đặt lịch test'!$A$4:$A$500&lt;&gt;""),ROW('DL03. Đặt lịch test'!$A$4:$A$500)-3),ROW()-9))),"")</f>
        <v/>
      </c>
      <c r="E19" s="21" t="str">
        <f aca="false" t="array" ref="E19:E19">IFERROR(IF(INDEX('DL03. Đặt lịch test'!$G$4:$G$500,SMALL(IF(ISNUMBER(SEARCH("pending",'DL03. Đặt lịch test'!$J$4:$J$500))*('DL03. Đặt lịch test'!$A$4:$A$500&lt;&gt;""),ROW('DL03. Đặt lịch test'!$A$4:$A$500)-3),ROW()-9))="","",INDEX('DL03. Đặt lịch test'!$G$4:$G$500,SMALL(IF(ISNUMBER(SEARCH("pending",'DL03. Đặt lịch test'!$J$4:$J$500))*('DL03. Đặt lịch test'!$A$4:$A$500&lt;&gt;""),ROW('DL03. Đặt lịch test'!$A$4:$A$500)-3),ROW()-9))),"")</f>
        <v/>
      </c>
      <c r="F19" s="21" t="str">
        <f aca="false" t="array" ref="F19:F19">IFERROR(IF(INDEX('DL03. Đặt lịch test'!$J$4:$J$500,SMALL(IF(ISNUMBER(SEARCH("pending",'DL03. Đặt lịch test'!$J$4:$J$500))*('DL03. Đặt lịch test'!$A$4:$A$500&lt;&gt;""),ROW('DL03. Đặt lịch test'!$A$4:$A$500)-3),ROW()-9))="","",INDEX('DL03. Đặt lịch test'!$J$4:$J$500,SMALL(IF(ISNUMBER(SEARCH("pending",'DL03. Đặt lịch test'!$J$4:$J$500))*('DL03. Đặt lịch test'!$A$4:$A$500&lt;&gt;""),ROW('DL03. Đặt lịch test'!$A$4:$A$500)-3),ROW()-9))),"")</f>
        <v/>
      </c>
      <c r="G19" s="21" t="str">
        <f aca="false" t="array" ref="G19:G19">IFERROR(IF(INDEX('DL03. Đặt lịch test'!$R$4:$R$500,SMALL(IF(ISNUMBER(SEARCH("pending",'DL03. Đặt lịch test'!$J$4:$J$500))*('DL03. Đặt lịch test'!$A$4:$A$500&lt;&gt;""),ROW('DL03. Đặt lịch test'!$A$4:$A$500)-3),ROW()-9))="","",INDEX('DL03. Đặt lịch test'!$R$4:$R$500,SMALL(IF(ISNUMBER(SEARCH("pending",'DL03. Đặt lịch test'!$J$4:$J$500))*('DL03. Đặt lịch test'!$A$4:$A$500&lt;&gt;""),ROW('DL03. Đặt lịch test'!$A$4:$A$500)-3),ROW()-9))),"")</f>
        <v/>
      </c>
      <c r="H19" s="322" t="str">
        <f aca="false" t="array" ref="H19:H19">IFERROR(IF(INDEX('DL03. Đặt lịch test'!$U$4:$U$500,SMALL(IF(ISNUMBER(SEARCH("pending",'DL03. Đặt lịch test'!$J$4:$J$500))*('DL03. Đặt lịch test'!$A$4:$A$500&lt;&gt;""),ROW('DL03. Đặt lịch test'!$A$4:$A$500)-3),ROW()-9))="","",INDEX('DL03. Đặt lịch test'!$U$4:$U$500,SMALL(IF(ISNUMBER(SEARCH("pending",'DL03. Đặt lịch test'!$J$4:$J$500))*('DL03. Đặt lịch test'!$A$4:$A$500&lt;&gt;""),ROW('DL03. Đặt lịch test'!$A$4:$A$500)-3),ROW()-9))),"")</f>
        <v/>
      </c>
    </row>
    <row r="20" customFormat="false" ht="15" hidden="false" customHeight="true" outlineLevel="0" collapsed="false">
      <c r="A20" s="179"/>
      <c r="B20" s="179"/>
      <c r="C20" s="179"/>
      <c r="D20" s="179"/>
      <c r="E20" s="179"/>
      <c r="F20" s="179"/>
      <c r="G20" s="179"/>
      <c r="H20" s="179"/>
    </row>
    <row r="21" customFormat="false" ht="21.75" hidden="false" customHeight="true" outlineLevel="0" collapsed="false">
      <c r="A21" s="260" t="s">
        <v>4031</v>
      </c>
      <c r="B21" s="260"/>
      <c r="C21" s="260"/>
      <c r="D21" s="260"/>
      <c r="E21" s="260"/>
      <c r="F21" s="260"/>
      <c r="G21" s="260"/>
      <c r="H21" s="260"/>
    </row>
    <row r="22" customFormat="false" ht="19.5" hidden="false" customHeight="true" outlineLevel="0" collapsed="false">
      <c r="A22" s="261" t="s">
        <v>472</v>
      </c>
      <c r="B22" s="261" t="s">
        <v>2116</v>
      </c>
      <c r="C22" s="261"/>
      <c r="D22" s="261" t="s">
        <v>944</v>
      </c>
      <c r="E22" s="261" t="s">
        <v>4032</v>
      </c>
      <c r="F22" s="261" t="s">
        <v>250</v>
      </c>
      <c r="G22" s="261" t="s">
        <v>4033</v>
      </c>
      <c r="H22" s="261"/>
    </row>
    <row r="23" customFormat="false" ht="54.75" hidden="false" customHeight="true" outlineLevel="0" collapsed="false">
      <c r="A23" s="350" t="str">
        <f aca="false">HYPERLINK("#'CH6. Ngưỡng KPI'!A"&amp;MATCH("GLA",'CH6. Ngưỡng KPI'!$A:$A,0),"GLA")</f>
        <v>GLA</v>
      </c>
      <c r="B23" s="166" t="str">
        <f aca="false">IFERROR(VLOOKUP("GLA",'BC2. Chỉ số KPI'!$B:$H,2,FALSE()),"")</f>
        <v>Grading SLA - Tỷ lệ chấm bài test trong 24h</v>
      </c>
      <c r="C23" s="166"/>
      <c r="D23" s="44" t="n">
        <f aca="false">IFERROR(VLOOKUP("GLA",'BC2. Chỉ số KPI'!$B:$H,4,FALSE()),"")</f>
        <v>1</v>
      </c>
      <c r="E23" s="193" t="str">
        <f aca="false">IFERROR(VLOOKUP("GLA",'BC2. Chỉ số KPI'!$B:$H,5,FALSE()),"")</f>
        <v>≥ 100%</v>
      </c>
      <c r="F23" s="44" t="str">
        <f aca="false">IFERROR(VLOOKUP("GLA",'BC2. Chỉ số KPI'!$B:$H,6,FALSE()),"")</f>
        <v>ĐẠT</v>
      </c>
      <c r="G23" s="166" t="str">
        <f aca="false">IFERROR(VLOOKUP("GLA",'BC2. Chỉ số KPI'!$B:$H,7,FALSE()),"")</f>
        <v>Đọc kèm với CVT (tốc độ tư vấn sau kết quả test) giai đoạn 3: NV WOW chấm trễ -&gt; NV tư vấn không có dữ liệu để gọi đúng hạn, dẫn đến trễ toàn bộ</v>
      </c>
      <c r="H23" s="166"/>
    </row>
    <row r="24" customFormat="false" ht="54.75" hidden="false" customHeight="true" outlineLevel="0" collapsed="false">
      <c r="A24" s="350" t="str">
        <f aca="false">HYPERLINK("#'CH6. Ngưỡng KPI'!A"&amp;MATCH("ANR",'CH6. Ngưỡng KPI'!$A:$A,0),"ANR")</f>
        <v>ANR</v>
      </c>
      <c r="B24" s="166" t="str">
        <f aca="false">IFERROR(VLOOKUP("ANR",'BC2. Chỉ số KPI'!$B:$H,2,FALSE()),"")</f>
        <v>Academic Note Rate - Tỷ lệ có academic_note đầy đủ</v>
      </c>
      <c r="C24" s="166"/>
      <c r="D24" s="44" t="n">
        <f aca="false">IFERROR(VLOOKUP("ANR",'BC2. Chỉ số KPI'!$B:$H,4,FALSE()),"")</f>
        <v>0</v>
      </c>
      <c r="E24" s="193" t="str">
        <f aca="false">IFERROR(VLOOKUP("ANR",'BC2. Chỉ số KPI'!$B:$H,5,FALSE()),"")</f>
        <v>≥ 100%</v>
      </c>
      <c r="F24" s="44" t="str">
        <f aca="false">IFERROR(VLOOKUP("ANR",'BC2. Chỉ số KPI'!$B:$H,6,FALSE()),"")</f>
        <v>DƯỚI NGƯỠNG</v>
      </c>
      <c r="G24" s="166" t="str">
        <f aca="false">IFERROR(VLOOKUP("ANR",'BC2. Chỉ số KPI'!$B:$H,7,FALSE()),"")</f>
        <v>Đọc cùng Tỷ lệ chuyển đổi đăng ký (CVR, giai đoạn 3): khi ANR thấp đồng thời CVR thấp -&gt; nhiều khả năng nhân viên tư vấn đang thiếu dữ liệu học thuật từ academic_note để phân tích điểm mạnh yếu và thuyết phục học viên đăng ký đúng khóa đăng ký</v>
      </c>
      <c r="H24" s="166"/>
    </row>
    <row r="25" customFormat="false" ht="54.75" hidden="false" customHeight="true" outlineLevel="0" collapsed="false">
      <c r="A25" s="350" t="str">
        <f aca="false">HYPERLINK("#'CH6. Ngưỡng KPI'!A"&amp;MATCH("TAR",'CH6. Ngưỡng KPI'!$A:$A,0),"TAR")</f>
        <v>TAR</v>
      </c>
      <c r="B25" s="166" t="str">
        <f aca="false">IFERROR(VLOOKUP("TAR",'BC2. Chỉ số KPI'!$B:$H,2,FALSE()),"")</f>
        <v>Test Attendance Rate - Tỷ lệ test đã đặt có đi</v>
      </c>
      <c r="C25" s="166"/>
      <c r="D25" s="44" t="n">
        <f aca="false">IFERROR(VLOOKUP("TAR",'BC2. Chỉ số KPI'!$B:$H,4,FALSE()),"")</f>
        <v>1</v>
      </c>
      <c r="E25" s="193" t="str">
        <f aca="false">IFERROR(VLOOKUP("TAR",'BC2. Chỉ số KPI'!$B:$H,5,FALSE()),"")</f>
        <v>≥ 85%</v>
      </c>
      <c r="F25" s="44" t="str">
        <f aca="false">IFERROR(VLOOKUP("TAR",'BC2. Chỉ số KPI'!$B:$H,6,FALSE()),"")</f>
        <v>ĐẠT</v>
      </c>
      <c r="G25" s="166" t="str">
        <f aca="false">IFERROR(VLOOKUP("TAR",'BC2. Chỉ số KPI'!$B:$H,7,FALSE()),"")</f>
        <v>Kết hợp với lý do vắng (test_no_show_reason) để tìm điểm chung. TAR thấp ở một khung giờ cụ thể -&gt; xem xét điều chỉnh hoặc bỏ khung giờ đó</v>
      </c>
      <c r="H25" s="166"/>
    </row>
    <row r="26" customFormat="false" ht="54.75" hidden="false" customHeight="true" outlineLevel="0" collapsed="false">
      <c r="A26" s="350" t="str">
        <f aca="false">HYPERLINK("#'CH6. Ngưỡng KPI'!A"&amp;MATCH("WSR",'CH6. Ngưỡng KPI'!$A:$A,0),"WSR")</f>
        <v>WSR</v>
      </c>
      <c r="B26" s="166" t="str">
        <f aca="false">IFERROR(VLOOKUP("WSR",'BC2. Chỉ số KPI'!$B:$H,2,FALSE()),"")</f>
        <v>WOW Session Rate - Tỷ lệ buổi WOW hoàn thành</v>
      </c>
      <c r="C26" s="166"/>
      <c r="D26" s="353" t="n">
        <f aca="false">IFERROR(VLOOKUP("WSR",'BC2. Chỉ số KPI'!$B:$H,4,FALSE()),"")</f>
        <v>0.571428571428571</v>
      </c>
      <c r="E26" s="193" t="str">
        <f aca="false">IFERROR(VLOOKUP("WSR",'BC2. Chỉ số KPI'!$B:$H,5,FALSE()),"")</f>
        <v>≥ 90%</v>
      </c>
      <c r="F26" s="44" t="str">
        <f aca="false">IFERROR(VLOOKUP("WSR",'BC2. Chỉ số KPI'!$B:$H,6,FALSE()),"")</f>
        <v>DƯỚI NGƯỠNG</v>
      </c>
      <c r="G26" s="166" t="str">
        <f aca="false">IFERROR(VLOOKUP("WSR",'BC2. Chỉ số KPI'!$B:$H,7,FALSE()),"")</f>
        <v>Tỷ lệ buổi WOW hoàn thành (WSR) thấp thường do học viên hủy hoặc không đến - cần xem tỷ lệ vắng mặt ("no_show") và hủy bởi học viên ("cancelled_by_student") để tìm nguyên nhân để phân biệt</v>
      </c>
      <c r="H26" s="166"/>
    </row>
    <row r="27" customFormat="false" ht="54.75" hidden="false" customHeight="true" outlineLevel="0" collapsed="false">
      <c r="A27" s="350" t="str">
        <f aca="false">HYPERLINK("#'CH6. Ngưỡng KPI'!A"&amp;MATCH("WOR",'CH6. Ngưỡng KPI'!$A:$A,0),"WOR")</f>
        <v>WOR</v>
      </c>
      <c r="B27" s="166" t="str">
        <f aca="false">IFERROR(VLOOKUP("WOR",'BC2. Chỉ số KPI'!$B:$H,2,FALSE()),"")</f>
        <v>WOW Outcome Rate - Tỷ lệ buổi WOW improved</v>
      </c>
      <c r="C27" s="166"/>
      <c r="D27" s="44" t="n">
        <f aca="false">IFERROR(VLOOKUP("WOR",'BC2. Chỉ số KPI'!$B:$H,4,FALSE()),"")</f>
        <v>0.75</v>
      </c>
      <c r="E27" s="193" t="str">
        <f aca="false">IFERROR(VLOOKUP("WOR",'BC2. Chỉ số KPI'!$B:$H,5,FALSE()),"")</f>
        <v>≥ 60%</v>
      </c>
      <c r="F27" s="44" t="str">
        <f aca="false">IFERROR(VLOOKUP("WOR",'BC2. Chỉ số KPI'!$B:$H,6,FALSE()),"")</f>
        <v>ĐẠT</v>
      </c>
      <c r="G27" s="166" t="str">
        <f aca="false">IFERROR(VLOOKUP("WOR",'BC2. Chỉ số KPI'!$B:$H,7,FALSE()),"")</f>
        <v>Thấp -&gt; NV WOW chưa chuẩn bị đúng điểm yếu cần can thiệp, hoặc học viên cần nhiều buổi hơn, hoặc vấn đề học thuật nghiêm trọng hơn mức WOW có thể xử lý một mình</v>
      </c>
      <c r="H27" s="166"/>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8">
    <mergeCell ref="A1:H1"/>
    <mergeCell ref="A2:H2"/>
    <mergeCell ref="A4:B4"/>
    <mergeCell ref="C4:D4"/>
    <mergeCell ref="E4:F4"/>
    <mergeCell ref="G4:H4"/>
    <mergeCell ref="A5:B5"/>
    <mergeCell ref="C5:D5"/>
    <mergeCell ref="E5:F5"/>
    <mergeCell ref="G5:H5"/>
    <mergeCell ref="A6:B6"/>
    <mergeCell ref="C6:D6"/>
    <mergeCell ref="E6:F6"/>
    <mergeCell ref="G6:H6"/>
    <mergeCell ref="A8:H8"/>
    <mergeCell ref="A21:H21"/>
    <mergeCell ref="B22:C22"/>
    <mergeCell ref="G22:H22"/>
    <mergeCell ref="B23:C23"/>
    <mergeCell ref="G23:H23"/>
    <mergeCell ref="B24:C24"/>
    <mergeCell ref="G24:H24"/>
    <mergeCell ref="B25:C25"/>
    <mergeCell ref="G25:H25"/>
    <mergeCell ref="B26:C26"/>
    <mergeCell ref="G26:H26"/>
    <mergeCell ref="B27:C27"/>
    <mergeCell ref="G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770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B9" activeCellId="0" sqref="B9"/>
    </sheetView>
  </sheetViews>
  <sheetFormatPr defaultColWidth="14.43359375" defaultRowHeight="15" zeroHeight="false" outlineLevelRow="0" outlineLevelCol="0"/>
  <cols>
    <col collapsed="false" customWidth="true" hidden="false" outlineLevel="0" max="8" min="1" style="1" width="30.43"/>
    <col collapsed="false" customWidth="true" hidden="false" outlineLevel="0" max="26" min="9" style="1" width="8.71"/>
  </cols>
  <sheetData>
    <row r="1" customFormat="false" ht="31.5" hidden="false" customHeight="true" outlineLevel="0" collapsed="false">
      <c r="A1" s="131" t="s">
        <v>4048</v>
      </c>
      <c r="B1" s="131"/>
      <c r="C1" s="131"/>
      <c r="D1" s="131"/>
      <c r="E1" s="131"/>
      <c r="F1" s="131"/>
      <c r="G1" s="131"/>
      <c r="H1" s="131"/>
    </row>
    <row r="2" customFormat="false" ht="24" hidden="false" customHeight="true" outlineLevel="0" collapsed="false">
      <c r="A2" s="3" t="s">
        <v>4049</v>
      </c>
      <c r="B2" s="3"/>
      <c r="C2" s="3"/>
      <c r="D2" s="3"/>
      <c r="E2" s="3"/>
      <c r="F2" s="3"/>
      <c r="G2" s="3"/>
      <c r="H2" s="3"/>
    </row>
    <row r="3" customFormat="false" ht="15" hidden="false" customHeight="true" outlineLevel="0" collapsed="false">
      <c r="A3" s="4"/>
      <c r="B3" s="4"/>
      <c r="C3" s="4"/>
      <c r="D3" s="4"/>
      <c r="E3" s="4"/>
      <c r="F3" s="4"/>
      <c r="G3" s="4"/>
      <c r="H3" s="4"/>
    </row>
    <row r="4" customFormat="false" ht="21.75" hidden="false" customHeight="true" outlineLevel="0" collapsed="false">
      <c r="A4" s="316" t="s">
        <v>4050</v>
      </c>
      <c r="B4" s="316"/>
      <c r="C4" s="16" t="s">
        <v>4051</v>
      </c>
      <c r="D4" s="16"/>
      <c r="E4" s="9" t="s">
        <v>4052</v>
      </c>
      <c r="F4" s="9"/>
      <c r="G4" s="18" t="s">
        <v>4053</v>
      </c>
      <c r="H4" s="18"/>
    </row>
    <row r="5" customFormat="false" ht="39.75" hidden="false" customHeight="true" outlineLevel="0" collapsed="false">
      <c r="A5" s="317" t="n">
        <f aca="false">COUNTIF('DL11. Buổi học'!J4:J500,"completed*")</f>
        <v>18</v>
      </c>
      <c r="B5" s="317"/>
      <c r="C5" s="317" t="n">
        <f aca="false">SUMPRODUCT(ISNUMBER(SEARCH("completed",'DL11. Buổi học'!J4:J500))*('DL11. Buổi học'!L4:L500=""))</f>
        <v>1</v>
      </c>
      <c r="D5" s="317"/>
      <c r="E5" s="317" t="n">
        <f aca="false">COUNTIF('DL13. Bài tập'!L4:L500,"submitted*")-COUNTIF('DL13. Bài tập'!M4:M500,"&gt;0")</f>
        <v>1</v>
      </c>
      <c r="F5" s="317"/>
      <c r="G5" s="317" t="n">
        <f aca="false">COUNTIF('DL09. Học viên'!S4:S500,"at_risk*")+COUNTIF('DL09. Học viên'!S4:S500,"off_track*")</f>
        <v>2</v>
      </c>
      <c r="H5" s="317"/>
    </row>
    <row r="6" customFormat="false" ht="18" hidden="false" customHeight="true" outlineLevel="0" collapsed="false">
      <c r="A6" s="12" t="s">
        <v>4054</v>
      </c>
      <c r="B6" s="12"/>
      <c r="C6" s="12" t="s">
        <v>4055</v>
      </c>
      <c r="D6" s="12"/>
      <c r="E6" s="12" t="s">
        <v>4056</v>
      </c>
      <c r="F6" s="12"/>
      <c r="G6" s="12" t="s">
        <v>4057</v>
      </c>
      <c r="H6" s="12"/>
    </row>
    <row r="7" customFormat="false" ht="24.75" hidden="false" customHeight="true" outlineLevel="0" collapsed="false">
      <c r="A7" s="4"/>
      <c r="B7" s="4"/>
      <c r="C7" s="4"/>
      <c r="D7" s="4"/>
      <c r="E7" s="4"/>
      <c r="F7" s="4"/>
      <c r="G7" s="320" t="s">
        <v>4058</v>
      </c>
      <c r="H7" s="21"/>
    </row>
    <row r="8" customFormat="false" ht="25.5" hidden="false" customHeight="true" outlineLevel="0" collapsed="false">
      <c r="A8" s="347" t="s">
        <v>3771</v>
      </c>
      <c r="B8" s="347"/>
      <c r="C8" s="347"/>
      <c r="D8" s="347"/>
      <c r="E8" s="347"/>
      <c r="F8" s="347"/>
      <c r="G8" s="347"/>
      <c r="H8" s="347"/>
    </row>
    <row r="9" customFormat="false" ht="21.75" hidden="false" customHeight="true" outlineLevel="0" collapsed="false">
      <c r="A9" s="320" t="s">
        <v>3167</v>
      </c>
      <c r="B9" s="320" t="s">
        <v>3168</v>
      </c>
      <c r="C9" s="320" t="s">
        <v>3798</v>
      </c>
      <c r="D9" s="320" t="s">
        <v>3773</v>
      </c>
      <c r="E9" s="320" t="s">
        <v>3170</v>
      </c>
      <c r="F9" s="320" t="s">
        <v>3171</v>
      </c>
      <c r="G9" s="320" t="s">
        <v>3172</v>
      </c>
      <c r="H9" s="320" t="s">
        <v>3721</v>
      </c>
    </row>
    <row r="10" customFormat="false" ht="30.75" hidden="false" customHeight="true" outlineLevel="0" collapsed="false">
      <c r="A10" s="21" t="str">
        <f aca="false" t="array" ref="A10:A10">IFERROR(IF(INDEX('DL10. Lớp học'!$A$4:$A$500,SMALL(IF(('DL10. Lớp học'!$A$4:$A$500&lt;&gt;"")*(($H$7="")+('DL10. Lớp học'!$H$4:$H$500=$H$7)),ROW('DL10. Lớp học'!$A$4:$A$500)-3),ROW()-9))="","",INDEX('DL10. Lớp học'!$A$4:$A$500,SMALL(IF(('DL10. Lớp học'!$A$4:$A$500&lt;&gt;"")*(($H$7="")+('DL10. Lớp học'!$H$4:$H$500=$H$7)),ROW('DL10. Lớp học'!$A$4:$A$500)-3),ROW()-9))),"")</f>
        <v>LOP-FOUND-PLA-01</v>
      </c>
      <c r="B10" s="21" t="str">
        <f aca="false" t="array" ref="B10:B10">IFERROR(IF(INDEX('DL10. Lớp học'!$B$4:$B$500,SMALL(IF(('DL10. Lớp học'!$A$4:$A$500&lt;&gt;"")*(($H$7="")+('DL10. Lớp học'!$H$4:$H$500=$H$7)),ROW('DL10. Lớp học'!$A$4:$A$500)-3),ROW()-9))="","",INDEX('DL10. Lớp học'!$B$4:$B$500,SMALL(IF(('DL10. Lớp học'!$A$4:$A$500&lt;&gt;"")*(($H$7="")+('DL10. Lớp học'!$H$4:$H$500=$H$7)),ROW('DL10. Lớp học'!$A$4:$A$500)-3),ROW()-9))),"")</f>
        <v>Foundation PLA T7-CN sáng (06/2026)</v>
      </c>
      <c r="C10" s="80" t="str">
        <f aca="false" t="array" ref="C10:C10">IFERROR(IF(INDEX('DL10. Lớp học'!$C$4:$C$500,SMALL(IF(('DL10. Lớp học'!$A$4:$A$500&lt;&gt;"")*(($H$7="")+('DL10. Lớp học'!$H$4:$H$500=$H$7)),ROW('DL10. Lớp học'!$A$4:$A$500)-3),ROW()-9))="","",INDEX('DL10. Lớp học'!$C$4:$C$500,SMALL(IF(('DL10. Lớp học'!$A$4:$A$500&lt;&gt;"")*(($H$7="")+('DL10. Lớp học'!$H$4:$H$500=$H$7)),ROW('DL10. Lớp học'!$A$4:$A$500)-3),ROW()-9))),"")</f>
        <v>CRS-FOUND-PLA</v>
      </c>
      <c r="D10" s="21" t="str">
        <f aca="false" t="array" ref="D10:D10">IFERROR(IF(INDEX('DL10. Lớp học'!$A$4:$A$500,SMALL(IF(('DL10. Lớp học'!$A$4:$A$500&lt;&gt;"")*(($H$7="")+('DL10. Lớp học'!$H$4:$H$500=$H$7)),ROW('DL10. Lớp học'!$A$4:$A$500)-3),ROW()-9))="","",INDEX('DL10. Lớp học'!$J$4:$J$500,SMALL(IF(('DL10. Lớp học'!$A$4:$A$500&lt;&gt;"")*(($H$7="")+('DL10. Lớp học'!$H$4:$H$500=$H$7)),ROW('DL10. Lớp học'!$A$4:$A$500)-3),ROW()-9))&amp;"/"&amp;INDEX('DL10. Lớp học'!$I$4:$I$500,SMALL(IF(('DL10. Lớp học'!$A$4:$A$500&lt;&gt;"")*(($H$7="")+('DL10. Lớp học'!$H$4:$H$500=$H$7)),ROW('DL10. Lớp học'!$A$4:$A$500)-3),ROW()-9))),"")</f>
        <v>3/12</v>
      </c>
      <c r="E10" s="21" t="str">
        <f aca="false" t="array" ref="E10:E10">IFERROR(IF(INDEX('DL10. Lớp học'!$E$4:$E$500,SMALL(IF(('DL10. Lớp học'!$A$4:$A$500&lt;&gt;"")*(($H$7="")+('DL10. Lớp học'!$H$4:$H$500=$H$7)),ROW('DL10. Lớp học'!$A$4:$A$500)-3),ROW()-9))="","",INDEX('DL10. Lớp học'!$E$4:$E$500,SMALL(IF(('DL10. Lớp học'!$A$4:$A$500&lt;&gt;"")*(($H$7="")+('DL10. Lớp học'!$H$4:$H$500=$H$7)),ROW('DL10. Lớp học'!$A$4:$A$500)-3),ROW()-9))),"")</f>
        <v>T7 + CN, 9h-12h</v>
      </c>
      <c r="F10" s="178" t="n">
        <f aca="false" t="array" ref="F10:F10">IFERROR(IF(INDEX('DL10. Lớp học'!$F$4:$F$500,SMALL(IF(('DL10. Lớp học'!$A$4:$A$500&lt;&gt;"")*(($H$7="")+('DL10. Lớp học'!$H$4:$H$500=$H$7)),ROW('DL10. Lớp học'!$A$4:$A$500)-3),ROW()-9))="","",INDEX('DL10. Lớp học'!$F$4:$F$500,SMALL(IF(('DL10. Lớp học'!$A$4:$A$500&lt;&gt;"")*(($H$7="")+('DL10. Lớp học'!$H$4:$H$500=$H$7)),ROW('DL10. Lớp học'!$A$4:$A$500)-3),ROW()-9))),"")</f>
        <v>46204</v>
      </c>
      <c r="G10" s="178" t="n">
        <f aca="false" t="array" ref="G10:G10">IFERROR(IF(INDEX('DL10. Lớp học'!$G$4:$G$500,SMALL(IF(('DL10. Lớp học'!$A$4:$A$500&lt;&gt;"")*(($H$7="")+('DL10. Lớp học'!$H$4:$H$500=$H$7)),ROW('DL10. Lớp học'!$A$4:$A$500)-3),ROW()-9))="","",INDEX('DL10. Lớp học'!$G$4:$G$500,SMALL(IF(('DL10. Lớp học'!$A$4:$A$500&lt;&gt;"")*(($H$7="")+('DL10. Lớp học'!$H$4:$H$500=$H$7)),ROW('DL10. Lớp học'!$A$4:$A$500)-3),ROW()-9))),"")</f>
        <v>46387</v>
      </c>
      <c r="H10" s="80" t="str">
        <f aca="false" t="array" ref="H10:H10">IFERROR(IF(INDEX('DL10. Lớp học'!$H$4:$H$500,SMALL(IF(('DL10. Lớp học'!$A$4:$A$500&lt;&gt;"")*(($H$7="")+('DL10. Lớp học'!$H$4:$H$500=$H$7)),ROW('DL10. Lớp học'!$A$4:$A$500)-3),ROW()-9))="","",INDEX('DL10. Lớp học'!$H$4:$H$500,SMALL(IF(('DL10. Lớp học'!$A$4:$A$500&lt;&gt;"")*(($H$7="")+('DL10. Lớp học'!$H$4:$H$500=$H$7)),ROW('DL10. Lớp học'!$A$4:$A$500)-3),ROW()-9))),"")</f>
        <v>NV005</v>
      </c>
    </row>
    <row r="11" customFormat="false" ht="30.75" hidden="false" customHeight="true" outlineLevel="0" collapsed="false">
      <c r="A11" s="21" t="str">
        <f aca="false" t="array" ref="A11:A11">IFERROR(IF(INDEX('DL10. Lớp học'!$A$4:$A$500,SMALL(IF(('DL10. Lớp học'!$A$4:$A$500&lt;&gt;"")*(($H$7="")+('DL10. Lớp học'!$H$4:$H$500=$H$7)),ROW('DL10. Lớp học'!$A$4:$A$500)-3),ROW()-9))="","",INDEX('DL10. Lớp học'!$A$4:$A$500,SMALL(IF(('DL10. Lớp học'!$A$4:$A$500&lt;&gt;"")*(($H$7="")+('DL10. Lớp học'!$H$4:$H$500=$H$7)),ROW('DL10. Lớp học'!$A$4:$A$500)-3),ROW()-9))),"")</f>
        <v>LOP-IELTS-6.5-04</v>
      </c>
      <c r="B11" s="21" t="str">
        <f aca="false" t="array" ref="B11:B11">IFERROR(IF(INDEX('DL10. Lớp học'!$B$4:$B$500,SMALL(IF(('DL10. Lớp học'!$A$4:$A$500&lt;&gt;"")*(($H$7="")+('DL10. Lớp học'!$H$4:$H$500=$H$7)),ROW('DL10. Lớp học'!$A$4:$A$500)-3),ROW()-9))="","",INDEX('DL10. Lớp học'!$B$4:$B$500,SMALL(IF(('DL10. Lớp học'!$A$4:$A$500&lt;&gt;"")*(($H$7="")+('DL10. Lớp học'!$H$4:$H$500=$H$7)),ROW('DL10. Lớp học'!$A$4:$A$500)-3),ROW()-9))),"")</f>
        <v>IELTS 6.5 Tối T2-T4-T6 (10/2025)</v>
      </c>
      <c r="C11" s="80" t="str">
        <f aca="false" t="array" ref="C11:C11">IFERROR(IF(INDEX('DL10. Lớp học'!$C$4:$C$500,SMALL(IF(('DL10. Lớp học'!$A$4:$A$500&lt;&gt;"")*(($H$7="")+('DL10. Lớp học'!$H$4:$H$500=$H$7)),ROW('DL10. Lớp học'!$A$4:$A$500)-3),ROW()-9))="","",INDEX('DL10. Lớp học'!$C$4:$C$500,SMALL(IF(('DL10. Lớp học'!$A$4:$A$500&lt;&gt;"")*(($H$7="")+('DL10. Lớp học'!$H$4:$H$500=$H$7)),ROW('DL10. Lớp học'!$A$4:$A$500)-3),ROW()-9))),"")</f>
        <v>CRS-IELTS-6.5</v>
      </c>
      <c r="D11" s="21" t="str">
        <f aca="false" t="array" ref="D11:D11">IFERROR(IF(INDEX('DL10. Lớp học'!$A$4:$A$500,SMALL(IF(('DL10. Lớp học'!$A$4:$A$500&lt;&gt;"")*(($H$7="")+('DL10. Lớp học'!$H$4:$H$500=$H$7)),ROW('DL10. Lớp học'!$A$4:$A$500)-3),ROW()-9))="","",INDEX('DL10. Lớp học'!$J$4:$J$500,SMALL(IF(('DL10. Lớp học'!$A$4:$A$500&lt;&gt;"")*(($H$7="")+('DL10. Lớp học'!$H$4:$H$500=$H$7)),ROW('DL10. Lớp học'!$A$4:$A$500)-3),ROW()-9))&amp;"/"&amp;INDEX('DL10. Lớp học'!$I$4:$I$500,SMALL(IF(('DL10. Lớp học'!$A$4:$A$500&lt;&gt;"")*(($H$7="")+('DL10. Lớp học'!$H$4:$H$500=$H$7)),ROW('DL10. Lớp học'!$A$4:$A$500)-3),ROW()-9))),"")</f>
        <v>2/15</v>
      </c>
      <c r="E11" s="21" t="str">
        <f aca="false" t="array" ref="E11:E11">IFERROR(IF(INDEX('DL10. Lớp học'!$E$4:$E$500,SMALL(IF(('DL10. Lớp học'!$A$4:$A$500&lt;&gt;"")*(($H$7="")+('DL10. Lớp học'!$H$4:$H$500=$H$7)),ROW('DL10. Lớp học'!$A$4:$A$500)-3),ROW()-9))="","",INDEX('DL10. Lớp học'!$E$4:$E$500,SMALL(IF(('DL10. Lớp học'!$A$4:$A$500&lt;&gt;"")*(($H$7="")+('DL10. Lớp học'!$H$4:$H$500=$H$7)),ROW('DL10. Lớp học'!$A$4:$A$500)-3),ROW()-9))),"")</f>
        <v>T2-T4-T6, 19h-20h30</v>
      </c>
      <c r="F11" s="178" t="n">
        <f aca="false" t="array" ref="F11:F11">IFERROR(IF(INDEX('DL10. Lớp học'!$F$4:$F$500,SMALL(IF(('DL10. Lớp học'!$A$4:$A$500&lt;&gt;"")*(($H$7="")+('DL10. Lớp học'!$H$4:$H$500=$H$7)),ROW('DL10. Lớp học'!$A$4:$A$500)-3),ROW()-9))="","",INDEX('DL10. Lớp học'!$F$4:$F$500,SMALL(IF(('DL10. Lớp học'!$A$4:$A$500&lt;&gt;"")*(($H$7="")+('DL10. Lớp học'!$H$4:$H$500=$H$7)),ROW('DL10. Lớp học'!$A$4:$A$500)-3),ROW()-9))),"")</f>
        <v>45945</v>
      </c>
      <c r="G11" s="178" t="n">
        <f aca="false" t="array" ref="G11:G11">IFERROR(IF(INDEX('DL10. Lớp học'!$G$4:$G$500,SMALL(IF(('DL10. Lớp học'!$A$4:$A$500&lt;&gt;"")*(($H$7="")+('DL10. Lớp học'!$H$4:$H$500=$H$7)),ROW('DL10. Lớp học'!$A$4:$A$500)-3),ROW()-9))="","",INDEX('DL10. Lớp học'!$G$4:$G$500,SMALL(IF(('DL10. Lớp học'!$A$4:$A$500&lt;&gt;"")*(($H$7="")+('DL10. Lớp học'!$H$4:$H$500=$H$7)),ROW('DL10. Lớp học'!$A$4:$A$500)-3),ROW()-9))),"")</f>
        <v>46068</v>
      </c>
      <c r="H11" s="80" t="str">
        <f aca="false" t="array" ref="H11:H11">IFERROR(IF(INDEX('DL10. Lớp học'!$H$4:$H$500,SMALL(IF(('DL10. Lớp học'!$A$4:$A$500&lt;&gt;"")*(($H$7="")+('DL10. Lớp học'!$H$4:$H$500=$H$7)),ROW('DL10. Lớp học'!$A$4:$A$500)-3),ROW()-9))="","",INDEX('DL10. Lớp học'!$H$4:$H$500,SMALL(IF(('DL10. Lớp học'!$A$4:$A$500&lt;&gt;"")*(($H$7="")+('DL10. Lớp học'!$H$4:$H$500=$H$7)),ROW('DL10. Lớp học'!$A$4:$A$500)-3),ROW()-9))),"")</f>
        <v>NV006</v>
      </c>
    </row>
    <row r="12" customFormat="false" ht="30.75" hidden="false" customHeight="true" outlineLevel="0" collapsed="false">
      <c r="A12" s="21" t="str">
        <f aca="false" t="array" ref="A12:A12">IFERROR(IF(INDEX('DL10. Lớp học'!$A$4:$A$500,SMALL(IF(('DL10. Lớp học'!$A$4:$A$500&lt;&gt;"")*(($H$7="")+('DL10. Lớp học'!$H$4:$H$500=$H$7)),ROW('DL10. Lớp học'!$A$4:$A$500)-3),ROW()-9))="","",INDEX('DL10. Lớp học'!$A$4:$A$500,SMALL(IF(('DL10. Lớp học'!$A$4:$A$500&lt;&gt;"")*(($H$7="")+('DL10. Lớp học'!$H$4:$H$500=$H$7)),ROW('DL10. Lớp học'!$A$4:$A$500)-3),ROW()-9))),"")</f>
        <v>LOP-IELTS-6.0-12</v>
      </c>
      <c r="B12" s="21" t="str">
        <f aca="false" t="array" ref="B12:B12">IFERROR(IF(INDEX('DL10. Lớp học'!$B$4:$B$500,SMALL(IF(('DL10. Lớp học'!$A$4:$A$500&lt;&gt;"")*(($H$7="")+('DL10. Lớp học'!$H$4:$H$500=$H$7)),ROW('DL10. Lớp học'!$A$4:$A$500)-3),ROW()-9))="","",INDEX('DL10. Lớp học'!$B$4:$B$500,SMALL(IF(('DL10. Lớp học'!$A$4:$A$500&lt;&gt;"")*(($H$7="")+('DL10. Lớp học'!$H$4:$H$500=$H$7)),ROW('DL10. Lớp học'!$A$4:$A$500)-3),ROW()-9))),"")</f>
        <v>IELTS 6.0 Cuối tuần (01/2026)</v>
      </c>
      <c r="C12" s="80" t="str">
        <f aca="false" t="array" ref="C12:C12">IFERROR(IF(INDEX('DL10. Lớp học'!$C$4:$C$500,SMALL(IF(('DL10. Lớp học'!$A$4:$A$500&lt;&gt;"")*(($H$7="")+('DL10. Lớp học'!$H$4:$H$500=$H$7)),ROW('DL10. Lớp học'!$A$4:$A$500)-3),ROW()-9))="","",INDEX('DL10. Lớp học'!$C$4:$C$500,SMALL(IF(('DL10. Lớp học'!$A$4:$A$500&lt;&gt;"")*(($H$7="")+('DL10. Lớp học'!$H$4:$H$500=$H$7)),ROW('DL10. Lớp học'!$A$4:$A$500)-3),ROW()-9))),"")</f>
        <v>CRS-IELTS-6.0</v>
      </c>
      <c r="D12" s="21" t="str">
        <f aca="false" t="array" ref="D12:D12">IFERROR(IF(INDEX('DL10. Lớp học'!$A$4:$A$500,SMALL(IF(('DL10. Lớp học'!$A$4:$A$500&lt;&gt;"")*(($H$7="")+('DL10. Lớp học'!$H$4:$H$500=$H$7)),ROW('DL10. Lớp học'!$A$4:$A$500)-3),ROW()-9))="","",INDEX('DL10. Lớp học'!$J$4:$J$500,SMALL(IF(('DL10. Lớp học'!$A$4:$A$500&lt;&gt;"")*(($H$7="")+('DL10. Lớp học'!$H$4:$H$500=$H$7)),ROW('DL10. Lớp học'!$A$4:$A$500)-3),ROW()-9))&amp;"/"&amp;INDEX('DL10. Lớp học'!$I$4:$I$500,SMALL(IF(('DL10. Lớp học'!$A$4:$A$500&lt;&gt;"")*(($H$7="")+('DL10. Lớp học'!$H$4:$H$500=$H$7)),ROW('DL10. Lớp học'!$A$4:$A$500)-3),ROW()-9))),"")</f>
        <v>2/14</v>
      </c>
      <c r="E12" s="21" t="str">
        <f aca="false" t="array" ref="E12:E12">IFERROR(IF(INDEX('DL10. Lớp học'!$E$4:$E$500,SMALL(IF(('DL10. Lớp học'!$A$4:$A$500&lt;&gt;"")*(($H$7="")+('DL10. Lớp học'!$H$4:$H$500=$H$7)),ROW('DL10. Lớp học'!$A$4:$A$500)-3),ROW()-9))="","",INDEX('DL10. Lớp học'!$E$4:$E$500,SMALL(IF(('DL10. Lớp học'!$A$4:$A$500&lt;&gt;"")*(($H$7="")+('DL10. Lớp học'!$H$4:$H$500=$H$7)),ROW('DL10. Lớp học'!$A$4:$A$500)-3),ROW()-9))),"")</f>
        <v>T7 + CN, 14h-16h30</v>
      </c>
      <c r="F12" s="178" t="n">
        <f aca="false" t="array" ref="F12:F12">IFERROR(IF(INDEX('DL10. Lớp học'!$F$4:$F$500,SMALL(IF(('DL10. Lớp học'!$A$4:$A$500&lt;&gt;"")*(($H$7="")+('DL10. Lớp học'!$H$4:$H$500=$H$7)),ROW('DL10. Lớp học'!$A$4:$A$500)-3),ROW()-9))="","",INDEX('DL10. Lớp học'!$F$4:$F$500,SMALL(IF(('DL10. Lớp học'!$A$4:$A$500&lt;&gt;"")*(($H$7="")+('DL10. Lớp học'!$H$4:$H$500=$H$7)),ROW('DL10. Lớp học'!$A$4:$A$500)-3),ROW()-9))),"")</f>
        <v>46047</v>
      </c>
      <c r="G12" s="178" t="n">
        <f aca="false" t="array" ref="G12:G12">IFERROR(IF(INDEX('DL10. Lớp học'!$G$4:$G$500,SMALL(IF(('DL10. Lớp học'!$A$4:$A$500&lt;&gt;"")*(($H$7="")+('DL10. Lớp học'!$H$4:$H$500=$H$7)),ROW('DL10. Lớp học'!$A$4:$A$500)-3),ROW()-9))="","",INDEX('DL10. Lớp học'!$G$4:$G$500,SMALL(IF(('DL10. Lớp học'!$A$4:$A$500&lt;&gt;"")*(($H$7="")+('DL10. Lớp học'!$H$4:$H$500=$H$7)),ROW('DL10. Lớp học'!$A$4:$A$500)-3),ROW()-9))),"")</f>
        <v>46167</v>
      </c>
      <c r="H12" s="80" t="str">
        <f aca="false" t="array" ref="H12:H12">IFERROR(IF(INDEX('DL10. Lớp học'!$H$4:$H$500,SMALL(IF(('DL10. Lớp học'!$A$4:$A$500&lt;&gt;"")*(($H$7="")+('DL10. Lớp học'!$H$4:$H$500=$H$7)),ROW('DL10. Lớp học'!$A$4:$A$500)-3),ROW()-9))="","",INDEX('DL10. Lớp học'!$H$4:$H$500,SMALL(IF(('DL10. Lớp học'!$A$4:$A$500&lt;&gt;"")*(($H$7="")+('DL10. Lớp học'!$H$4:$H$500=$H$7)),ROW('DL10. Lớp học'!$A$4:$A$500)-3),ROW()-9))),"")</f>
        <v>NV031</v>
      </c>
    </row>
    <row r="13" customFormat="false" ht="30.75" hidden="false" customHeight="true" outlineLevel="0" collapsed="false">
      <c r="A13" s="21" t="str">
        <f aca="false" t="array" ref="A13:A13">IFERROR(IF(INDEX('DL10. Lớp học'!$A$4:$A$500,SMALL(IF(('DL10. Lớp học'!$A$4:$A$500&lt;&gt;"")*(($H$7="")+('DL10. Lớp học'!$H$4:$H$500=$H$7)),ROW('DL10. Lớp học'!$A$4:$A$500)-3),ROW()-9))="","",INDEX('DL10. Lớp học'!$A$4:$A$500,SMALL(IF(('DL10. Lớp học'!$A$4:$A$500&lt;&gt;"")*(($H$7="")+('DL10. Lớp học'!$H$4:$H$500=$H$7)),ROW('DL10. Lớp học'!$A$4:$A$500)-3),ROW()-9))),"")</f>
        <v>LOP-IELTS-7.0-02</v>
      </c>
      <c r="B13" s="21" t="str">
        <f aca="false" t="array" ref="B13:B13">IFERROR(IF(INDEX('DL10. Lớp học'!$B$4:$B$500,SMALL(IF(('DL10. Lớp học'!$A$4:$A$500&lt;&gt;"")*(($H$7="")+('DL10. Lớp học'!$H$4:$H$500=$H$7)),ROW('DL10. Lớp học'!$A$4:$A$500)-3),ROW()-9))="","",INDEX('DL10. Lớp học'!$B$4:$B$500,SMALL(IF(('DL10. Lớp học'!$A$4:$A$500&lt;&gt;"")*(($H$7="")+('DL10. Lớp học'!$H$4:$H$500=$H$7)),ROW('DL10. Lớp học'!$A$4:$A$500)-3),ROW()-9))),"")</f>
        <v>IELTS 7.0+ Tối T3-T5 (02/2026)</v>
      </c>
      <c r="C13" s="80" t="str">
        <f aca="false" t="array" ref="C13:C13">IFERROR(IF(INDEX('DL10. Lớp học'!$C$4:$C$500,SMALL(IF(('DL10. Lớp học'!$A$4:$A$500&lt;&gt;"")*(($H$7="")+('DL10. Lớp học'!$H$4:$H$500=$H$7)),ROW('DL10. Lớp học'!$A$4:$A$500)-3),ROW()-9))="","",INDEX('DL10. Lớp học'!$C$4:$C$500,SMALL(IF(('DL10. Lớp học'!$A$4:$A$500&lt;&gt;"")*(($H$7="")+('DL10. Lớp học'!$H$4:$H$500=$H$7)),ROW('DL10. Lớp học'!$A$4:$A$500)-3),ROW()-9))),"")</f>
        <v>CRS-IELTS-7.0</v>
      </c>
      <c r="D13" s="21" t="str">
        <f aca="false" t="array" ref="D13:D13">IFERROR(IF(INDEX('DL10. Lớp học'!$A$4:$A$500,SMALL(IF(('DL10. Lớp học'!$A$4:$A$500&lt;&gt;"")*(($H$7="")+('DL10. Lớp học'!$H$4:$H$500=$H$7)),ROW('DL10. Lớp học'!$A$4:$A$500)-3),ROW()-9))="","",INDEX('DL10. Lớp học'!$J$4:$J$500,SMALL(IF(('DL10. Lớp học'!$A$4:$A$500&lt;&gt;"")*(($H$7="")+('DL10. Lớp học'!$H$4:$H$500=$H$7)),ROW('DL10. Lớp học'!$A$4:$A$500)-3),ROW()-9))&amp;"/"&amp;INDEX('DL10. Lớp học'!$I$4:$I$500,SMALL(IF(('DL10. Lớp học'!$A$4:$A$500&lt;&gt;"")*(($H$7="")+('DL10. Lớp học'!$H$4:$H$500=$H$7)),ROW('DL10. Lớp học'!$A$4:$A$500)-3),ROW()-9))),"")</f>
        <v>2/10</v>
      </c>
      <c r="E13" s="21" t="str">
        <f aca="false" t="array" ref="E13:E13">IFERROR(IF(INDEX('DL10. Lớp học'!$E$4:$E$500,SMALL(IF(('DL10. Lớp học'!$A$4:$A$500&lt;&gt;"")*(($H$7="")+('DL10. Lớp học'!$H$4:$H$500=$H$7)),ROW('DL10. Lớp học'!$A$4:$A$500)-3),ROW()-9))="","",INDEX('DL10. Lớp học'!$E$4:$E$500,SMALL(IF(('DL10. Lớp học'!$A$4:$A$500&lt;&gt;"")*(($H$7="")+('DL10. Lớp học'!$H$4:$H$500=$H$7)),ROW('DL10. Lớp học'!$A$4:$A$500)-3),ROW()-9))),"")</f>
        <v>T3-T5, 19h-20h30</v>
      </c>
      <c r="F13" s="178" t="n">
        <f aca="false" t="array" ref="F13:F13">IFERROR(IF(INDEX('DL10. Lớp học'!$F$4:$F$500,SMALL(IF(('DL10. Lớp học'!$A$4:$A$500&lt;&gt;"")*(($H$7="")+('DL10. Lớp học'!$H$4:$H$500=$H$7)),ROW('DL10. Lớp học'!$A$4:$A$500)-3),ROW()-9))="","",INDEX('DL10. Lớp học'!$F$4:$F$500,SMALL(IF(('DL10. Lớp học'!$A$4:$A$500&lt;&gt;"")*(($H$7="")+('DL10. Lớp học'!$H$4:$H$500=$H$7)),ROW('DL10. Lớp học'!$A$4:$A$500)-3),ROW()-9))),"")</f>
        <v>46063</v>
      </c>
      <c r="G13" s="178" t="n">
        <f aca="false" t="array" ref="G13:G13">IFERROR(IF(INDEX('DL10. Lớp học'!$G$4:$G$500,SMALL(IF(('DL10. Lớp học'!$A$4:$A$500&lt;&gt;"")*(($H$7="")+('DL10. Lớp học'!$H$4:$H$500=$H$7)),ROW('DL10. Lớp học'!$A$4:$A$500)-3),ROW()-9))="","",INDEX('DL10. Lớp học'!$G$4:$G$500,SMALL(IF(('DL10. Lớp học'!$A$4:$A$500&lt;&gt;"")*(($H$7="")+('DL10. Lớp học'!$H$4:$H$500=$H$7)),ROW('DL10. Lớp học'!$A$4:$A$500)-3),ROW()-9))),"")</f>
        <v>46183</v>
      </c>
      <c r="H13" s="80" t="str">
        <f aca="false" t="array" ref="H13:H13">IFERROR(IF(INDEX('DL10. Lớp học'!$H$4:$H$500,SMALL(IF(('DL10. Lớp học'!$A$4:$A$500&lt;&gt;"")*(($H$7="")+('DL10. Lớp học'!$H$4:$H$500=$H$7)),ROW('DL10. Lớp học'!$A$4:$A$500)-3),ROW()-9))="","",INDEX('DL10. Lớp học'!$H$4:$H$500,SMALL(IF(('DL10. Lớp học'!$A$4:$A$500&lt;&gt;"")*(($H$7="")+('DL10. Lớp học'!$H$4:$H$500=$H$7)),ROW('DL10. Lớp học'!$A$4:$A$500)-3),ROW()-9))),"")</f>
        <v>NV006</v>
      </c>
    </row>
    <row r="14" customFormat="false" ht="30.75" hidden="false" customHeight="true" outlineLevel="0" collapsed="false">
      <c r="A14" s="21" t="str">
        <f aca="false" t="array" ref="A14:A14">IFERROR(IF(INDEX('DL10. Lớp học'!$A$4:$A$500,SMALL(IF(('DL10. Lớp học'!$A$4:$A$500&lt;&gt;"")*(($H$7="")+('DL10. Lớp học'!$H$4:$H$500=$H$7)),ROW('DL10. Lớp học'!$A$4:$A$500)-3),ROW()-9))="","",INDEX('DL10. Lớp học'!$A$4:$A$500,SMALL(IF(('DL10. Lớp học'!$A$4:$A$500&lt;&gt;"")*(($H$7="")+('DL10. Lớp học'!$H$4:$H$500=$H$7)),ROW('DL10. Lớp học'!$A$4:$A$500)-3),ROW()-9))),"")</f>
        <v>LOP-PRE-06</v>
      </c>
      <c r="B14" s="21" t="str">
        <f aca="false" t="array" ref="B14:B14">IFERROR(IF(INDEX('DL10. Lớp học'!$B$4:$B$500,SMALL(IF(('DL10. Lớp học'!$A$4:$A$500&lt;&gt;"")*(($H$7="")+('DL10. Lớp học'!$H$4:$H$500=$H$7)),ROW('DL10. Lớp học'!$A$4:$A$500)-3),ROW()-9))="","",INDEX('DL10. Lớp học'!$B$4:$B$500,SMALL(IF(('DL10. Lớp học'!$A$4:$A$500&lt;&gt;"")*(($H$7="")+('DL10. Lớp học'!$H$4:$H$500=$H$7)),ROW('DL10. Lớp học'!$A$4:$A$500)-3),ROW()-9))),"")</f>
        <v>Pre-IELTS Buổi tối (06/2026)</v>
      </c>
      <c r="C14" s="80" t="str">
        <f aca="false" t="array" ref="C14:C14">IFERROR(IF(INDEX('DL10. Lớp học'!$C$4:$C$500,SMALL(IF(('DL10. Lớp học'!$A$4:$A$500&lt;&gt;"")*(($H$7="")+('DL10. Lớp học'!$H$4:$H$500=$H$7)),ROW('DL10. Lớp học'!$A$4:$A$500)-3),ROW()-9))="","",INDEX('DL10. Lớp học'!$C$4:$C$500,SMALL(IF(('DL10. Lớp học'!$A$4:$A$500&lt;&gt;"")*(($H$7="")+('DL10. Lớp học'!$H$4:$H$500=$H$7)),ROW('DL10. Lớp học'!$A$4:$A$500)-3),ROW()-9))),"")</f>
        <v>CRS-PRE-01</v>
      </c>
      <c r="D14" s="21" t="str">
        <f aca="false" t="array" ref="D14:D14">IFERROR(IF(INDEX('DL10. Lớp học'!$A$4:$A$500,SMALL(IF(('DL10. Lớp học'!$A$4:$A$500&lt;&gt;"")*(($H$7="")+('DL10. Lớp học'!$H$4:$H$500=$H$7)),ROW('DL10. Lớp học'!$A$4:$A$500)-3),ROW()-9))="","",INDEX('DL10. Lớp học'!$J$4:$J$500,SMALL(IF(('DL10. Lớp học'!$A$4:$A$500&lt;&gt;"")*(($H$7="")+('DL10. Lớp học'!$H$4:$H$500=$H$7)),ROW('DL10. Lớp học'!$A$4:$A$500)-3),ROW()-9))&amp;"/"&amp;INDEX('DL10. Lớp học'!$I$4:$I$500,SMALL(IF(('DL10. Lớp học'!$A$4:$A$500&lt;&gt;"")*(($H$7="")+('DL10. Lớp học'!$H$4:$H$500=$H$7)),ROW('DL10. Lớp học'!$A$4:$A$500)-3),ROW()-9))),"")</f>
        <v>0/14</v>
      </c>
      <c r="E14" s="21" t="str">
        <f aca="false" t="array" ref="E14:E14">IFERROR(IF(INDEX('DL10. Lớp học'!$E$4:$E$500,SMALL(IF(('DL10. Lớp học'!$A$4:$A$500&lt;&gt;"")*(($H$7="")+('DL10. Lớp học'!$H$4:$H$500=$H$7)),ROW('DL10. Lớp học'!$A$4:$A$500)-3),ROW()-9))="","",INDEX('DL10. Lớp học'!$E$4:$E$500,SMALL(IF(('DL10. Lớp học'!$A$4:$A$500&lt;&gt;"")*(($H$7="")+('DL10. Lớp học'!$H$4:$H$500=$H$7)),ROW('DL10. Lớp học'!$A$4:$A$500)-3),ROW()-9))),"")</f>
        <v>T2-T4-T6, 18h-19h30</v>
      </c>
      <c r="F14" s="178" t="n">
        <f aca="false" t="array" ref="F14:F14">IFERROR(IF(INDEX('DL10. Lớp học'!$F$4:$F$500,SMALL(IF(('DL10. Lớp học'!$A$4:$A$500&lt;&gt;"")*(($H$7="")+('DL10. Lớp học'!$H$4:$H$500=$H$7)),ROW('DL10. Lớp học'!$A$4:$A$500)-3),ROW()-9))="","",INDEX('DL10. Lớp học'!$F$4:$F$500,SMALL(IF(('DL10. Lớp học'!$A$4:$A$500&lt;&gt;"")*(($H$7="")+('DL10. Lớp học'!$H$4:$H$500=$H$7)),ROW('DL10. Lớp học'!$A$4:$A$500)-3),ROW()-9))),"")</f>
        <v>46183</v>
      </c>
      <c r="G14" s="178" t="n">
        <f aca="false" t="array" ref="G14:G14">IFERROR(IF(INDEX('DL10. Lớp học'!$G$4:$G$500,SMALL(IF(('DL10. Lớp học'!$A$4:$A$500&lt;&gt;"")*(($H$7="")+('DL10. Lớp học'!$H$4:$H$500=$H$7)),ROW('DL10. Lớp học'!$A$4:$A$500)-3),ROW()-9))="","",INDEX('DL10. Lớp học'!$G$4:$G$500,SMALL(IF(('DL10. Lớp học'!$A$4:$A$500&lt;&gt;"")*(($H$7="")+('DL10. Lớp học'!$H$4:$H$500=$H$7)),ROW('DL10. Lớp học'!$A$4:$A$500)-3),ROW()-9))),"")</f>
        <v>46305</v>
      </c>
      <c r="H14" s="80" t="str">
        <f aca="false" t="array" ref="H14:H14">IFERROR(IF(INDEX('DL10. Lớp học'!$H$4:$H$500,SMALL(IF(('DL10. Lớp học'!$A$4:$A$500&lt;&gt;"")*(($H$7="")+('DL10. Lớp học'!$H$4:$H$500=$H$7)),ROW('DL10. Lớp học'!$A$4:$A$500)-3),ROW()-9))="","",INDEX('DL10. Lớp học'!$H$4:$H$500,SMALL(IF(('DL10. Lớp học'!$A$4:$A$500&lt;&gt;"")*(($H$7="")+('DL10. Lớp học'!$H$4:$H$500=$H$7)),ROW('DL10. Lớp học'!$A$4:$A$500)-3),ROW()-9))),"")</f>
        <v>NV005</v>
      </c>
    </row>
    <row r="15" customFormat="false" ht="30.75" hidden="false" customHeight="true" outlineLevel="0" collapsed="false">
      <c r="A15" s="21" t="str">
        <f aca="false" t="array" ref="A15:A15">IFERROR(IF(INDEX('DL10. Lớp học'!$A$4:$A$500,SMALL(IF(('DL10. Lớp học'!$A$4:$A$500&lt;&gt;"")*(($H$7="")+('DL10. Lớp học'!$H$4:$H$500=$H$7)),ROW('DL10. Lớp học'!$A$4:$A$500)-3),ROW()-9))="","",INDEX('DL10. Lớp học'!$A$4:$A$500,SMALL(IF(('DL10. Lớp học'!$A$4:$A$500&lt;&gt;"")*(($H$7="")+('DL10. Lớp học'!$H$4:$H$500=$H$7)),ROW('DL10. Lớp học'!$A$4:$A$500)-3),ROW()-9))),"")</f>
        <v>LOP-IELTS-6.0-15</v>
      </c>
      <c r="B15" s="21" t="str">
        <f aca="false" t="array" ref="B15:B15">IFERROR(IF(INDEX('DL10. Lớp học'!$B$4:$B$500,SMALL(IF(('DL10. Lớp học'!$A$4:$A$500&lt;&gt;"")*(($H$7="")+('DL10. Lớp học'!$H$4:$H$500=$H$7)),ROW('DL10. Lớp học'!$A$4:$A$500)-3),ROW()-9))="","",INDEX('DL10. Lớp học'!$B$4:$B$500,SMALL(IF(('DL10. Lớp học'!$A$4:$A$500&lt;&gt;"")*(($H$7="")+('DL10. Lớp học'!$H$4:$H$500=$H$7)),ROW('DL10. Lớp học'!$A$4:$A$500)-3),ROW()-9))),"")</f>
        <v>PRIVATE Nguyễn Loan - 36H OFF CN4 (07/2026)</v>
      </c>
      <c r="C15" s="80" t="str">
        <f aca="false" t="array" ref="C15:C15">IFERROR(IF(INDEX('DL10. Lớp học'!$C$4:$C$500,SMALL(IF(('DL10. Lớp học'!$A$4:$A$500&lt;&gt;"")*(($H$7="")+('DL10. Lớp học'!$H$4:$H$500=$H$7)),ROW('DL10. Lớp học'!$A$4:$A$500)-3),ROW()-9))="","",INDEX('DL10. Lớp học'!$C$4:$C$500,SMALL(IF(('DL10. Lớp học'!$A$4:$A$500&lt;&gt;"")*(($H$7="")+('DL10. Lớp học'!$H$4:$H$500=$H$7)),ROW('DL10. Lớp học'!$A$4:$A$500)-3),ROW()-9))),"")</f>
        <v>CRS-IELTS-6.0</v>
      </c>
      <c r="D15" s="21" t="str">
        <f aca="false" t="array" ref="D15:D15">IFERROR(IF(INDEX('DL10. Lớp học'!$A$4:$A$500,SMALL(IF(('DL10. Lớp học'!$A$4:$A$500&lt;&gt;"")*(($H$7="")+('DL10. Lớp học'!$H$4:$H$500=$H$7)),ROW('DL10. Lớp học'!$A$4:$A$500)-3),ROW()-9))="","",INDEX('DL10. Lớp học'!$J$4:$J$500,SMALL(IF(('DL10. Lớp học'!$A$4:$A$500&lt;&gt;"")*(($H$7="")+('DL10. Lớp học'!$H$4:$H$500=$H$7)),ROW('DL10. Lớp học'!$A$4:$A$500)-3),ROW()-9))&amp;"/"&amp;INDEX('DL10. Lớp học'!$I$4:$I$500,SMALL(IF(('DL10. Lớp học'!$A$4:$A$500&lt;&gt;"")*(($H$7="")+('DL10. Lớp học'!$H$4:$H$500=$H$7)),ROW('DL10. Lớp học'!$A$4:$A$500)-3),ROW()-9))),"")</f>
        <v>0/20</v>
      </c>
      <c r="E15" s="21" t="str">
        <f aca="false" t="array" ref="E15:E15">IFERROR(IF(INDEX('DL10. Lớp học'!$E$4:$E$500,SMALL(IF(('DL10. Lớp học'!$A$4:$A$500&lt;&gt;"")*(($H$7="")+('DL10. Lớp học'!$H$4:$H$500=$H$7)),ROW('DL10. Lớp học'!$A$4:$A$500)-3),ROW()-9))="","",INDEX('DL10. Lớp học'!$E$4:$E$500,SMALL(IF(('DL10. Lớp học'!$A$4:$A$500&lt;&gt;"")*(($H$7="")+('DL10. Lớp học'!$H$4:$H$500=$H$7)),ROW('DL10. Lớp học'!$A$4:$A$500)-3),ROW()-9))),"")</f>
        <v>T2-T4-T6, 19h-20h30</v>
      </c>
      <c r="F15" s="178" t="n">
        <f aca="false" t="array" ref="F15:F15">IFERROR(IF(INDEX('DL10. Lớp học'!$F$4:$F$500,SMALL(IF(('DL10. Lớp học'!$A$4:$A$500&lt;&gt;"")*(($H$7="")+('DL10. Lớp học'!$H$4:$H$500=$H$7)),ROW('DL10. Lớp học'!$A$4:$A$500)-3),ROW()-9))="","",INDEX('DL10. Lớp học'!$F$4:$F$500,SMALL(IF(('DL10. Lớp học'!$A$4:$A$500&lt;&gt;"")*(($H$7="")+('DL10. Lớp học'!$H$4:$H$500=$H$7)),ROW('DL10. Lớp học'!$A$4:$A$500)-3),ROW()-9))),"")</f>
        <v>46211</v>
      </c>
      <c r="G15" s="178" t="n">
        <f aca="false" t="array" ref="G15:G15">IFERROR(IF(INDEX('DL10. Lớp học'!$G$4:$G$500,SMALL(IF(('DL10. Lớp học'!$A$4:$A$500&lt;&gt;"")*(($H$7="")+('DL10. Lớp học'!$H$4:$H$500=$H$7)),ROW('DL10. Lớp học'!$A$4:$A$500)-3),ROW()-9))="","",INDEX('DL10. Lớp học'!$G$4:$G$500,SMALL(IF(('DL10. Lớp học'!$A$4:$A$500&lt;&gt;"")*(($H$7="")+('DL10. Lớp học'!$H$4:$H$500=$H$7)),ROW('DL10. Lớp học'!$A$4:$A$500)-3),ROW()-9))),"")</f>
        <v>46334</v>
      </c>
      <c r="H15" s="80" t="str">
        <f aca="false" t="array" ref="H15:H15">IFERROR(IF(INDEX('DL10. Lớp học'!$H$4:$H$500,SMALL(IF(('DL10. Lớp học'!$A$4:$A$500&lt;&gt;"")*(($H$7="")+('DL10. Lớp học'!$H$4:$H$500=$H$7)),ROW('DL10. Lớp học'!$A$4:$A$500)-3),ROW()-9))="","",INDEX('DL10. Lớp học'!$H$4:$H$500,SMALL(IF(('DL10. Lớp học'!$A$4:$A$500&lt;&gt;"")*(($H$7="")+('DL10. Lớp học'!$H$4:$H$500=$H$7)),ROW('DL10. Lớp học'!$A$4:$A$500)-3),ROW()-9))),"")</f>
        <v>NV014</v>
      </c>
    </row>
    <row r="16" customFormat="false" ht="30.75" hidden="false" customHeight="true" outlineLevel="0" collapsed="false">
      <c r="A16" s="21" t="str">
        <f aca="false" t="array" ref="A16:A16">IFERROR(IF(INDEX('DL10. Lớp học'!$A$4:$A$500,SMALL(IF(('DL10. Lớp học'!$A$4:$A$500&lt;&gt;"")*(($H$7="")+('DL10. Lớp học'!$H$4:$H$500=$H$7)),ROW('DL10. Lớp học'!$A$4:$A$500)-3),ROW()-9))="","",INDEX('DL10. Lớp học'!$A$4:$A$500,SMALL(IF(('DL10. Lớp học'!$A$4:$A$500&lt;&gt;"")*(($H$7="")+('DL10. Lớp học'!$H$4:$H$500=$H$7)),ROW('DL10. Lớp học'!$A$4:$A$500)-3),ROW()-9))),"")</f>
        <v>LOP-FOUND-02</v>
      </c>
      <c r="B16" s="21" t="str">
        <f aca="false" t="array" ref="B16:B16">IFERROR(IF(INDEX('DL10. Lớp học'!$B$4:$B$500,SMALL(IF(('DL10. Lớp học'!$A$4:$A$500&lt;&gt;"")*(($H$7="")+('DL10. Lớp học'!$H$4:$H$500=$H$7)),ROW('DL10. Lớp học'!$A$4:$A$500)-3),ROW()-9))="","",INDEX('DL10. Lớp học'!$B$4:$B$500,SMALL(IF(('DL10. Lớp học'!$A$4:$A$500&lt;&gt;"")*(($H$7="")+('DL10. Lớp học'!$H$4:$H$500=$H$7)),ROW('DL10. Lớp học'!$A$4:$A$500)-3),ROW()-9))),"")</f>
        <v>Foundation Tối T2-T4-T6 (07/2026)</v>
      </c>
      <c r="C16" s="80" t="str">
        <f aca="false" t="array" ref="C16:C16">IFERROR(IF(INDEX('DL10. Lớp học'!$C$4:$C$500,SMALL(IF(('DL10. Lớp học'!$A$4:$A$500&lt;&gt;"")*(($H$7="")+('DL10. Lớp học'!$H$4:$H$500=$H$7)),ROW('DL10. Lớp học'!$A$4:$A$500)-3),ROW()-9))="","",INDEX('DL10. Lớp học'!$C$4:$C$500,SMALL(IF(('DL10. Lớp học'!$A$4:$A$500&lt;&gt;"")*(($H$7="")+('DL10. Lớp học'!$H$4:$H$500=$H$7)),ROW('DL10. Lớp học'!$A$4:$A$500)-3),ROW()-9))),"")</f>
        <v>CRS-FOUND-01</v>
      </c>
      <c r="D16" s="21" t="str">
        <f aca="false" t="array" ref="D16:D16">IFERROR(IF(INDEX('DL10. Lớp học'!$A$4:$A$500,SMALL(IF(('DL10. Lớp học'!$A$4:$A$500&lt;&gt;"")*(($H$7="")+('DL10. Lớp học'!$H$4:$H$500=$H$7)),ROW('DL10. Lớp học'!$A$4:$A$500)-3),ROW()-9))="","",INDEX('DL10. Lớp học'!$J$4:$J$500,SMALL(IF(('DL10. Lớp học'!$A$4:$A$500&lt;&gt;"")*(($H$7="")+('DL10. Lớp học'!$H$4:$H$500=$H$7)),ROW('DL10. Lớp học'!$A$4:$A$500)-3),ROW()-9))&amp;"/"&amp;INDEX('DL10. Lớp học'!$I$4:$I$500,SMALL(IF(('DL10. Lớp học'!$A$4:$A$500&lt;&gt;"")*(($H$7="")+('DL10. Lớp học'!$H$4:$H$500=$H$7)),ROW('DL10. Lớp học'!$A$4:$A$500)-3),ROW()-9))),"")</f>
        <v>0/14</v>
      </c>
      <c r="E16" s="21" t="str">
        <f aca="false" t="array" ref="E16:E16">IFERROR(IF(INDEX('DL10. Lớp học'!$E$4:$E$500,SMALL(IF(('DL10. Lớp học'!$A$4:$A$500&lt;&gt;"")*(($H$7="")+('DL10. Lớp học'!$H$4:$H$500=$H$7)),ROW('DL10. Lớp học'!$A$4:$A$500)-3),ROW()-9))="","",INDEX('DL10. Lớp học'!$E$4:$E$500,SMALL(IF(('DL10. Lớp học'!$A$4:$A$500&lt;&gt;"")*(($H$7="")+('DL10. Lớp học'!$H$4:$H$500=$H$7)),ROW('DL10. Lớp học'!$A$4:$A$500)-3),ROW()-9))),"")</f>
        <v>T2-T4-T6, 19h-20h30</v>
      </c>
      <c r="F16" s="178" t="n">
        <f aca="false" t="array" ref="F16:F16">IFERROR(IF(INDEX('DL10. Lớp học'!$F$4:$F$500,SMALL(IF(('DL10. Lớp học'!$A$4:$A$500&lt;&gt;"")*(($H$7="")+('DL10. Lớp học'!$H$4:$H$500=$H$7)),ROW('DL10. Lớp học'!$A$4:$A$500)-3),ROW()-9))="","",INDEX('DL10. Lớp học'!$F$4:$F$500,SMALL(IF(('DL10. Lớp học'!$A$4:$A$500&lt;&gt;"")*(($H$7="")+('DL10. Lớp học'!$H$4:$H$500=$H$7)),ROW('DL10. Lớp học'!$A$4:$A$500)-3),ROW()-9))),"")</f>
        <v>46218</v>
      </c>
      <c r="G16" s="178" t="n">
        <f aca="false" t="array" ref="G16:G16">IFERROR(IF(INDEX('DL10. Lớp học'!$G$4:$G$500,SMALL(IF(('DL10. Lớp học'!$A$4:$A$500&lt;&gt;"")*(($H$7="")+('DL10. Lớp học'!$H$4:$H$500=$H$7)),ROW('DL10. Lớp học'!$A$4:$A$500)-3),ROW()-9))="","",INDEX('DL10. Lớp học'!$G$4:$G$500,SMALL(IF(('DL10. Lớp học'!$A$4:$A$500&lt;&gt;"")*(($H$7="")+('DL10. Lớp học'!$H$4:$H$500=$H$7)),ROW('DL10. Lớp học'!$A$4:$A$500)-3),ROW()-9))),"")</f>
        <v>46402</v>
      </c>
      <c r="H16" s="80" t="str">
        <f aca="false" t="array" ref="H16:H16">IFERROR(IF(INDEX('DL10. Lớp học'!$H$4:$H$500,SMALL(IF(('DL10. Lớp học'!$A$4:$A$500&lt;&gt;"")*(($H$7="")+('DL10. Lớp học'!$H$4:$H$500=$H$7)),ROW('DL10. Lớp học'!$A$4:$A$500)-3),ROW()-9))="","",INDEX('DL10. Lớp học'!$H$4:$H$500,SMALL(IF(('DL10. Lớp học'!$A$4:$A$500&lt;&gt;"")*(($H$7="")+('DL10. Lớp học'!$H$4:$H$500=$H$7)),ROW('DL10. Lớp học'!$A$4:$A$500)-3),ROW()-9))),"")</f>
        <v>NV005</v>
      </c>
    </row>
    <row r="17" customFormat="false" ht="30.75" hidden="false" customHeight="true" outlineLevel="0" collapsed="false">
      <c r="A17" s="21" t="str">
        <f aca="false" t="array" ref="A17:A17">IFERROR(IF(INDEX('DL10. Lớp học'!$A$4:$A$500,SMALL(IF(('DL10. Lớp học'!$A$4:$A$500&lt;&gt;"")*(($H$7="")+('DL10. Lớp học'!$H$4:$H$500=$H$7)),ROW('DL10. Lớp học'!$A$4:$A$500)-3),ROW()-9))="","",INDEX('DL10. Lớp học'!$A$4:$A$500,SMALL(IF(('DL10. Lớp học'!$A$4:$A$500&lt;&gt;"")*(($H$7="")+('DL10. Lớp học'!$H$4:$H$500=$H$7)),ROW('DL10. Lớp học'!$A$4:$A$500)-3),ROW()-9))),"")</f>
        <v>LOP-IELTS-5.5-01</v>
      </c>
      <c r="B17" s="21" t="str">
        <f aca="false" t="array" ref="B17:B17">IFERROR(IF(INDEX('DL10. Lớp học'!$B$4:$B$500,SMALL(IF(('DL10. Lớp học'!$A$4:$A$500&lt;&gt;"")*(($H$7="")+('DL10. Lớp học'!$H$4:$H$500=$H$7)),ROW('DL10. Lớp học'!$A$4:$A$500)-3),ROW()-9))="","",INDEX('DL10. Lớp học'!$B$4:$B$500,SMALL(IF(('DL10. Lớp học'!$A$4:$A$500&lt;&gt;"")*(($H$7="")+('DL10. Lớp học'!$H$4:$H$500=$H$7)),ROW('DL10. Lớp học'!$A$4:$A$500)-3),ROW()-9))),"")</f>
        <v>PRIVATE Ngô Thúy Quỳnh - 48H Online (08/2026)</v>
      </c>
      <c r="C17" s="80" t="str">
        <f aca="false" t="array" ref="C17:C17">IFERROR(IF(INDEX('DL10. Lớp học'!$C$4:$C$500,SMALL(IF(('DL10. Lớp học'!$A$4:$A$500&lt;&gt;"")*(($H$7="")+('DL10. Lớp học'!$H$4:$H$500=$H$7)),ROW('DL10. Lớp học'!$A$4:$A$500)-3),ROW()-9))="","",INDEX('DL10. Lớp học'!$C$4:$C$500,SMALL(IF(('DL10. Lớp học'!$A$4:$A$500&lt;&gt;"")*(($H$7="")+('DL10. Lớp học'!$H$4:$H$500=$H$7)),ROW('DL10. Lớp học'!$A$4:$A$500)-3),ROW()-9))),"")</f>
        <v>CRS-IELTS-5.5</v>
      </c>
      <c r="D17" s="21" t="str">
        <f aca="false" t="array" ref="D17:D17">IFERROR(IF(INDEX('DL10. Lớp học'!$A$4:$A$500,SMALL(IF(('DL10. Lớp học'!$A$4:$A$500&lt;&gt;"")*(($H$7="")+('DL10. Lớp học'!$H$4:$H$500=$H$7)),ROW('DL10. Lớp học'!$A$4:$A$500)-3),ROW()-9))="","",INDEX('DL10. Lớp học'!$J$4:$J$500,SMALL(IF(('DL10. Lớp học'!$A$4:$A$500&lt;&gt;"")*(($H$7="")+('DL10. Lớp học'!$H$4:$H$500=$H$7)),ROW('DL10. Lớp học'!$A$4:$A$500)-3),ROW()-9))&amp;"/"&amp;INDEX('DL10. Lớp học'!$I$4:$I$500,SMALL(IF(('DL10. Lớp học'!$A$4:$A$500&lt;&gt;"")*(($H$7="")+('DL10. Lớp học'!$H$4:$H$500=$H$7)),ROW('DL10. Lớp học'!$A$4:$A$500)-3),ROW()-9))),"")</f>
        <v>0/12</v>
      </c>
      <c r="E17" s="21" t="str">
        <f aca="false" t="array" ref="E17:E17">IFERROR(IF(INDEX('DL10. Lớp học'!$E$4:$E$500,SMALL(IF(('DL10. Lớp học'!$A$4:$A$500&lt;&gt;"")*(($H$7="")+('DL10. Lớp học'!$H$4:$H$500=$H$7)),ROW('DL10. Lớp học'!$A$4:$A$500)-3),ROW()-9))="","",INDEX('DL10. Lớp học'!$E$4:$E$500,SMALL(IF(('DL10. Lớp học'!$A$4:$A$500&lt;&gt;"")*(($H$7="")+('DL10. Lớp học'!$H$4:$H$500=$H$7)),ROW('DL10. Lớp học'!$A$4:$A$500)-3),ROW()-9))),"")</f>
        <v>T7+CN, 9h-12h</v>
      </c>
      <c r="F17" s="178" t="n">
        <f aca="false" t="array" ref="F17:F17">IFERROR(IF(INDEX('DL10. Lớp học'!$F$4:$F$500,SMALL(IF(('DL10. Lớp học'!$A$4:$A$500&lt;&gt;"")*(($H$7="")+('DL10. Lớp học'!$H$4:$H$500=$H$7)),ROW('DL10. Lớp học'!$A$4:$A$500)-3),ROW()-9))="","",INDEX('DL10. Lớp học'!$F$4:$F$500,SMALL(IF(('DL10. Lớp học'!$A$4:$A$500&lt;&gt;"")*(($H$7="")+('DL10. Lớp học'!$H$4:$H$500=$H$7)),ROW('DL10. Lớp học'!$A$4:$A$500)-3),ROW()-9))),"")</f>
        <v>46249</v>
      </c>
      <c r="G17" s="178" t="n">
        <f aca="false" t="array" ref="G17:G17">IFERROR(IF(INDEX('DL10. Lớp học'!$G$4:$G$500,SMALL(IF(('DL10. Lớp học'!$A$4:$A$500&lt;&gt;"")*(($H$7="")+('DL10. Lớp học'!$H$4:$H$500=$H$7)),ROW('DL10. Lớp học'!$A$4:$A$500)-3),ROW()-9))="","",INDEX('DL10. Lớp học'!$G$4:$G$500,SMALL(IF(('DL10. Lớp học'!$A$4:$A$500&lt;&gt;"")*(($H$7="")+('DL10. Lớp học'!$H$4:$H$500=$H$7)),ROW('DL10. Lớp học'!$A$4:$A$500)-3),ROW()-9))),"")</f>
        <v>46371</v>
      </c>
      <c r="H17" s="21" t="str">
        <f aca="false" t="array" ref="H17:H17">IFERROR(IF(INDEX('DL10. Lớp học'!$H$4:$H$500,SMALL(IF(('DL10. Lớp học'!$A$4:$A$500&lt;&gt;"")*(($H$7="")+('DL10. Lớp học'!$H$4:$H$500=$H$7)),ROW('DL10. Lớp học'!$A$4:$A$500)-3),ROW()-9))="","",INDEX('DL10. Lớp học'!$H$4:$H$500,SMALL(IF(('DL10. Lớp học'!$A$4:$A$500&lt;&gt;"")*(($H$7="")+('DL10. Lớp học'!$H$4:$H$500=$H$7)),ROW('DL10. Lớp học'!$A$4:$A$500)-3),ROW()-9))),"")</f>
        <v/>
      </c>
    </row>
    <row r="18" customFormat="false" ht="15" hidden="false" customHeight="true" outlineLevel="0" collapsed="false">
      <c r="A18" s="179"/>
      <c r="B18" s="179"/>
      <c r="C18" s="179"/>
      <c r="D18" s="179"/>
      <c r="E18" s="179"/>
      <c r="F18" s="179"/>
      <c r="G18" s="179"/>
      <c r="H18" s="179"/>
    </row>
    <row r="19" customFormat="false" ht="21.75" hidden="false" customHeight="true" outlineLevel="0" collapsed="false">
      <c r="A19" s="260" t="s">
        <v>4031</v>
      </c>
      <c r="B19" s="260"/>
      <c r="C19" s="260"/>
      <c r="D19" s="260"/>
      <c r="E19" s="260"/>
      <c r="F19" s="260"/>
      <c r="G19" s="260"/>
      <c r="H19" s="260"/>
    </row>
    <row r="20" customFormat="false" ht="19.5" hidden="false" customHeight="true" outlineLevel="0" collapsed="false">
      <c r="A20" s="261" t="s">
        <v>472</v>
      </c>
      <c r="B20" s="261" t="s">
        <v>2116</v>
      </c>
      <c r="C20" s="261"/>
      <c r="D20" s="261" t="s">
        <v>944</v>
      </c>
      <c r="E20" s="261" t="s">
        <v>4032</v>
      </c>
      <c r="F20" s="261" t="s">
        <v>250</v>
      </c>
      <c r="G20" s="261" t="s">
        <v>4033</v>
      </c>
      <c r="H20" s="261"/>
    </row>
    <row r="21" customFormat="false" ht="50.25" hidden="false" customHeight="true" outlineLevel="0" collapsed="false">
      <c r="A21" s="350" t="str">
        <f aca="false">HYPERLINK("#'CH6. Ngưỡng KPI'!A"&amp;MATCH("ADC",'CH6. Ngưỡng KPI'!$A:$A,0),"ADC")</f>
        <v>ADC</v>
      </c>
      <c r="B21" s="166" t="str">
        <f aca="false">IFERROR(VLOOKUP("ADC",'BC2. Chỉ số KPI'!$B:$H,2,FALSE()),"")</f>
        <v>Attendance Discipline - Tuân thủ điểm danh của GV</v>
      </c>
      <c r="C21" s="166"/>
      <c r="D21" s="353" t="n">
        <f aca="false">IFERROR(VLOOKUP("ADC",'BC2. Chỉ số KPI'!$B:$H,4,FALSE()),"")</f>
        <v>0.857142857142857</v>
      </c>
      <c r="E21" s="193" t="str">
        <f aca="false">IFERROR(VLOOKUP("ADC",'BC2. Chỉ số KPI'!$B:$H,5,FALSE()),"")</f>
        <v>≥ 95%</v>
      </c>
      <c r="F21" s="44" t="str">
        <f aca="false">IFERROR(VLOOKUP("ADC",'BC2. Chỉ số KPI'!$B:$H,6,FALSE()),"")</f>
        <v>DƯỚI NGƯỠNG</v>
      </c>
      <c r="G21" s="166" t="str">
        <f aca="false">IFERROR(VLOOKUP("ADC",'BC2. Chỉ số KPI'!$B:$H,7,FALSE()),"")</f>
        <v>Thấp -&gt; học vụ không có dữ liệu để phát hiện at_risk kịp thời. Giảng viên quên điểm danh là vi phạm SLA và phải được đưa vào đánh giá hiệu suất hàng tháng</v>
      </c>
      <c r="H21" s="166"/>
    </row>
    <row r="22" customFormat="false" ht="50.25" hidden="false" customHeight="true" outlineLevel="0" collapsed="false">
      <c r="A22" s="350" t="str">
        <f aca="false">HYPERLINK("#'CH6. Ngưỡng KPI'!A"&amp;MATCH("GCR7",'CH6. Ngưỡng KPI'!$A:$A,0),"GCR7")</f>
        <v>GCR7</v>
      </c>
      <c r="B22" s="166" t="str">
        <f aca="false">IFERROR(VLOOKUP("GCR7",'BC2. Chỉ số KPI'!$B:$H,2,FALSE()),"")</f>
        <v>Grading Completion Rate 7d - BT chấm trong 5 ngày</v>
      </c>
      <c r="C22" s="166"/>
      <c r="D22" s="44" t="n">
        <f aca="false">IFERROR(VLOOKUP("GCR7",'BC2. Chỉ số KPI'!$B:$H,4,FALSE()),"")</f>
        <v>1</v>
      </c>
      <c r="E22" s="193" t="str">
        <f aca="false">IFERROR(VLOOKUP("GCR7",'BC2. Chỉ số KPI'!$B:$H,5,FALSE()),"")</f>
        <v>≥ 100%</v>
      </c>
      <c r="F22" s="44" t="str">
        <f aca="false">IFERROR(VLOOKUP("GCR7",'BC2. Chỉ số KPI'!$B:$H,6,FALSE()),"")</f>
        <v>ĐẠT</v>
      </c>
      <c r="G22" s="166" t="str">
        <f aca="false">IFERROR(VLOOKUP("GCR7",'BC2. Chỉ số KPI'!$B:$H,7,FALSE()),"")</f>
        <v>Giảng viên chậm chấm -&gt; học viên không biết mình sai ở đâu -&gt; lỗi cũ tiếp tục lặp lại trong bài sau. Đọc cùng tỷ lệ teacher_note đầy đủ (TNR): giảng viên chậm cả chấm bài lẫn ghi nhận xét là dấu hiệu quá tải hoặc thiếu nghiêm túc trong nghiệp vụ</v>
      </c>
      <c r="H22" s="166"/>
    </row>
    <row r="23" customFormat="false" ht="50.25" hidden="false" customHeight="true" outlineLevel="0" collapsed="false">
      <c r="A23" s="350" t="str">
        <f aca="false">HYPERLINK("#'CH6. Ngưỡng KPI'!A"&amp;MATCH("TNR",'CH6. Ngưỡng KPI'!$A:$A,0),"TNR")</f>
        <v>TNR</v>
      </c>
      <c r="B23" s="166" t="str">
        <f aca="false">IFERROR(VLOOKUP("TNR",'BC2. Chỉ số KPI'!$B:$H,2,FALSE()),"")</f>
        <v>Teacher Note Rate - Tỷ lệ teacher_note đầy đủ</v>
      </c>
      <c r="C23" s="166"/>
      <c r="D23" s="44" t="n">
        <f aca="false">IFERROR(VLOOKUP("TNR",'BC2. Chỉ số KPI'!$B:$H,4,FALSE()),"")</f>
        <v>1</v>
      </c>
      <c r="E23" s="193" t="str">
        <f aca="false">IFERROR(VLOOKUP("TNR",'BC2. Chỉ số KPI'!$B:$H,5,FALSE()),"")</f>
        <v>≥ 90%</v>
      </c>
      <c r="F23" s="44" t="str">
        <f aca="false">IFERROR(VLOOKUP("TNR",'BC2. Chỉ số KPI'!$B:$H,6,FALSE()),"")</f>
        <v>ĐẠT</v>
      </c>
      <c r="G23" s="166" t="str">
        <f aca="false">IFERROR(VLOOKUP("TNR",'BC2. Chỉ số KPI'!$B:$H,7,FALSE()),"")</f>
        <v>Tỷ lệ teacher_note đầy đủ (TNR) thấp -&gt; học vụ không có đủ dữ liệu học thuật để phát hiện học viên yếu và can thiệp đúng lúc. Đây là chỉ số trực tiếp đo chất lượng ghi chép của giảng viên</v>
      </c>
      <c r="H23" s="166"/>
    </row>
    <row r="24" customFormat="false" ht="50.25" hidden="false" customHeight="true" outlineLevel="0" collapsed="false">
      <c r="A24" s="350" t="str">
        <f aca="false">HYPERLINK("#'CH6. Ngưỡng KPI'!A"&amp;MATCH("SPR",'CH6. Ngưỡng KPI'!$A:$A,0),"SPR")</f>
        <v>SPR</v>
      </c>
      <c r="B24" s="166" t="str">
        <f aca="false">IFERROR(VLOOKUP("SPR",'BC2. Chỉ số KPI'!$B:$H,2,FALSE()),"")</f>
        <v>Skill Progress Rate - Tiến bộ điểm kỹ năng (mốc 8 tuần)</v>
      </c>
      <c r="C24" s="166"/>
      <c r="D24" s="44" t="n">
        <f aca="false">IFERROR(VLOOKUP("SPR",'BC2. Chỉ số KPI'!$B:$H,4,FALSE()),"")</f>
        <v>0</v>
      </c>
      <c r="E24" s="193" t="str">
        <f aca="false">IFERROR(VLOOKUP("SPR",'BC2. Chỉ số KPI'!$B:$H,5,FALSE()),"")</f>
        <v>Tăng &gt; 0.5</v>
      </c>
      <c r="F24" s="44" t="str">
        <f aca="false">IFERROR(VLOOKUP("SPR",'BC2. Chỉ số KPI'!$B:$H,6,FALSE()),"")</f>
        <v>ĐỀU</v>
      </c>
      <c r="G24" s="166" t="str">
        <f aca="false">IFERROR(VLOOKUP("SPR",'BC2. Chỉ số KPI'!$B:$H,7,FALSE()),"")</f>
        <v>Chỉ số quan trọng nhất đo chất lượng giảng dạy thực tế. Đọc theo từng kỹ năng: nếu Listening tăng nhưng Writing không tăng -&gt; giảng viên đang tập trung không đều. Đọc cùng Tỷ lệ đạt mục tiêu (AR) giai đoạn 10</v>
      </c>
      <c r="H24" s="166"/>
    </row>
    <row r="25" customFormat="false" ht="50.25" hidden="false" customHeight="true" outlineLevel="0" collapsed="false">
      <c r="A25" s="350" t="str">
        <f aca="false">HYPERLINK("#'CH6. Ngưỡng KPI'!A"&amp;MATCH("AR",'CH6. Ngưỡng KPI'!$A:$A,0),"AR")</f>
        <v>AR</v>
      </c>
      <c r="B25" s="166" t="str">
        <f aca="false">IFERROR(VLOOKUP("AR",'BC2. Chỉ số KPI'!$B:$H,2,FALSE()),"")</f>
        <v>Achievement Rate - Tỷ lệ đạt mục tiêu</v>
      </c>
      <c r="C25" s="166"/>
      <c r="D25" s="44" t="n">
        <f aca="false">IFERROR(VLOOKUP("AR",'BC2. Chỉ số KPI'!$B:$H,4,FALSE()),"")</f>
        <v>0.5</v>
      </c>
      <c r="E25" s="193" t="str">
        <f aca="false">IFERROR(VLOOKUP("AR",'BC2. Chỉ số KPI'!$B:$H,5,FALSE()),"")</f>
        <v>≥ 70%</v>
      </c>
      <c r="F25" s="44" t="str">
        <f aca="false">IFERROR(VLOOKUP("AR",'BC2. Chỉ số KPI'!$B:$H,6,FALSE()),"")</f>
        <v>DƯỚI NGƯỠNG</v>
      </c>
      <c r="G25" s="166" t="str">
        <f aca="false">IFERROR(VLOOKUP("AR",'BC2. Chỉ số KPI'!$B:$H,7,FALSE()),"")</f>
        <v>Chỉ số quan trọng nhất phản ánh chất lượng đào tạo thực sự. Thấp ở một giảng viên cụ thể -&gt; vấn đề giảng dạy cá nhân. Thấp ở một khóa học -&gt; vấn đề chương trình. Thấp đồng loạt toàn trung tâm -&gt; vấn đề hệ thống</v>
      </c>
      <c r="H25" s="166"/>
    </row>
    <row r="26" customFormat="false" ht="50.25" hidden="false" customHeight="true" outlineLevel="0" collapsed="false">
      <c r="A26" s="350" t="str">
        <f aca="false">HYPERLINK("#'CH6. Ngưỡng KPI'!A"&amp;MATCH("WRR",'CH6. Ngưỡng KPI'!$A:$A,0),"WRR")</f>
        <v>WRR</v>
      </c>
      <c r="B26" s="166" t="str">
        <f aca="false">IFERROR(VLOOKUP("WRR",'BC2. Chỉ số KPI'!$B:$H,2,FALSE()),"")</f>
        <v>WOW Recommend Rate - Đề xuất WOW phù hợp</v>
      </c>
      <c r="C26" s="166"/>
      <c r="D26" s="44" t="n">
        <f aca="false">IFERROR(VLOOKUP("WRR",'BC2. Chỉ số KPI'!$B:$H,4,FALSE()),"")</f>
        <v>0</v>
      </c>
      <c r="E26" s="193" t="str">
        <f aca="false">IFERROR(VLOOKUP("WRR",'BC2. Chỉ số KPI'!$B:$H,5,FALSE()),"")</f>
        <v>≥ 70%</v>
      </c>
      <c r="F26" s="44" t="str">
        <f aca="false">IFERROR(VLOOKUP("WRR",'BC2. Chỉ số KPI'!$B:$H,6,FALSE()),"")</f>
        <v>DƯỚI NGƯỠNG</v>
      </c>
      <c r="G26" s="166" t="str">
        <f aca="false">IFERROR(VLOOKUP("WRR",'BC2. Chỉ số KPI'!$B:$H,7,FALSE()),"")</f>
        <v>Giảng viên đề xuất WOW đúng học viên, đúng kỹ năng, đúng thời điểm -&gt; WOR cao. Đề xuất tràn lan hoặc không có căn cứ -&gt; WOR thấp và lãng phí quota</v>
      </c>
      <c r="H26" s="166"/>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0">
    <mergeCell ref="A1:H1"/>
    <mergeCell ref="A2:H2"/>
    <mergeCell ref="A4:B4"/>
    <mergeCell ref="C4:D4"/>
    <mergeCell ref="E4:F4"/>
    <mergeCell ref="G4:H4"/>
    <mergeCell ref="A5:B5"/>
    <mergeCell ref="C5:D5"/>
    <mergeCell ref="E5:F5"/>
    <mergeCell ref="G5:H5"/>
    <mergeCell ref="A6:B6"/>
    <mergeCell ref="C6:D6"/>
    <mergeCell ref="E6:F6"/>
    <mergeCell ref="G6:H6"/>
    <mergeCell ref="A8:H8"/>
    <mergeCell ref="A19:H19"/>
    <mergeCell ref="B20:C20"/>
    <mergeCell ref="G20:H20"/>
    <mergeCell ref="B21:C21"/>
    <mergeCell ref="G21:H21"/>
    <mergeCell ref="B22:C22"/>
    <mergeCell ref="G22:H22"/>
    <mergeCell ref="B23:C23"/>
    <mergeCell ref="G23:H23"/>
    <mergeCell ref="B24:C24"/>
    <mergeCell ref="G24:H24"/>
    <mergeCell ref="B25:C25"/>
    <mergeCell ref="G25:H25"/>
    <mergeCell ref="B26:C26"/>
    <mergeCell ref="G26:H26"/>
  </mergeCells>
  <dataValidations count="1">
    <dataValidation allowBlank="true" errorStyle="stop" operator="between" showDropDown="false" showErrorMessage="false" showInputMessage="false" sqref="H7" type="list">
      <formula1>'DL01. Nhân viên'!$A$4:$A$60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770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B9" activeCellId="0" sqref="B9"/>
    </sheetView>
  </sheetViews>
  <sheetFormatPr defaultColWidth="14.43359375" defaultRowHeight="15" zeroHeight="false" outlineLevelRow="0" outlineLevelCol="0"/>
  <cols>
    <col collapsed="false" customWidth="true" hidden="false" outlineLevel="0" max="8" min="1" style="1" width="30.14"/>
    <col collapsed="false" customWidth="true" hidden="false" outlineLevel="0" max="26" min="9" style="1" width="8.71"/>
  </cols>
  <sheetData>
    <row r="1" customFormat="false" ht="31.5" hidden="false" customHeight="true" outlineLevel="0" collapsed="false">
      <c r="A1" s="295" t="s">
        <v>4059</v>
      </c>
      <c r="B1" s="295"/>
      <c r="C1" s="295"/>
      <c r="D1" s="295"/>
      <c r="E1" s="295"/>
      <c r="F1" s="295"/>
      <c r="G1" s="295"/>
      <c r="H1" s="295"/>
      <c r="I1" s="4"/>
      <c r="J1" s="4"/>
      <c r="K1" s="4"/>
      <c r="L1" s="4"/>
      <c r="M1" s="4"/>
      <c r="N1" s="4"/>
      <c r="O1" s="4"/>
      <c r="P1" s="4"/>
      <c r="Q1" s="4"/>
      <c r="R1" s="4"/>
      <c r="S1" s="4"/>
      <c r="T1" s="4"/>
      <c r="U1" s="4"/>
      <c r="V1" s="4"/>
      <c r="W1" s="4"/>
      <c r="X1" s="4"/>
      <c r="Y1" s="4"/>
      <c r="Z1" s="4"/>
    </row>
    <row r="2" customFormat="false" ht="24" hidden="false" customHeight="true" outlineLevel="0" collapsed="false">
      <c r="A2" s="3" t="s">
        <v>4060</v>
      </c>
      <c r="B2" s="3"/>
      <c r="C2" s="3"/>
      <c r="D2" s="3"/>
      <c r="E2" s="3"/>
      <c r="F2" s="3"/>
      <c r="G2" s="3"/>
      <c r="H2" s="3"/>
      <c r="I2" s="4"/>
      <c r="J2" s="4"/>
      <c r="K2" s="4"/>
      <c r="L2" s="4"/>
      <c r="M2" s="4"/>
      <c r="N2" s="4"/>
      <c r="O2" s="4"/>
      <c r="P2" s="4"/>
      <c r="Q2" s="4"/>
      <c r="R2" s="4"/>
      <c r="S2" s="4"/>
      <c r="T2" s="4"/>
      <c r="U2" s="4"/>
      <c r="V2" s="4"/>
      <c r="W2" s="4"/>
      <c r="X2" s="4"/>
      <c r="Y2" s="4"/>
      <c r="Z2" s="4"/>
    </row>
    <row r="3" customFormat="false" ht="15" hidden="false" customHeight="true" outlineLevel="0" collapsed="false">
      <c r="A3" s="4"/>
      <c r="B3" s="4"/>
      <c r="C3" s="4"/>
      <c r="D3" s="4"/>
      <c r="E3" s="4"/>
      <c r="F3" s="4"/>
      <c r="G3" s="4"/>
      <c r="H3" s="4"/>
      <c r="I3" s="4"/>
      <c r="J3" s="4"/>
      <c r="K3" s="4"/>
      <c r="L3" s="4"/>
      <c r="M3" s="4"/>
      <c r="N3" s="4"/>
      <c r="O3" s="4"/>
      <c r="P3" s="4"/>
      <c r="Q3" s="4"/>
      <c r="R3" s="4"/>
      <c r="S3" s="4"/>
      <c r="T3" s="4"/>
      <c r="U3" s="4"/>
      <c r="V3" s="4"/>
      <c r="W3" s="4"/>
      <c r="X3" s="4"/>
      <c r="Y3" s="4"/>
      <c r="Z3" s="4"/>
    </row>
    <row r="4" customFormat="false" ht="21.75" hidden="false" customHeight="true" outlineLevel="0" collapsed="false">
      <c r="A4" s="16" t="s">
        <v>4061</v>
      </c>
      <c r="B4" s="16"/>
      <c r="C4" s="18" t="s">
        <v>12</v>
      </c>
      <c r="D4" s="18"/>
      <c r="E4" s="9" t="s">
        <v>4062</v>
      </c>
      <c r="F4" s="9"/>
      <c r="G4" s="17" t="s">
        <v>4063</v>
      </c>
      <c r="H4" s="17"/>
      <c r="I4" s="4"/>
      <c r="J4" s="4"/>
      <c r="K4" s="4"/>
      <c r="L4" s="4"/>
      <c r="M4" s="4"/>
      <c r="N4" s="4"/>
      <c r="O4" s="4"/>
      <c r="P4" s="4"/>
      <c r="Q4" s="4"/>
      <c r="R4" s="4"/>
      <c r="S4" s="4"/>
      <c r="T4" s="4"/>
      <c r="U4" s="4"/>
      <c r="V4" s="4"/>
      <c r="W4" s="4"/>
      <c r="X4" s="4"/>
      <c r="Y4" s="4"/>
      <c r="Z4" s="4"/>
    </row>
    <row r="5" customFormat="false" ht="39.75" hidden="false" customHeight="true" outlineLevel="0" collapsed="false">
      <c r="A5" s="317" t="n">
        <f aca="false">COUNTIF('DL08. Xếp lớp &amp; Nhập học'!K4:K500,"not_started*")+COUNTIF('DL08. Xếp lớp &amp; Nhập học'!K4:K500,"in_progress*")</f>
        <v>2</v>
      </c>
      <c r="B5" s="317"/>
      <c r="C5" s="317" t="n">
        <f aca="false">COUNTIF('DL09. Học viên'!R4:R500,"at_risk*")+COUNTIF('DL09. Học viên'!R4:R500,"off_track*")+COUNTIF('DL09. Học viên'!S4:S500,"at_risk*")+COUNTIF('DL09. Học viên'!S4:S500,"off_track*")</f>
        <v>4</v>
      </c>
      <c r="D5" s="317"/>
      <c r="E5" s="317" t="n">
        <f aca="false">COUNTIF('DL16. Phản hồi'!J4:J500,"new*")</f>
        <v>2</v>
      </c>
      <c r="F5" s="317"/>
      <c r="G5" s="317" t="n">
        <f aca="false">COUNTIF('DL17. Khiếu nại'!J4:J500,"new*")+COUNTIF('DL17. Khiếu nại'!J4:J500,"assigned*")+COUNTIF('DL17. Khiếu nại'!J4:J500,"in_progress*")</f>
        <v>4</v>
      </c>
      <c r="H5" s="317"/>
      <c r="I5" s="4"/>
      <c r="J5" s="4"/>
      <c r="K5" s="4"/>
      <c r="L5" s="4"/>
      <c r="M5" s="4"/>
      <c r="N5" s="4"/>
      <c r="O5" s="4"/>
      <c r="P5" s="4"/>
      <c r="Q5" s="4"/>
      <c r="R5" s="4"/>
      <c r="S5" s="4"/>
      <c r="T5" s="4"/>
      <c r="U5" s="4"/>
      <c r="V5" s="4"/>
      <c r="W5" s="4"/>
      <c r="X5" s="4"/>
      <c r="Y5" s="4"/>
      <c r="Z5" s="4"/>
    </row>
    <row r="6" customFormat="false" ht="18" hidden="false" customHeight="true" outlineLevel="0" collapsed="false">
      <c r="A6" s="13" t="str">
        <f aca="false">HYPERLINK("#'CH2. Tham số &amp; Quy tắc'!A"&amp;MATCH("slaOBT_hours",'CH2. Tham số &amp; Quy tắc'!$A:$A,0),"SLA: "&amp;slaOBT_hours&amp;"h")</f>
        <v>SLA: 72h</v>
      </c>
      <c r="B6" s="13"/>
      <c r="C6" s="12" t="s">
        <v>4064</v>
      </c>
      <c r="D6" s="12"/>
      <c r="E6" s="13" t="str">
        <f aca="false">HYPERLINK("#'CH2. Tham số &amp; Quy tắc'!A"&amp;MATCH("slaFB_classify_hours",'CH2. Tham số &amp; Quy tắc'!$A:$A,0),"SLA: "&amp;slaFB_classify_hours&amp;"h")</f>
        <v>SLA: 24h</v>
      </c>
      <c r="F6" s="13"/>
      <c r="G6" s="13" t="str">
        <f aca="false">HYPERLINK("#'CH2. Tham số &amp; Quy tắc'!A"&amp;MATCH("slaKN_assignment_hours",'CH2. Tham số &amp; Quy tắc'!$A:$A,0),"SLA phân công: "&amp;slaKN_assignment_hours&amp;"h")</f>
        <v>SLA phân công: 2h</v>
      </c>
      <c r="H6" s="13"/>
      <c r="I6" s="4"/>
      <c r="J6" s="4"/>
      <c r="K6" s="4"/>
      <c r="L6" s="4"/>
      <c r="M6" s="4"/>
      <c r="N6" s="4"/>
      <c r="O6" s="4"/>
      <c r="P6" s="4"/>
      <c r="Q6" s="4"/>
      <c r="R6" s="4"/>
      <c r="S6" s="4"/>
      <c r="T6" s="4"/>
      <c r="U6" s="4"/>
      <c r="V6" s="4"/>
      <c r="W6" s="4"/>
      <c r="X6" s="4"/>
      <c r="Y6" s="4"/>
      <c r="Z6" s="4"/>
    </row>
    <row r="7" customFormat="false" ht="15" hidden="false" customHeight="true" outlineLevel="0" collapsed="false">
      <c r="A7" s="4"/>
      <c r="B7" s="4"/>
      <c r="C7" s="4"/>
      <c r="D7" s="4"/>
      <c r="E7" s="4"/>
      <c r="F7" s="4"/>
      <c r="G7" s="4"/>
      <c r="H7" s="4"/>
      <c r="I7" s="4"/>
      <c r="J7" s="4"/>
      <c r="K7" s="4"/>
      <c r="L7" s="4"/>
      <c r="M7" s="4"/>
      <c r="N7" s="4"/>
      <c r="O7" s="4"/>
      <c r="P7" s="4"/>
      <c r="Q7" s="4"/>
      <c r="R7" s="4"/>
      <c r="S7" s="4"/>
      <c r="T7" s="4"/>
      <c r="U7" s="4"/>
      <c r="V7" s="4"/>
      <c r="W7" s="4"/>
      <c r="X7" s="4"/>
      <c r="Y7" s="4"/>
      <c r="Z7" s="4"/>
    </row>
    <row r="8" customFormat="false" ht="30" hidden="false" customHeight="true" outlineLevel="0" collapsed="false">
      <c r="A8" s="354" t="s">
        <v>4065</v>
      </c>
      <c r="B8" s="354"/>
      <c r="C8" s="354"/>
      <c r="D8" s="354"/>
      <c r="E8" s="354"/>
      <c r="F8" s="354"/>
      <c r="G8" s="354"/>
      <c r="H8" s="354"/>
      <c r="I8" s="4"/>
      <c r="J8" s="4"/>
      <c r="K8" s="4"/>
      <c r="L8" s="4"/>
      <c r="M8" s="4"/>
      <c r="N8" s="4"/>
      <c r="O8" s="4"/>
      <c r="P8" s="4"/>
      <c r="Q8" s="4"/>
      <c r="R8" s="4"/>
      <c r="S8" s="4"/>
      <c r="T8" s="4"/>
      <c r="U8" s="4"/>
      <c r="V8" s="4"/>
      <c r="W8" s="4"/>
      <c r="X8" s="4"/>
      <c r="Y8" s="4"/>
      <c r="Z8" s="4"/>
    </row>
    <row r="9" customFormat="false" ht="21.75" hidden="false" customHeight="true" outlineLevel="0" collapsed="false">
      <c r="A9" s="320" t="s">
        <v>4066</v>
      </c>
      <c r="B9" s="320" t="s">
        <v>2017</v>
      </c>
      <c r="C9" s="320" t="s">
        <v>3775</v>
      </c>
      <c r="D9" s="320" t="s">
        <v>3039</v>
      </c>
      <c r="E9" s="320" t="s">
        <v>4067</v>
      </c>
      <c r="F9" s="320" t="s">
        <v>2035</v>
      </c>
      <c r="G9" s="320" t="s">
        <v>4068</v>
      </c>
      <c r="H9" s="320" t="s">
        <v>2503</v>
      </c>
      <c r="I9" s="4"/>
      <c r="J9" s="4"/>
      <c r="K9" s="4"/>
      <c r="L9" s="4"/>
      <c r="M9" s="4"/>
      <c r="N9" s="4"/>
      <c r="O9" s="4"/>
      <c r="P9" s="4"/>
      <c r="Q9" s="4"/>
      <c r="R9" s="4"/>
      <c r="S9" s="4"/>
      <c r="T9" s="4"/>
      <c r="U9" s="4"/>
      <c r="V9" s="4"/>
      <c r="W9" s="4"/>
      <c r="X9" s="4"/>
      <c r="Y9" s="4"/>
      <c r="Z9" s="4"/>
    </row>
    <row r="10" customFormat="false" ht="27.75" hidden="false" customHeight="true" outlineLevel="0" collapsed="false">
      <c r="A10" s="21" t="str">
        <f aca="false" t="array" ref="A10:A10">IFERROR(IF(INDEX('DL08. Xếp lớp &amp; Nhập học'!$A$4:$A$500,SMALL(IF((ISNUMBER(SEARCH("not_started",'DL08. Xếp lớp &amp; Nhập học'!$K$4:$K$500))+ISNUMBER(SEARCH("in_progress",'DL08. Xếp lớp &amp; Nhập học'!$K$4:$K$500))&gt;0)*('DL08. Xếp lớp &amp; Nhập học'!$A$4:$A$500&lt;&gt;""),ROW('DL08. Xếp lớp &amp; Nhập học'!$A$4:$A$500)-3),ROW()-9))="","",INDEX('DL08. Xếp lớp &amp; Nhập học'!$A$4:$A$500,SMALL(IF((ISNUMBER(SEARCH("not_started",'DL08. Xếp lớp &amp; Nhập học'!$K$4:$K$500))+ISNUMBER(SEARCH("in_progress",'DL08. Xếp lớp &amp; Nhập học'!$K$4:$K$500))&gt;0)*('DL08. Xếp lớp &amp; Nhập học'!$A$4:$A$500&lt;&gt;""),ROW('DL08. Xếp lớp &amp; Nhập học'!$A$4:$A$500)-3),ROW()-9))),"")</f>
        <v>OB-006</v>
      </c>
      <c r="B10" s="80" t="str">
        <f aca="false" t="array" ref="B10:B10">IFERROR(IF(INDEX('DL08. Xếp lớp &amp; Nhập học'!$C$4:$C$500,SMALL(IF((ISNUMBER(SEARCH("not_started",'DL08. Xếp lớp &amp; Nhập học'!$K$4:$K$500))+ISNUMBER(SEARCH("in_progress",'DL08. Xếp lớp &amp; Nhập học'!$K$4:$K$500))&gt;0)*('DL08. Xếp lớp &amp; Nhập học'!$A$4:$A$500&lt;&gt;""),ROW('DL08. Xếp lớp &amp; Nhập học'!$A$4:$A$500)-3),ROW()-9))="","",INDEX('DL08. Xếp lớp &amp; Nhập học'!$C$4:$C$500,SMALL(IF((ISNUMBER(SEARCH("not_started",'DL08. Xếp lớp &amp; Nhập học'!$K$4:$K$500))+ISNUMBER(SEARCH("in_progress",'DL08. Xếp lớp &amp; Nhập học'!$K$4:$K$500))&gt;0)*('DL08. Xếp lớp &amp; Nhập học'!$A$4:$A$500&lt;&gt;""),ROW('DL08. Xếp lớp &amp; Nhập học'!$A$4:$A$500)-3),ROW()-9))),"")</f>
        <v>HV006</v>
      </c>
      <c r="C10" s="80" t="str">
        <f aca="false" t="array" ref="C10:C10">IFERROR(IF(INDEX('DL08. Xếp lớp &amp; Nhập học'!$H$4:$H$500,SMALL(IF((ISNUMBER(SEARCH("not_started",'DL08. Xếp lớp &amp; Nhập học'!$K$4:$K$500))+ISNUMBER(SEARCH("in_progress",'DL08. Xếp lớp &amp; Nhập học'!$K$4:$K$500))&gt;0)*('DL08. Xếp lớp &amp; Nhập học'!$A$4:$A$500&lt;&gt;""),ROW('DL08. Xếp lớp &amp; Nhập học'!$A$4:$A$500)-3),ROW()-9))="","",INDEX('DL08. Xếp lớp &amp; Nhập học'!$H$4:$H$500,SMALL(IF((ISNUMBER(SEARCH("not_started",'DL08. Xếp lớp &amp; Nhập học'!$K$4:$K$500))+ISNUMBER(SEARCH("in_progress",'DL08. Xếp lớp &amp; Nhập học'!$K$4:$K$500))&gt;0)*('DL08. Xếp lớp &amp; Nhập học'!$A$4:$A$500&lt;&gt;""),ROW('DL08. Xếp lớp &amp; Nhập học'!$A$4:$A$500)-3),ROW()-9))),"")</f>
        <v>LOP-FOUND-02</v>
      </c>
      <c r="D10" s="21" t="str">
        <f aca="false" t="array" ref="D10:D10">IFERROR(IF(INDEX('DL08. Xếp lớp &amp; Nhập học'!$D$4:$D$500,SMALL(IF((ISNUMBER(SEARCH("not_started",'DL08. Xếp lớp &amp; Nhập học'!$K$4:$K$500))+ISNUMBER(SEARCH("in_progress",'DL08. Xếp lớp &amp; Nhập học'!$K$4:$K$500))&gt;0)*('DL08. Xếp lớp &amp; Nhập học'!$A$4:$A$500&lt;&gt;""),ROW('DL08. Xếp lớp &amp; Nhập học'!$A$4:$A$500)-3),ROW()-9))="","",INDEX('DL08. Xếp lớp &amp; Nhập học'!$D$4:$D$500,SMALL(IF((ISNUMBER(SEARCH("not_started",'DL08. Xếp lớp &amp; Nhập học'!$K$4:$K$500))+ISNUMBER(SEARCH("in_progress",'DL08. Xếp lớp &amp; Nhập học'!$K$4:$K$500))&gt;0)*('DL08. Xếp lớp &amp; Nhập học'!$A$4:$A$500&lt;&gt;""),ROW('DL08. Xếp lớp &amp; Nhập học'!$A$4:$A$500)-3),ROW()-9))),"")</f>
        <v>assigned (Đã xếp)</v>
      </c>
      <c r="E10" s="21" t="str">
        <f aca="false" t="array" ref="E10:E10">IFERROR(IF(INDEX('DL08. Xếp lớp &amp; Nhập học'!$I$4:$I$500,SMALL(IF((ISNUMBER(SEARCH("not_started",'DL08. Xếp lớp &amp; Nhập học'!$K$4:$K$500))+ISNUMBER(SEARCH("in_progress",'DL08. Xếp lớp &amp; Nhập học'!$K$4:$K$500))&gt;0)*('DL08. Xếp lớp &amp; Nhập học'!$A$4:$A$500&lt;&gt;""),ROW('DL08. Xếp lớp &amp; Nhập học'!$A$4:$A$500)-3),ROW()-9))="","",INDEX('DL08. Xếp lớp &amp; Nhập học'!$I$4:$I$500,SMALL(IF((ISNUMBER(SEARCH("not_started",'DL08. Xếp lớp &amp; Nhập học'!$K$4:$K$500))+ISNUMBER(SEARCH("in_progress",'DL08. Xếp lớp &amp; Nhập học'!$K$4:$K$500))&gt;0)*('DL08. Xếp lớp &amp; Nhập học'!$A$4:$A$500&lt;&gt;""),ROW('DL08. Xếp lớp &amp; Nhập học'!$A$4:$A$500)-3),ROW()-9))),"")</f>
        <v>pending (Chờ phản hồi)</v>
      </c>
      <c r="F10" s="21" t="str">
        <f aca="false" t="array" ref="F10:F10">IFERROR(IF(INDEX('DL08. Xếp lớp &amp; Nhập học'!$K$4:$K$500,SMALL(IF((ISNUMBER(SEARCH("not_started",'DL08. Xếp lớp &amp; Nhập học'!$K$4:$K$500))+ISNUMBER(SEARCH("in_progress",'DL08. Xếp lớp &amp; Nhập học'!$K$4:$K$500))&gt;0)*('DL08. Xếp lớp &amp; Nhập học'!$A$4:$A$500&lt;&gt;""),ROW('DL08. Xếp lớp &amp; Nhập học'!$A$4:$A$500)-3),ROW()-9))="","",INDEX('DL08. Xếp lớp &amp; Nhập học'!$K$4:$K$500,SMALL(IF((ISNUMBER(SEARCH("not_started",'DL08. Xếp lớp &amp; Nhập học'!$K$4:$K$500))+ISNUMBER(SEARCH("in_progress",'DL08. Xếp lớp &amp; Nhập học'!$K$4:$K$500))&gt;0)*('DL08. Xếp lớp &amp; Nhập học'!$A$4:$A$500&lt;&gt;""),ROW('DL08. Xếp lớp &amp; Nhập học'!$A$4:$A$500)-3),ROW()-9))),"")</f>
        <v>in_progress (Đang thực hiện)</v>
      </c>
      <c r="G10" s="185" t="n">
        <f aca="false" t="array" ref="G10:G10">IFERROR(IF(INDEX('DL08. Xếp lớp &amp; Nhập học'!$G$4:$G$500,SMALL(IF((ISNUMBER(SEARCH("not_started",'DL08. Xếp lớp &amp; Nhập học'!$K$4:$K$500))+ISNUMBER(SEARCH("in_progress",'DL08. Xếp lớp &amp; Nhập học'!$K$4:$K$500))&gt;0)*('DL08. Xếp lớp &amp; Nhập học'!$A$4:$A$500&lt;&gt;""),ROW('DL08. Xếp lớp &amp; Nhập học'!$A$4:$A$500)-3),ROW()-9))="","",INDEX('DL08. Xếp lớp &amp; Nhập học'!$G$4:$G$500,SMALL(IF((ISNUMBER(SEARCH("not_started",'DL08. Xếp lớp &amp; Nhập học'!$K$4:$K$500))+ISNUMBER(SEARCH("in_progress",'DL08. Xếp lớp &amp; Nhập học'!$K$4:$K$500))&gt;0)*('DL08. Xếp lớp &amp; Nhập học'!$A$4:$A$500&lt;&gt;""),ROW('DL08. Xếp lớp &amp; Nhập học'!$A$4:$A$500)-3),ROW()-9))),"")</f>
        <v>46203.375</v>
      </c>
      <c r="H10" s="322" t="str">
        <f aca="false" t="array" ref="H10:H10">IFERROR(IF(INDEX('DL08. Xếp lớp &amp; Nhập học'!$Q$4:$Q$500,SMALL(IF((ISNUMBER(SEARCH("not_started",'DL08. Xếp lớp &amp; Nhập học'!$K$4:$K$500))+ISNUMBER(SEARCH("in_progress",'DL08. Xếp lớp &amp; Nhập học'!$K$4:$K$500))&gt;0)*('DL08. Xếp lớp &amp; Nhập học'!$A$4:$A$500&lt;&gt;""),ROW('DL08. Xếp lớp &amp; Nhập học'!$A$4:$A$500)-3),ROW()-9))="","",INDEX('DL08. Xếp lớp &amp; Nhập học'!$Q$4:$Q$500,SMALL(IF((ISNUMBER(SEARCH("not_started",'DL08. Xếp lớp &amp; Nhập học'!$K$4:$K$500))+ISNUMBER(SEARCH("in_progress",'DL08. Xếp lớp &amp; Nhập học'!$K$4:$K$500))&gt;0)*('DL08. Xếp lớp &amp; Nhập học'!$A$4:$A$500&lt;&gt;""),ROW('DL08. Xếp lớp &amp; Nhập học'!$A$4:$A$500)-3),ROW()-9))),"")</f>
        <v>Đã xếp lớp nhưng quá 24 giờ (cấu hình slaClassInfoZalo_hours) chưa gửi thông tin lớp. Việc cần làm: gửi thông tin lớp qua Zalo cho HV ngay.</v>
      </c>
      <c r="I10" s="4"/>
      <c r="J10" s="4"/>
      <c r="K10" s="4"/>
      <c r="L10" s="4"/>
      <c r="M10" s="4"/>
      <c r="N10" s="4"/>
      <c r="O10" s="4"/>
      <c r="P10" s="4"/>
      <c r="Q10" s="4"/>
      <c r="R10" s="4"/>
      <c r="S10" s="4"/>
      <c r="T10" s="4"/>
      <c r="U10" s="4"/>
      <c r="V10" s="4"/>
      <c r="W10" s="4"/>
      <c r="X10" s="4"/>
      <c r="Y10" s="4"/>
      <c r="Z10" s="4"/>
    </row>
    <row r="11" customFormat="false" ht="27.75" hidden="false" customHeight="true" outlineLevel="0" collapsed="false">
      <c r="A11" s="21" t="str">
        <f aca="false" t="array" ref="A11:A11">IFERROR(IF(INDEX('DL08. Xếp lớp &amp; Nhập học'!$A$4:$A$500,SMALL(IF((ISNUMBER(SEARCH("not_started",'DL08. Xếp lớp &amp; Nhập học'!$K$4:$K$500))+ISNUMBER(SEARCH("in_progress",'DL08. Xếp lớp &amp; Nhập học'!$K$4:$K$500))&gt;0)*('DL08. Xếp lớp &amp; Nhập học'!$A$4:$A$500&lt;&gt;""),ROW('DL08. Xếp lớp &amp; Nhập học'!$A$4:$A$500)-3),ROW()-9))="","",INDEX('DL08. Xếp lớp &amp; Nhập học'!$A$4:$A$500,SMALL(IF((ISNUMBER(SEARCH("not_started",'DL08. Xếp lớp &amp; Nhập học'!$K$4:$K$500))+ISNUMBER(SEARCH("in_progress",'DL08. Xếp lớp &amp; Nhập học'!$K$4:$K$500))&gt;0)*('DL08. Xếp lớp &amp; Nhập học'!$A$4:$A$500&lt;&gt;""),ROW('DL08. Xếp lớp &amp; Nhập học'!$A$4:$A$500)-3),ROW()-9))),"")</f>
        <v>OB-007</v>
      </c>
      <c r="B11" s="80" t="str">
        <f aca="false" t="array" ref="B11:B11">IFERROR(IF(INDEX('DL08. Xếp lớp &amp; Nhập học'!$C$4:$C$500,SMALL(IF((ISNUMBER(SEARCH("not_started",'DL08. Xếp lớp &amp; Nhập học'!$K$4:$K$500))+ISNUMBER(SEARCH("in_progress",'DL08. Xếp lớp &amp; Nhập học'!$K$4:$K$500))&gt;0)*('DL08. Xếp lớp &amp; Nhập học'!$A$4:$A$500&lt;&gt;""),ROW('DL08. Xếp lớp &amp; Nhập học'!$A$4:$A$500)-3),ROW()-9))="","",INDEX('DL08. Xếp lớp &amp; Nhập học'!$C$4:$C$500,SMALL(IF((ISNUMBER(SEARCH("not_started",'DL08. Xếp lớp &amp; Nhập học'!$K$4:$K$500))+ISNUMBER(SEARCH("in_progress",'DL08. Xếp lớp &amp; Nhập học'!$K$4:$K$500))&gt;0)*('DL08. Xếp lớp &amp; Nhập học'!$A$4:$A$500&lt;&gt;""),ROW('DL08. Xếp lớp &amp; Nhập học'!$A$4:$A$500)-3),ROW()-9))),"")</f>
        <v>HV008</v>
      </c>
      <c r="C11" s="80" t="str">
        <f aca="false" t="array" ref="C11:C11">IFERROR(IF(INDEX('DL08. Xếp lớp &amp; Nhập học'!$H$4:$H$500,SMALL(IF((ISNUMBER(SEARCH("not_started",'DL08. Xếp lớp &amp; Nhập học'!$K$4:$K$500))+ISNUMBER(SEARCH("in_progress",'DL08. Xếp lớp &amp; Nhập học'!$K$4:$K$500))&gt;0)*('DL08. Xếp lớp &amp; Nhập học'!$A$4:$A$500&lt;&gt;""),ROW('DL08. Xếp lớp &amp; Nhập học'!$A$4:$A$500)-3),ROW()-9))="","",INDEX('DL08. Xếp lớp &amp; Nhập học'!$H$4:$H$500,SMALL(IF((ISNUMBER(SEARCH("not_started",'DL08. Xếp lớp &amp; Nhập học'!$K$4:$K$500))+ISNUMBER(SEARCH("in_progress",'DL08. Xếp lớp &amp; Nhập học'!$K$4:$K$500))&gt;0)*('DL08. Xếp lớp &amp; Nhập học'!$A$4:$A$500&lt;&gt;""),ROW('DL08. Xếp lớp &amp; Nhập học'!$A$4:$A$500)-3),ROW()-9))),"")</f>
        <v>LOP-IELTS-6.5-03</v>
      </c>
      <c r="D11" s="21" t="str">
        <f aca="false" t="array" ref="D11:D11">IFERROR(IF(INDEX('DL08. Xếp lớp &amp; Nhập học'!$D$4:$D$500,SMALL(IF((ISNUMBER(SEARCH("not_started",'DL08. Xếp lớp &amp; Nhập học'!$K$4:$K$500))+ISNUMBER(SEARCH("in_progress",'DL08. Xếp lớp &amp; Nhập học'!$K$4:$K$500))&gt;0)*('DL08. Xếp lớp &amp; Nhập học'!$A$4:$A$500&lt;&gt;""),ROW('DL08. Xếp lớp &amp; Nhập học'!$A$4:$A$500)-3),ROW()-9))="","",INDEX('DL08. Xếp lớp &amp; Nhập học'!$D$4:$D$500,SMALL(IF((ISNUMBER(SEARCH("not_started",'DL08. Xếp lớp &amp; Nhập học'!$K$4:$K$500))+ISNUMBER(SEARCH("in_progress",'DL08. Xếp lớp &amp; Nhập học'!$K$4:$K$500))&gt;0)*('DL08. Xếp lớp &amp; Nhập học'!$A$4:$A$500&lt;&gt;""),ROW('DL08. Xếp lớp &amp; Nhập học'!$A$4:$A$500)-3),ROW()-9))),"")</f>
        <v>assigned (Đã xếp)</v>
      </c>
      <c r="E11" s="21" t="str">
        <f aca="false" t="array" ref="E11:E11">IFERROR(IF(INDEX('DL08. Xếp lớp &amp; Nhập học'!$I$4:$I$500,SMALL(IF((ISNUMBER(SEARCH("not_started",'DL08. Xếp lớp &amp; Nhập học'!$K$4:$K$500))+ISNUMBER(SEARCH("in_progress",'DL08. Xếp lớp &amp; Nhập học'!$K$4:$K$500))&gt;0)*('DL08. Xếp lớp &amp; Nhập học'!$A$4:$A$500&lt;&gt;""),ROW('DL08. Xếp lớp &amp; Nhập học'!$A$4:$A$500)-3),ROW()-9))="","",INDEX('DL08. Xếp lớp &amp; Nhập học'!$I$4:$I$500,SMALL(IF((ISNUMBER(SEARCH("not_started",'DL08. Xếp lớp &amp; Nhập học'!$K$4:$K$500))+ISNUMBER(SEARCH("in_progress",'DL08. Xếp lớp &amp; Nhập học'!$K$4:$K$500))&gt;0)*('DL08. Xếp lớp &amp; Nhập học'!$A$4:$A$500&lt;&gt;""),ROW('DL08. Xếp lớp &amp; Nhập học'!$A$4:$A$500)-3),ROW()-9))),"")</f>
        <v>pending (Chờ phản hồi)</v>
      </c>
      <c r="F11" s="21" t="str">
        <f aca="false" t="array" ref="F11:F11">IFERROR(IF(INDEX('DL08. Xếp lớp &amp; Nhập học'!$K$4:$K$500,SMALL(IF((ISNUMBER(SEARCH("not_started",'DL08. Xếp lớp &amp; Nhập học'!$K$4:$K$500))+ISNUMBER(SEARCH("in_progress",'DL08. Xếp lớp &amp; Nhập học'!$K$4:$K$500))&gt;0)*('DL08. Xếp lớp &amp; Nhập học'!$A$4:$A$500&lt;&gt;""),ROW('DL08. Xếp lớp &amp; Nhập học'!$A$4:$A$500)-3),ROW()-9))="","",INDEX('DL08. Xếp lớp &amp; Nhập học'!$K$4:$K$500,SMALL(IF((ISNUMBER(SEARCH("not_started",'DL08. Xếp lớp &amp; Nhập học'!$K$4:$K$500))+ISNUMBER(SEARCH("in_progress",'DL08. Xếp lớp &amp; Nhập học'!$K$4:$K$500))&gt;0)*('DL08. Xếp lớp &amp; Nhập học'!$A$4:$A$500&lt;&gt;""),ROW('DL08. Xếp lớp &amp; Nhập học'!$A$4:$A$500)-3),ROW()-9))),"")</f>
        <v>in_progress (Đang thực hiện)</v>
      </c>
      <c r="G11" s="185" t="n">
        <f aca="false" t="array" ref="G11:G11">IFERROR(IF(INDEX('DL08. Xếp lớp &amp; Nhập học'!$G$4:$G$500,SMALL(IF((ISNUMBER(SEARCH("not_started",'DL08. Xếp lớp &amp; Nhập học'!$K$4:$K$500))+ISNUMBER(SEARCH("in_progress",'DL08. Xếp lớp &amp; Nhập học'!$K$4:$K$500))&gt;0)*('DL08. Xếp lớp &amp; Nhập học'!$A$4:$A$500&lt;&gt;""),ROW('DL08. Xếp lớp &amp; Nhập học'!$A$4:$A$500)-3),ROW()-9))="","",INDEX('DL08. Xếp lớp &amp; Nhập học'!$G$4:$G$500,SMALL(IF((ISNUMBER(SEARCH("not_started",'DL08. Xếp lớp &amp; Nhập học'!$K$4:$K$500))+ISNUMBER(SEARCH("in_progress",'DL08. Xếp lớp &amp; Nhập học'!$K$4:$K$500))&gt;0)*('DL08. Xếp lớp &amp; Nhập học'!$A$4:$A$500&lt;&gt;""),ROW('DL08. Xếp lớp &amp; Nhập học'!$A$4:$A$500)-3),ROW()-9))),"")</f>
        <v>46204.375</v>
      </c>
      <c r="H11" s="322" t="str">
        <f aca="false" t="array" ref="H11:H11">IFERROR(IF(INDEX('DL08. Xếp lớp &amp; Nhập học'!$Q$4:$Q$500,SMALL(IF((ISNUMBER(SEARCH("not_started",'DL08. Xếp lớp &amp; Nhập học'!$K$4:$K$500))+ISNUMBER(SEARCH("in_progress",'DL08. Xếp lớp &amp; Nhập học'!$K$4:$K$500))&gt;0)*('DL08. Xếp lớp &amp; Nhập học'!$A$4:$A$500&lt;&gt;""),ROW('DL08. Xếp lớp &amp; Nhập học'!$A$4:$A$500)-3),ROW()-9))="","",INDEX('DL08. Xếp lớp &amp; Nhập học'!$Q$4:$Q$500,SMALL(IF((ISNUMBER(SEARCH("not_started",'DL08. Xếp lớp &amp; Nhập học'!$K$4:$K$500))+ISNUMBER(SEARCH("in_progress",'DL08. Xếp lớp &amp; Nhập học'!$K$4:$K$500))&gt;0)*('DL08. Xếp lớp &amp; Nhập học'!$A$4:$A$500&lt;&gt;""),ROW('DL08. Xếp lớp &amp; Nhập học'!$A$4:$A$500)-3),ROW()-9))),"")</f>
        <v>Đã xếp lớp nhưng quá 24 giờ (cấu hình slaClassInfoZalo_hours) chưa gửi thông tin lớp. Việc cần làm: gửi thông tin lớp qua Zalo cho HV ngay.</v>
      </c>
      <c r="I11" s="4"/>
      <c r="J11" s="4"/>
      <c r="K11" s="4"/>
      <c r="L11" s="4"/>
      <c r="M11" s="4"/>
      <c r="N11" s="4"/>
      <c r="O11" s="4"/>
      <c r="P11" s="4"/>
      <c r="Q11" s="4"/>
      <c r="R11" s="4"/>
      <c r="S11" s="4"/>
      <c r="T11" s="4"/>
      <c r="U11" s="4"/>
      <c r="V11" s="4"/>
      <c r="W11" s="4"/>
      <c r="X11" s="4"/>
      <c r="Y11" s="4"/>
      <c r="Z11" s="4"/>
    </row>
    <row r="12" customFormat="false" ht="27.75" hidden="false" customHeight="true" outlineLevel="0" collapsed="false">
      <c r="A12" s="21" t="str">
        <f aca="false" t="array" ref="A12:A12">IFERROR(IF(INDEX('DL08. Xếp lớp &amp; Nhập học'!$A$4:$A$500,SMALL(IF((ISNUMBER(SEARCH("not_started",'DL08. Xếp lớp &amp; Nhập học'!$K$4:$K$500))+ISNUMBER(SEARCH("in_progress",'DL08. Xếp lớp &amp; Nhập học'!$K$4:$K$500))&gt;0)*('DL08. Xếp lớp &amp; Nhập học'!$A$4:$A$500&lt;&gt;""),ROW('DL08. Xếp lớp &amp; Nhập học'!$A$4:$A$500)-3),ROW()-9))="","",INDEX('DL08. Xếp lớp &amp; Nhập học'!$A$4:$A$500,SMALL(IF((ISNUMBER(SEARCH("not_started",'DL08. Xếp lớp &amp; Nhập học'!$K$4:$K$500))+ISNUMBER(SEARCH("in_progress",'DL08. Xếp lớp &amp; Nhập học'!$K$4:$K$500))&gt;0)*('DL08. Xếp lớp &amp; Nhập học'!$A$4:$A$500&lt;&gt;""),ROW('DL08. Xếp lớp &amp; Nhập học'!$A$4:$A$500)-3),ROW()-9))),"")</f>
        <v/>
      </c>
      <c r="B12" s="21" t="str">
        <f aca="false" t="array" ref="B12:B12">IFERROR(IF(INDEX('DL08. Xếp lớp &amp; Nhập học'!$C$4:$C$500,SMALL(IF((ISNUMBER(SEARCH("not_started",'DL08. Xếp lớp &amp; Nhập học'!$K$4:$K$500))+ISNUMBER(SEARCH("in_progress",'DL08. Xếp lớp &amp; Nhập học'!$K$4:$K$500))&gt;0)*('DL08. Xếp lớp &amp; Nhập học'!$A$4:$A$500&lt;&gt;""),ROW('DL08. Xếp lớp &amp; Nhập học'!$A$4:$A$500)-3),ROW()-9))="","",INDEX('DL08. Xếp lớp &amp; Nhập học'!$C$4:$C$500,SMALL(IF((ISNUMBER(SEARCH("not_started",'DL08. Xếp lớp &amp; Nhập học'!$K$4:$K$500))+ISNUMBER(SEARCH("in_progress",'DL08. Xếp lớp &amp; Nhập học'!$K$4:$K$500))&gt;0)*('DL08. Xếp lớp &amp; Nhập học'!$A$4:$A$500&lt;&gt;""),ROW('DL08. Xếp lớp &amp; Nhập học'!$A$4:$A$500)-3),ROW()-9))),"")</f>
        <v/>
      </c>
      <c r="C12" s="21" t="str">
        <f aca="false" t="array" ref="C12:C12">IFERROR(IF(INDEX('DL08. Xếp lớp &amp; Nhập học'!$H$4:$H$500,SMALL(IF((ISNUMBER(SEARCH("not_started",'DL08. Xếp lớp &amp; Nhập học'!$K$4:$K$500))+ISNUMBER(SEARCH("in_progress",'DL08. Xếp lớp &amp; Nhập học'!$K$4:$K$500))&gt;0)*('DL08. Xếp lớp &amp; Nhập học'!$A$4:$A$500&lt;&gt;""),ROW('DL08. Xếp lớp &amp; Nhập học'!$A$4:$A$500)-3),ROW()-9))="","",INDEX('DL08. Xếp lớp &amp; Nhập học'!$H$4:$H$500,SMALL(IF((ISNUMBER(SEARCH("not_started",'DL08. Xếp lớp &amp; Nhập học'!$K$4:$K$500))+ISNUMBER(SEARCH("in_progress",'DL08. Xếp lớp &amp; Nhập học'!$K$4:$K$500))&gt;0)*('DL08. Xếp lớp &amp; Nhập học'!$A$4:$A$500&lt;&gt;""),ROW('DL08. Xếp lớp &amp; Nhập học'!$A$4:$A$500)-3),ROW()-9))),"")</f>
        <v/>
      </c>
      <c r="D12" s="21" t="str">
        <f aca="false" t="array" ref="D12:D12">IFERROR(IF(INDEX('DL08. Xếp lớp &amp; Nhập học'!$D$4:$D$500,SMALL(IF((ISNUMBER(SEARCH("not_started",'DL08. Xếp lớp &amp; Nhập học'!$K$4:$K$500))+ISNUMBER(SEARCH("in_progress",'DL08. Xếp lớp &amp; Nhập học'!$K$4:$K$500))&gt;0)*('DL08. Xếp lớp &amp; Nhập học'!$A$4:$A$500&lt;&gt;""),ROW('DL08. Xếp lớp &amp; Nhập học'!$A$4:$A$500)-3),ROW()-9))="","",INDEX('DL08. Xếp lớp &amp; Nhập học'!$D$4:$D$500,SMALL(IF((ISNUMBER(SEARCH("not_started",'DL08. Xếp lớp &amp; Nhập học'!$K$4:$K$500))+ISNUMBER(SEARCH("in_progress",'DL08. Xếp lớp &amp; Nhập học'!$K$4:$K$500))&gt;0)*('DL08. Xếp lớp &amp; Nhập học'!$A$4:$A$500&lt;&gt;""),ROW('DL08. Xếp lớp &amp; Nhập học'!$A$4:$A$500)-3),ROW()-9))),"")</f>
        <v/>
      </c>
      <c r="E12" s="21" t="str">
        <f aca="false" t="array" ref="E12:E12">IFERROR(IF(INDEX('DL08. Xếp lớp &amp; Nhập học'!$I$4:$I$500,SMALL(IF((ISNUMBER(SEARCH("not_started",'DL08. Xếp lớp &amp; Nhập học'!$K$4:$K$500))+ISNUMBER(SEARCH("in_progress",'DL08. Xếp lớp &amp; Nhập học'!$K$4:$K$500))&gt;0)*('DL08. Xếp lớp &amp; Nhập học'!$A$4:$A$500&lt;&gt;""),ROW('DL08. Xếp lớp &amp; Nhập học'!$A$4:$A$500)-3),ROW()-9))="","",INDEX('DL08. Xếp lớp &amp; Nhập học'!$I$4:$I$500,SMALL(IF((ISNUMBER(SEARCH("not_started",'DL08. Xếp lớp &amp; Nhập học'!$K$4:$K$500))+ISNUMBER(SEARCH("in_progress",'DL08. Xếp lớp &amp; Nhập học'!$K$4:$K$500))&gt;0)*('DL08. Xếp lớp &amp; Nhập học'!$A$4:$A$500&lt;&gt;""),ROW('DL08. Xếp lớp &amp; Nhập học'!$A$4:$A$500)-3),ROW()-9))),"")</f>
        <v/>
      </c>
      <c r="F12" s="21" t="str">
        <f aca="false" t="array" ref="F12:F12">IFERROR(IF(INDEX('DL08. Xếp lớp &amp; Nhập học'!$K$4:$K$500,SMALL(IF((ISNUMBER(SEARCH("not_started",'DL08. Xếp lớp &amp; Nhập học'!$K$4:$K$500))+ISNUMBER(SEARCH("in_progress",'DL08. Xếp lớp &amp; Nhập học'!$K$4:$K$500))&gt;0)*('DL08. Xếp lớp &amp; Nhập học'!$A$4:$A$500&lt;&gt;""),ROW('DL08. Xếp lớp &amp; Nhập học'!$A$4:$A$500)-3),ROW()-9))="","",INDEX('DL08. Xếp lớp &amp; Nhập học'!$K$4:$K$500,SMALL(IF((ISNUMBER(SEARCH("not_started",'DL08. Xếp lớp &amp; Nhập học'!$K$4:$K$500))+ISNUMBER(SEARCH("in_progress",'DL08. Xếp lớp &amp; Nhập học'!$K$4:$K$500))&gt;0)*('DL08. Xếp lớp &amp; Nhập học'!$A$4:$A$500&lt;&gt;""),ROW('DL08. Xếp lớp &amp; Nhập học'!$A$4:$A$500)-3),ROW()-9))),"")</f>
        <v/>
      </c>
      <c r="G12" s="185" t="str">
        <f aca="false" t="array" ref="G12:G12">IFERROR(IF(INDEX('DL08. Xếp lớp &amp; Nhập học'!$G$4:$G$500,SMALL(IF((ISNUMBER(SEARCH("not_started",'DL08. Xếp lớp &amp; Nhập học'!$K$4:$K$500))+ISNUMBER(SEARCH("in_progress",'DL08. Xếp lớp &amp; Nhập học'!$K$4:$K$500))&gt;0)*('DL08. Xếp lớp &amp; Nhập học'!$A$4:$A$500&lt;&gt;""),ROW('DL08. Xếp lớp &amp; Nhập học'!$A$4:$A$500)-3),ROW()-9))="","",INDEX('DL08. Xếp lớp &amp; Nhập học'!$G$4:$G$500,SMALL(IF((ISNUMBER(SEARCH("not_started",'DL08. Xếp lớp &amp; Nhập học'!$K$4:$K$500))+ISNUMBER(SEARCH("in_progress",'DL08. Xếp lớp &amp; Nhập học'!$K$4:$K$500))&gt;0)*('DL08. Xếp lớp &amp; Nhập học'!$A$4:$A$500&lt;&gt;""),ROW('DL08. Xếp lớp &amp; Nhập học'!$A$4:$A$500)-3),ROW()-9))),"")</f>
        <v/>
      </c>
      <c r="H12" s="322" t="str">
        <f aca="false" t="array" ref="H12:H12">IFERROR(IF(INDEX('DL08. Xếp lớp &amp; Nhập học'!$Q$4:$Q$500,SMALL(IF((ISNUMBER(SEARCH("not_started",'DL08. Xếp lớp &amp; Nhập học'!$K$4:$K$500))+ISNUMBER(SEARCH("in_progress",'DL08. Xếp lớp &amp; Nhập học'!$K$4:$K$500))&gt;0)*('DL08. Xếp lớp &amp; Nhập học'!$A$4:$A$500&lt;&gt;""),ROW('DL08. Xếp lớp &amp; Nhập học'!$A$4:$A$500)-3),ROW()-9))="","",INDEX('DL08. Xếp lớp &amp; Nhập học'!$Q$4:$Q$500,SMALL(IF((ISNUMBER(SEARCH("not_started",'DL08. Xếp lớp &amp; Nhập học'!$K$4:$K$500))+ISNUMBER(SEARCH("in_progress",'DL08. Xếp lớp &amp; Nhập học'!$K$4:$K$500))&gt;0)*('DL08. Xếp lớp &amp; Nhập học'!$A$4:$A$500&lt;&gt;""),ROW('DL08. Xếp lớp &amp; Nhập học'!$A$4:$A$500)-3),ROW()-9))),"")</f>
        <v/>
      </c>
      <c r="I12" s="4"/>
      <c r="J12" s="4"/>
      <c r="K12" s="4"/>
      <c r="L12" s="4"/>
      <c r="M12" s="4"/>
      <c r="N12" s="4"/>
      <c r="O12" s="4"/>
      <c r="P12" s="4"/>
      <c r="Q12" s="4"/>
      <c r="R12" s="4"/>
      <c r="S12" s="4"/>
      <c r="T12" s="4"/>
      <c r="U12" s="4"/>
      <c r="V12" s="4"/>
      <c r="W12" s="4"/>
      <c r="X12" s="4"/>
      <c r="Y12" s="4"/>
      <c r="Z12" s="4"/>
    </row>
    <row r="13" customFormat="false" ht="27.75" hidden="false" customHeight="true" outlineLevel="0" collapsed="false">
      <c r="A13" s="21" t="str">
        <f aca="false" t="array" ref="A13:A13">IFERROR(IF(INDEX('DL08. Xếp lớp &amp; Nhập học'!$A$4:$A$500,SMALL(IF((ISNUMBER(SEARCH("not_started",'DL08. Xếp lớp &amp; Nhập học'!$K$4:$K$500))+ISNUMBER(SEARCH("in_progress",'DL08. Xếp lớp &amp; Nhập học'!$K$4:$K$500))&gt;0)*('DL08. Xếp lớp &amp; Nhập học'!$A$4:$A$500&lt;&gt;""),ROW('DL08. Xếp lớp &amp; Nhập học'!$A$4:$A$500)-3),ROW()-9))="","",INDEX('DL08. Xếp lớp &amp; Nhập học'!$A$4:$A$500,SMALL(IF((ISNUMBER(SEARCH("not_started",'DL08. Xếp lớp &amp; Nhập học'!$K$4:$K$500))+ISNUMBER(SEARCH("in_progress",'DL08. Xếp lớp &amp; Nhập học'!$K$4:$K$500))&gt;0)*('DL08. Xếp lớp &amp; Nhập học'!$A$4:$A$500&lt;&gt;""),ROW('DL08. Xếp lớp &amp; Nhập học'!$A$4:$A$500)-3),ROW()-9))),"")</f>
        <v/>
      </c>
      <c r="B13" s="21" t="str">
        <f aca="false" t="array" ref="B13:B13">IFERROR(IF(INDEX('DL08. Xếp lớp &amp; Nhập học'!$C$4:$C$500,SMALL(IF((ISNUMBER(SEARCH("not_started",'DL08. Xếp lớp &amp; Nhập học'!$K$4:$K$500))+ISNUMBER(SEARCH("in_progress",'DL08. Xếp lớp &amp; Nhập học'!$K$4:$K$500))&gt;0)*('DL08. Xếp lớp &amp; Nhập học'!$A$4:$A$500&lt;&gt;""),ROW('DL08. Xếp lớp &amp; Nhập học'!$A$4:$A$500)-3),ROW()-9))="","",INDEX('DL08. Xếp lớp &amp; Nhập học'!$C$4:$C$500,SMALL(IF((ISNUMBER(SEARCH("not_started",'DL08. Xếp lớp &amp; Nhập học'!$K$4:$K$500))+ISNUMBER(SEARCH("in_progress",'DL08. Xếp lớp &amp; Nhập học'!$K$4:$K$500))&gt;0)*('DL08. Xếp lớp &amp; Nhập học'!$A$4:$A$500&lt;&gt;""),ROW('DL08. Xếp lớp &amp; Nhập học'!$A$4:$A$500)-3),ROW()-9))),"")</f>
        <v/>
      </c>
      <c r="C13" s="21" t="str">
        <f aca="false" t="array" ref="C13:C13">IFERROR(IF(INDEX('DL08. Xếp lớp &amp; Nhập học'!$H$4:$H$500,SMALL(IF((ISNUMBER(SEARCH("not_started",'DL08. Xếp lớp &amp; Nhập học'!$K$4:$K$500))+ISNUMBER(SEARCH("in_progress",'DL08. Xếp lớp &amp; Nhập học'!$K$4:$K$500))&gt;0)*('DL08. Xếp lớp &amp; Nhập học'!$A$4:$A$500&lt;&gt;""),ROW('DL08. Xếp lớp &amp; Nhập học'!$A$4:$A$500)-3),ROW()-9))="","",INDEX('DL08. Xếp lớp &amp; Nhập học'!$H$4:$H$500,SMALL(IF((ISNUMBER(SEARCH("not_started",'DL08. Xếp lớp &amp; Nhập học'!$K$4:$K$500))+ISNUMBER(SEARCH("in_progress",'DL08. Xếp lớp &amp; Nhập học'!$K$4:$K$500))&gt;0)*('DL08. Xếp lớp &amp; Nhập học'!$A$4:$A$500&lt;&gt;""),ROW('DL08. Xếp lớp &amp; Nhập học'!$A$4:$A$500)-3),ROW()-9))),"")</f>
        <v/>
      </c>
      <c r="D13" s="21" t="str">
        <f aca="false" t="array" ref="D13:D13">IFERROR(IF(INDEX('DL08. Xếp lớp &amp; Nhập học'!$D$4:$D$500,SMALL(IF((ISNUMBER(SEARCH("not_started",'DL08. Xếp lớp &amp; Nhập học'!$K$4:$K$500))+ISNUMBER(SEARCH("in_progress",'DL08. Xếp lớp &amp; Nhập học'!$K$4:$K$500))&gt;0)*('DL08. Xếp lớp &amp; Nhập học'!$A$4:$A$500&lt;&gt;""),ROW('DL08. Xếp lớp &amp; Nhập học'!$A$4:$A$500)-3),ROW()-9))="","",INDEX('DL08. Xếp lớp &amp; Nhập học'!$D$4:$D$500,SMALL(IF((ISNUMBER(SEARCH("not_started",'DL08. Xếp lớp &amp; Nhập học'!$K$4:$K$500))+ISNUMBER(SEARCH("in_progress",'DL08. Xếp lớp &amp; Nhập học'!$K$4:$K$500))&gt;0)*('DL08. Xếp lớp &amp; Nhập học'!$A$4:$A$500&lt;&gt;""),ROW('DL08. Xếp lớp &amp; Nhập học'!$A$4:$A$500)-3),ROW()-9))),"")</f>
        <v/>
      </c>
      <c r="E13" s="21" t="str">
        <f aca="false" t="array" ref="E13:E13">IFERROR(IF(INDEX('DL08. Xếp lớp &amp; Nhập học'!$I$4:$I$500,SMALL(IF((ISNUMBER(SEARCH("not_started",'DL08. Xếp lớp &amp; Nhập học'!$K$4:$K$500))+ISNUMBER(SEARCH("in_progress",'DL08. Xếp lớp &amp; Nhập học'!$K$4:$K$500))&gt;0)*('DL08. Xếp lớp &amp; Nhập học'!$A$4:$A$500&lt;&gt;""),ROW('DL08. Xếp lớp &amp; Nhập học'!$A$4:$A$500)-3),ROW()-9))="","",INDEX('DL08. Xếp lớp &amp; Nhập học'!$I$4:$I$500,SMALL(IF((ISNUMBER(SEARCH("not_started",'DL08. Xếp lớp &amp; Nhập học'!$K$4:$K$500))+ISNUMBER(SEARCH("in_progress",'DL08. Xếp lớp &amp; Nhập học'!$K$4:$K$500))&gt;0)*('DL08. Xếp lớp &amp; Nhập học'!$A$4:$A$500&lt;&gt;""),ROW('DL08. Xếp lớp &amp; Nhập học'!$A$4:$A$500)-3),ROW()-9))),"")</f>
        <v/>
      </c>
      <c r="F13" s="21" t="str">
        <f aca="false" t="array" ref="F13:F13">IFERROR(IF(INDEX('DL08. Xếp lớp &amp; Nhập học'!$K$4:$K$500,SMALL(IF((ISNUMBER(SEARCH("not_started",'DL08. Xếp lớp &amp; Nhập học'!$K$4:$K$500))+ISNUMBER(SEARCH("in_progress",'DL08. Xếp lớp &amp; Nhập học'!$K$4:$K$500))&gt;0)*('DL08. Xếp lớp &amp; Nhập học'!$A$4:$A$500&lt;&gt;""),ROW('DL08. Xếp lớp &amp; Nhập học'!$A$4:$A$500)-3),ROW()-9))="","",INDEX('DL08. Xếp lớp &amp; Nhập học'!$K$4:$K$500,SMALL(IF((ISNUMBER(SEARCH("not_started",'DL08. Xếp lớp &amp; Nhập học'!$K$4:$K$500))+ISNUMBER(SEARCH("in_progress",'DL08. Xếp lớp &amp; Nhập học'!$K$4:$K$500))&gt;0)*('DL08. Xếp lớp &amp; Nhập học'!$A$4:$A$500&lt;&gt;""),ROW('DL08. Xếp lớp &amp; Nhập học'!$A$4:$A$500)-3),ROW()-9))),"")</f>
        <v/>
      </c>
      <c r="G13" s="185" t="str">
        <f aca="false" t="array" ref="G13:G13">IFERROR(IF(INDEX('DL08. Xếp lớp &amp; Nhập học'!$G$4:$G$500,SMALL(IF((ISNUMBER(SEARCH("not_started",'DL08. Xếp lớp &amp; Nhập học'!$K$4:$K$500))+ISNUMBER(SEARCH("in_progress",'DL08. Xếp lớp &amp; Nhập học'!$K$4:$K$500))&gt;0)*('DL08. Xếp lớp &amp; Nhập học'!$A$4:$A$500&lt;&gt;""),ROW('DL08. Xếp lớp &amp; Nhập học'!$A$4:$A$500)-3),ROW()-9))="","",INDEX('DL08. Xếp lớp &amp; Nhập học'!$G$4:$G$500,SMALL(IF((ISNUMBER(SEARCH("not_started",'DL08. Xếp lớp &amp; Nhập học'!$K$4:$K$500))+ISNUMBER(SEARCH("in_progress",'DL08. Xếp lớp &amp; Nhập học'!$K$4:$K$500))&gt;0)*('DL08. Xếp lớp &amp; Nhập học'!$A$4:$A$500&lt;&gt;""),ROW('DL08. Xếp lớp &amp; Nhập học'!$A$4:$A$500)-3),ROW()-9))),"")</f>
        <v/>
      </c>
      <c r="H13" s="322" t="str">
        <f aca="false" t="array" ref="H13:H13">IFERROR(IF(INDEX('DL08. Xếp lớp &amp; Nhập học'!$Q$4:$Q$500,SMALL(IF((ISNUMBER(SEARCH("not_started",'DL08. Xếp lớp &amp; Nhập học'!$K$4:$K$500))+ISNUMBER(SEARCH("in_progress",'DL08. Xếp lớp &amp; Nhập học'!$K$4:$K$500))&gt;0)*('DL08. Xếp lớp &amp; Nhập học'!$A$4:$A$500&lt;&gt;""),ROW('DL08. Xếp lớp &amp; Nhập học'!$A$4:$A$500)-3),ROW()-9))="","",INDEX('DL08. Xếp lớp &amp; Nhập học'!$Q$4:$Q$500,SMALL(IF((ISNUMBER(SEARCH("not_started",'DL08. Xếp lớp &amp; Nhập học'!$K$4:$K$500))+ISNUMBER(SEARCH("in_progress",'DL08. Xếp lớp &amp; Nhập học'!$K$4:$K$500))&gt;0)*('DL08. Xếp lớp &amp; Nhập học'!$A$4:$A$500&lt;&gt;""),ROW('DL08. Xếp lớp &amp; Nhập học'!$A$4:$A$500)-3),ROW()-9))),"")</f>
        <v/>
      </c>
      <c r="I13" s="4"/>
      <c r="J13" s="4"/>
      <c r="K13" s="4"/>
      <c r="L13" s="4"/>
      <c r="M13" s="4"/>
      <c r="N13" s="4"/>
      <c r="O13" s="4"/>
      <c r="P13" s="4"/>
      <c r="Q13" s="4"/>
      <c r="R13" s="4"/>
      <c r="S13" s="4"/>
      <c r="T13" s="4"/>
      <c r="U13" s="4"/>
      <c r="V13" s="4"/>
      <c r="W13" s="4"/>
      <c r="X13" s="4"/>
      <c r="Y13" s="4"/>
      <c r="Z13" s="4"/>
    </row>
    <row r="14" customFormat="false" ht="27.75" hidden="false" customHeight="true" outlineLevel="0" collapsed="false">
      <c r="A14" s="21" t="str">
        <f aca="false" t="array" ref="A14:A14">IFERROR(IF(INDEX('DL08. Xếp lớp &amp; Nhập học'!$A$4:$A$500,SMALL(IF((ISNUMBER(SEARCH("not_started",'DL08. Xếp lớp &amp; Nhập học'!$K$4:$K$500))+ISNUMBER(SEARCH("in_progress",'DL08. Xếp lớp &amp; Nhập học'!$K$4:$K$500))&gt;0)*('DL08. Xếp lớp &amp; Nhập học'!$A$4:$A$500&lt;&gt;""),ROW('DL08. Xếp lớp &amp; Nhập học'!$A$4:$A$500)-3),ROW()-9))="","",INDEX('DL08. Xếp lớp &amp; Nhập học'!$A$4:$A$500,SMALL(IF((ISNUMBER(SEARCH("not_started",'DL08. Xếp lớp &amp; Nhập học'!$K$4:$K$500))+ISNUMBER(SEARCH("in_progress",'DL08. Xếp lớp &amp; Nhập học'!$K$4:$K$500))&gt;0)*('DL08. Xếp lớp &amp; Nhập học'!$A$4:$A$500&lt;&gt;""),ROW('DL08. Xếp lớp &amp; Nhập học'!$A$4:$A$500)-3),ROW()-9))),"")</f>
        <v/>
      </c>
      <c r="B14" s="21" t="str">
        <f aca="false" t="array" ref="B14:B14">IFERROR(IF(INDEX('DL08. Xếp lớp &amp; Nhập học'!$C$4:$C$500,SMALL(IF((ISNUMBER(SEARCH("not_started",'DL08. Xếp lớp &amp; Nhập học'!$K$4:$K$500))+ISNUMBER(SEARCH("in_progress",'DL08. Xếp lớp &amp; Nhập học'!$K$4:$K$500))&gt;0)*('DL08. Xếp lớp &amp; Nhập học'!$A$4:$A$500&lt;&gt;""),ROW('DL08. Xếp lớp &amp; Nhập học'!$A$4:$A$500)-3),ROW()-9))="","",INDEX('DL08. Xếp lớp &amp; Nhập học'!$C$4:$C$500,SMALL(IF((ISNUMBER(SEARCH("not_started",'DL08. Xếp lớp &amp; Nhập học'!$K$4:$K$500))+ISNUMBER(SEARCH("in_progress",'DL08. Xếp lớp &amp; Nhập học'!$K$4:$K$500))&gt;0)*('DL08. Xếp lớp &amp; Nhập học'!$A$4:$A$500&lt;&gt;""),ROW('DL08. Xếp lớp &amp; Nhập học'!$A$4:$A$500)-3),ROW()-9))),"")</f>
        <v/>
      </c>
      <c r="C14" s="21" t="str">
        <f aca="false" t="array" ref="C14:C14">IFERROR(IF(INDEX('DL08. Xếp lớp &amp; Nhập học'!$H$4:$H$500,SMALL(IF((ISNUMBER(SEARCH("not_started",'DL08. Xếp lớp &amp; Nhập học'!$K$4:$K$500))+ISNUMBER(SEARCH("in_progress",'DL08. Xếp lớp &amp; Nhập học'!$K$4:$K$500))&gt;0)*('DL08. Xếp lớp &amp; Nhập học'!$A$4:$A$500&lt;&gt;""),ROW('DL08. Xếp lớp &amp; Nhập học'!$A$4:$A$500)-3),ROW()-9))="","",INDEX('DL08. Xếp lớp &amp; Nhập học'!$H$4:$H$500,SMALL(IF((ISNUMBER(SEARCH("not_started",'DL08. Xếp lớp &amp; Nhập học'!$K$4:$K$500))+ISNUMBER(SEARCH("in_progress",'DL08. Xếp lớp &amp; Nhập học'!$K$4:$K$500))&gt;0)*('DL08. Xếp lớp &amp; Nhập học'!$A$4:$A$500&lt;&gt;""),ROW('DL08. Xếp lớp &amp; Nhập học'!$A$4:$A$500)-3),ROW()-9))),"")</f>
        <v/>
      </c>
      <c r="D14" s="21" t="str">
        <f aca="false" t="array" ref="D14:D14">IFERROR(IF(INDEX('DL08. Xếp lớp &amp; Nhập học'!$D$4:$D$500,SMALL(IF((ISNUMBER(SEARCH("not_started",'DL08. Xếp lớp &amp; Nhập học'!$K$4:$K$500))+ISNUMBER(SEARCH("in_progress",'DL08. Xếp lớp &amp; Nhập học'!$K$4:$K$500))&gt;0)*('DL08. Xếp lớp &amp; Nhập học'!$A$4:$A$500&lt;&gt;""),ROW('DL08. Xếp lớp &amp; Nhập học'!$A$4:$A$500)-3),ROW()-9))="","",INDEX('DL08. Xếp lớp &amp; Nhập học'!$D$4:$D$500,SMALL(IF((ISNUMBER(SEARCH("not_started",'DL08. Xếp lớp &amp; Nhập học'!$K$4:$K$500))+ISNUMBER(SEARCH("in_progress",'DL08. Xếp lớp &amp; Nhập học'!$K$4:$K$500))&gt;0)*('DL08. Xếp lớp &amp; Nhập học'!$A$4:$A$500&lt;&gt;""),ROW('DL08. Xếp lớp &amp; Nhập học'!$A$4:$A$500)-3),ROW()-9))),"")</f>
        <v/>
      </c>
      <c r="E14" s="21" t="str">
        <f aca="false" t="array" ref="E14:E14">IFERROR(IF(INDEX('DL08. Xếp lớp &amp; Nhập học'!$I$4:$I$500,SMALL(IF((ISNUMBER(SEARCH("not_started",'DL08. Xếp lớp &amp; Nhập học'!$K$4:$K$500))+ISNUMBER(SEARCH("in_progress",'DL08. Xếp lớp &amp; Nhập học'!$K$4:$K$500))&gt;0)*('DL08. Xếp lớp &amp; Nhập học'!$A$4:$A$500&lt;&gt;""),ROW('DL08. Xếp lớp &amp; Nhập học'!$A$4:$A$500)-3),ROW()-9))="","",INDEX('DL08. Xếp lớp &amp; Nhập học'!$I$4:$I$500,SMALL(IF((ISNUMBER(SEARCH("not_started",'DL08. Xếp lớp &amp; Nhập học'!$K$4:$K$500))+ISNUMBER(SEARCH("in_progress",'DL08. Xếp lớp &amp; Nhập học'!$K$4:$K$500))&gt;0)*('DL08. Xếp lớp &amp; Nhập học'!$A$4:$A$500&lt;&gt;""),ROW('DL08. Xếp lớp &amp; Nhập học'!$A$4:$A$500)-3),ROW()-9))),"")</f>
        <v/>
      </c>
      <c r="F14" s="21" t="str">
        <f aca="false" t="array" ref="F14:F14">IFERROR(IF(INDEX('DL08. Xếp lớp &amp; Nhập học'!$K$4:$K$500,SMALL(IF((ISNUMBER(SEARCH("not_started",'DL08. Xếp lớp &amp; Nhập học'!$K$4:$K$500))+ISNUMBER(SEARCH("in_progress",'DL08. Xếp lớp &amp; Nhập học'!$K$4:$K$500))&gt;0)*('DL08. Xếp lớp &amp; Nhập học'!$A$4:$A$500&lt;&gt;""),ROW('DL08. Xếp lớp &amp; Nhập học'!$A$4:$A$500)-3),ROW()-9))="","",INDEX('DL08. Xếp lớp &amp; Nhập học'!$K$4:$K$500,SMALL(IF((ISNUMBER(SEARCH("not_started",'DL08. Xếp lớp &amp; Nhập học'!$K$4:$K$500))+ISNUMBER(SEARCH("in_progress",'DL08. Xếp lớp &amp; Nhập học'!$K$4:$K$500))&gt;0)*('DL08. Xếp lớp &amp; Nhập học'!$A$4:$A$500&lt;&gt;""),ROW('DL08. Xếp lớp &amp; Nhập học'!$A$4:$A$500)-3),ROW()-9))),"")</f>
        <v/>
      </c>
      <c r="G14" s="185" t="str">
        <f aca="false" t="array" ref="G14:G14">IFERROR(IF(INDEX('DL08. Xếp lớp &amp; Nhập học'!$G$4:$G$500,SMALL(IF((ISNUMBER(SEARCH("not_started",'DL08. Xếp lớp &amp; Nhập học'!$K$4:$K$500))+ISNUMBER(SEARCH("in_progress",'DL08. Xếp lớp &amp; Nhập học'!$K$4:$K$500))&gt;0)*('DL08. Xếp lớp &amp; Nhập học'!$A$4:$A$500&lt;&gt;""),ROW('DL08. Xếp lớp &amp; Nhập học'!$A$4:$A$500)-3),ROW()-9))="","",INDEX('DL08. Xếp lớp &amp; Nhập học'!$G$4:$G$500,SMALL(IF((ISNUMBER(SEARCH("not_started",'DL08. Xếp lớp &amp; Nhập học'!$K$4:$K$500))+ISNUMBER(SEARCH("in_progress",'DL08. Xếp lớp &amp; Nhập học'!$K$4:$K$500))&gt;0)*('DL08. Xếp lớp &amp; Nhập học'!$A$4:$A$500&lt;&gt;""),ROW('DL08. Xếp lớp &amp; Nhập học'!$A$4:$A$500)-3),ROW()-9))),"")</f>
        <v/>
      </c>
      <c r="H14" s="322" t="str">
        <f aca="false" t="array" ref="H14:H14">IFERROR(IF(INDEX('DL08. Xếp lớp &amp; Nhập học'!$Q$4:$Q$500,SMALL(IF((ISNUMBER(SEARCH("not_started",'DL08. Xếp lớp &amp; Nhập học'!$K$4:$K$500))+ISNUMBER(SEARCH("in_progress",'DL08. Xếp lớp &amp; Nhập học'!$K$4:$K$500))&gt;0)*('DL08. Xếp lớp &amp; Nhập học'!$A$4:$A$500&lt;&gt;""),ROW('DL08. Xếp lớp &amp; Nhập học'!$A$4:$A$500)-3),ROW()-9))="","",INDEX('DL08. Xếp lớp &amp; Nhập học'!$Q$4:$Q$500,SMALL(IF((ISNUMBER(SEARCH("not_started",'DL08. Xếp lớp &amp; Nhập học'!$K$4:$K$500))+ISNUMBER(SEARCH("in_progress",'DL08. Xếp lớp &amp; Nhập học'!$K$4:$K$500))&gt;0)*('DL08. Xếp lớp &amp; Nhập học'!$A$4:$A$500&lt;&gt;""),ROW('DL08. Xếp lớp &amp; Nhập học'!$A$4:$A$500)-3),ROW()-9))),"")</f>
        <v/>
      </c>
      <c r="I14" s="4"/>
      <c r="J14" s="4"/>
      <c r="K14" s="4"/>
      <c r="L14" s="4"/>
      <c r="M14" s="4"/>
      <c r="N14" s="4"/>
      <c r="O14" s="4"/>
      <c r="P14" s="4"/>
      <c r="Q14" s="4"/>
      <c r="R14" s="4"/>
      <c r="S14" s="4"/>
      <c r="T14" s="4"/>
      <c r="U14" s="4"/>
      <c r="V14" s="4"/>
      <c r="W14" s="4"/>
      <c r="X14" s="4"/>
      <c r="Y14" s="4"/>
      <c r="Z14" s="4"/>
    </row>
    <row r="15" customFormat="false" ht="27.75" hidden="false" customHeight="true" outlineLevel="0" collapsed="false">
      <c r="A15" s="21" t="str">
        <f aca="false" t="array" ref="A15:A15">IFERROR(IF(INDEX('DL08. Xếp lớp &amp; Nhập học'!$A$4:$A$500,SMALL(IF((ISNUMBER(SEARCH("not_started",'DL08. Xếp lớp &amp; Nhập học'!$K$4:$K$500))+ISNUMBER(SEARCH("in_progress",'DL08. Xếp lớp &amp; Nhập học'!$K$4:$K$500))&gt;0)*('DL08. Xếp lớp &amp; Nhập học'!$A$4:$A$500&lt;&gt;""),ROW('DL08. Xếp lớp &amp; Nhập học'!$A$4:$A$500)-3),ROW()-9))="","",INDEX('DL08. Xếp lớp &amp; Nhập học'!$A$4:$A$500,SMALL(IF((ISNUMBER(SEARCH("not_started",'DL08. Xếp lớp &amp; Nhập học'!$K$4:$K$500))+ISNUMBER(SEARCH("in_progress",'DL08. Xếp lớp &amp; Nhập học'!$K$4:$K$500))&gt;0)*('DL08. Xếp lớp &amp; Nhập học'!$A$4:$A$500&lt;&gt;""),ROW('DL08. Xếp lớp &amp; Nhập học'!$A$4:$A$500)-3),ROW()-9))),"")</f>
        <v/>
      </c>
      <c r="B15" s="21" t="str">
        <f aca="false" t="array" ref="B15:B15">IFERROR(IF(INDEX('DL08. Xếp lớp &amp; Nhập học'!$C$4:$C$500,SMALL(IF((ISNUMBER(SEARCH("not_started",'DL08. Xếp lớp &amp; Nhập học'!$K$4:$K$500))+ISNUMBER(SEARCH("in_progress",'DL08. Xếp lớp &amp; Nhập học'!$K$4:$K$500))&gt;0)*('DL08. Xếp lớp &amp; Nhập học'!$A$4:$A$500&lt;&gt;""),ROW('DL08. Xếp lớp &amp; Nhập học'!$A$4:$A$500)-3),ROW()-9))="","",INDEX('DL08. Xếp lớp &amp; Nhập học'!$C$4:$C$500,SMALL(IF((ISNUMBER(SEARCH("not_started",'DL08. Xếp lớp &amp; Nhập học'!$K$4:$K$500))+ISNUMBER(SEARCH("in_progress",'DL08. Xếp lớp &amp; Nhập học'!$K$4:$K$500))&gt;0)*('DL08. Xếp lớp &amp; Nhập học'!$A$4:$A$500&lt;&gt;""),ROW('DL08. Xếp lớp &amp; Nhập học'!$A$4:$A$500)-3),ROW()-9))),"")</f>
        <v/>
      </c>
      <c r="C15" s="21" t="str">
        <f aca="false" t="array" ref="C15:C15">IFERROR(IF(INDEX('DL08. Xếp lớp &amp; Nhập học'!$H$4:$H$500,SMALL(IF((ISNUMBER(SEARCH("not_started",'DL08. Xếp lớp &amp; Nhập học'!$K$4:$K$500))+ISNUMBER(SEARCH("in_progress",'DL08. Xếp lớp &amp; Nhập học'!$K$4:$K$500))&gt;0)*('DL08. Xếp lớp &amp; Nhập học'!$A$4:$A$500&lt;&gt;""),ROW('DL08. Xếp lớp &amp; Nhập học'!$A$4:$A$500)-3),ROW()-9))="","",INDEX('DL08. Xếp lớp &amp; Nhập học'!$H$4:$H$500,SMALL(IF((ISNUMBER(SEARCH("not_started",'DL08. Xếp lớp &amp; Nhập học'!$K$4:$K$500))+ISNUMBER(SEARCH("in_progress",'DL08. Xếp lớp &amp; Nhập học'!$K$4:$K$500))&gt;0)*('DL08. Xếp lớp &amp; Nhập học'!$A$4:$A$500&lt;&gt;""),ROW('DL08. Xếp lớp &amp; Nhập học'!$A$4:$A$500)-3),ROW()-9))),"")</f>
        <v/>
      </c>
      <c r="D15" s="21" t="str">
        <f aca="false" t="array" ref="D15:D15">IFERROR(IF(INDEX('DL08. Xếp lớp &amp; Nhập học'!$D$4:$D$500,SMALL(IF((ISNUMBER(SEARCH("not_started",'DL08. Xếp lớp &amp; Nhập học'!$K$4:$K$500))+ISNUMBER(SEARCH("in_progress",'DL08. Xếp lớp &amp; Nhập học'!$K$4:$K$500))&gt;0)*('DL08. Xếp lớp &amp; Nhập học'!$A$4:$A$500&lt;&gt;""),ROW('DL08. Xếp lớp &amp; Nhập học'!$A$4:$A$500)-3),ROW()-9))="","",INDEX('DL08. Xếp lớp &amp; Nhập học'!$D$4:$D$500,SMALL(IF((ISNUMBER(SEARCH("not_started",'DL08. Xếp lớp &amp; Nhập học'!$K$4:$K$500))+ISNUMBER(SEARCH("in_progress",'DL08. Xếp lớp &amp; Nhập học'!$K$4:$K$500))&gt;0)*('DL08. Xếp lớp &amp; Nhập học'!$A$4:$A$500&lt;&gt;""),ROW('DL08. Xếp lớp &amp; Nhập học'!$A$4:$A$500)-3),ROW()-9))),"")</f>
        <v/>
      </c>
      <c r="E15" s="21" t="str">
        <f aca="false" t="array" ref="E15:E15">IFERROR(IF(INDEX('DL08. Xếp lớp &amp; Nhập học'!$I$4:$I$500,SMALL(IF((ISNUMBER(SEARCH("not_started",'DL08. Xếp lớp &amp; Nhập học'!$K$4:$K$500))+ISNUMBER(SEARCH("in_progress",'DL08. Xếp lớp &amp; Nhập học'!$K$4:$K$500))&gt;0)*('DL08. Xếp lớp &amp; Nhập học'!$A$4:$A$500&lt;&gt;""),ROW('DL08. Xếp lớp &amp; Nhập học'!$A$4:$A$500)-3),ROW()-9))="","",INDEX('DL08. Xếp lớp &amp; Nhập học'!$I$4:$I$500,SMALL(IF((ISNUMBER(SEARCH("not_started",'DL08. Xếp lớp &amp; Nhập học'!$K$4:$K$500))+ISNUMBER(SEARCH("in_progress",'DL08. Xếp lớp &amp; Nhập học'!$K$4:$K$500))&gt;0)*('DL08. Xếp lớp &amp; Nhập học'!$A$4:$A$500&lt;&gt;""),ROW('DL08. Xếp lớp &amp; Nhập học'!$A$4:$A$500)-3),ROW()-9))),"")</f>
        <v/>
      </c>
      <c r="F15" s="21" t="str">
        <f aca="false" t="array" ref="F15:F15">IFERROR(IF(INDEX('DL08. Xếp lớp &amp; Nhập học'!$K$4:$K$500,SMALL(IF((ISNUMBER(SEARCH("not_started",'DL08. Xếp lớp &amp; Nhập học'!$K$4:$K$500))+ISNUMBER(SEARCH("in_progress",'DL08. Xếp lớp &amp; Nhập học'!$K$4:$K$500))&gt;0)*('DL08. Xếp lớp &amp; Nhập học'!$A$4:$A$500&lt;&gt;""),ROW('DL08. Xếp lớp &amp; Nhập học'!$A$4:$A$500)-3),ROW()-9))="","",INDEX('DL08. Xếp lớp &amp; Nhập học'!$K$4:$K$500,SMALL(IF((ISNUMBER(SEARCH("not_started",'DL08. Xếp lớp &amp; Nhập học'!$K$4:$K$500))+ISNUMBER(SEARCH("in_progress",'DL08. Xếp lớp &amp; Nhập học'!$K$4:$K$500))&gt;0)*('DL08. Xếp lớp &amp; Nhập học'!$A$4:$A$500&lt;&gt;""),ROW('DL08. Xếp lớp &amp; Nhập học'!$A$4:$A$500)-3),ROW()-9))),"")</f>
        <v/>
      </c>
      <c r="G15" s="185" t="str">
        <f aca="false" t="array" ref="G15:G15">IFERROR(IF(INDEX('DL08. Xếp lớp &amp; Nhập học'!$G$4:$G$500,SMALL(IF((ISNUMBER(SEARCH("not_started",'DL08. Xếp lớp &amp; Nhập học'!$K$4:$K$500))+ISNUMBER(SEARCH("in_progress",'DL08. Xếp lớp &amp; Nhập học'!$K$4:$K$500))&gt;0)*('DL08. Xếp lớp &amp; Nhập học'!$A$4:$A$500&lt;&gt;""),ROW('DL08. Xếp lớp &amp; Nhập học'!$A$4:$A$500)-3),ROW()-9))="","",INDEX('DL08. Xếp lớp &amp; Nhập học'!$G$4:$G$500,SMALL(IF((ISNUMBER(SEARCH("not_started",'DL08. Xếp lớp &amp; Nhập học'!$K$4:$K$500))+ISNUMBER(SEARCH("in_progress",'DL08. Xếp lớp &amp; Nhập học'!$K$4:$K$500))&gt;0)*('DL08. Xếp lớp &amp; Nhập học'!$A$4:$A$500&lt;&gt;""),ROW('DL08. Xếp lớp &amp; Nhập học'!$A$4:$A$500)-3),ROW()-9))),"")</f>
        <v/>
      </c>
      <c r="H15" s="322" t="str">
        <f aca="false" t="array" ref="H15:H15">IFERROR(IF(INDEX('DL08. Xếp lớp &amp; Nhập học'!$Q$4:$Q$500,SMALL(IF((ISNUMBER(SEARCH("not_started",'DL08. Xếp lớp &amp; Nhập học'!$K$4:$K$500))+ISNUMBER(SEARCH("in_progress",'DL08. Xếp lớp &amp; Nhập học'!$K$4:$K$500))&gt;0)*('DL08. Xếp lớp &amp; Nhập học'!$A$4:$A$500&lt;&gt;""),ROW('DL08. Xếp lớp &amp; Nhập học'!$A$4:$A$500)-3),ROW()-9))="","",INDEX('DL08. Xếp lớp &amp; Nhập học'!$Q$4:$Q$500,SMALL(IF((ISNUMBER(SEARCH("not_started",'DL08. Xếp lớp &amp; Nhập học'!$K$4:$K$500))+ISNUMBER(SEARCH("in_progress",'DL08. Xếp lớp &amp; Nhập học'!$K$4:$K$500))&gt;0)*('DL08. Xếp lớp &amp; Nhập học'!$A$4:$A$500&lt;&gt;""),ROW('DL08. Xếp lớp &amp; Nhập học'!$A$4:$A$500)-3),ROW()-9))),"")</f>
        <v/>
      </c>
      <c r="I15" s="4"/>
      <c r="J15" s="4"/>
      <c r="K15" s="4"/>
      <c r="L15" s="4"/>
      <c r="M15" s="4"/>
      <c r="N15" s="4"/>
      <c r="O15" s="4"/>
      <c r="P15" s="4"/>
      <c r="Q15" s="4"/>
      <c r="R15" s="4"/>
      <c r="S15" s="4"/>
      <c r="T15" s="4"/>
      <c r="U15" s="4"/>
      <c r="V15" s="4"/>
      <c r="W15" s="4"/>
      <c r="X15" s="4"/>
      <c r="Y15" s="4"/>
      <c r="Z15" s="4"/>
    </row>
    <row r="16" customFormat="false" ht="1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30" hidden="false" customHeight="true" outlineLevel="0" collapsed="false">
      <c r="A17" s="355" t="s">
        <v>4069</v>
      </c>
      <c r="B17" s="355"/>
      <c r="C17" s="355"/>
      <c r="D17" s="355"/>
      <c r="E17" s="355"/>
      <c r="F17" s="355"/>
      <c r="G17" s="355"/>
      <c r="H17" s="355"/>
      <c r="I17" s="4"/>
      <c r="J17" s="4"/>
      <c r="K17" s="4"/>
      <c r="L17" s="4"/>
      <c r="M17" s="4"/>
      <c r="N17" s="4"/>
      <c r="O17" s="4"/>
      <c r="P17" s="4"/>
      <c r="Q17" s="4"/>
      <c r="R17" s="4"/>
      <c r="S17" s="4"/>
      <c r="T17" s="4"/>
      <c r="U17" s="4"/>
      <c r="V17" s="4"/>
      <c r="W17" s="4"/>
      <c r="X17" s="4"/>
      <c r="Y17" s="4"/>
      <c r="Z17" s="4"/>
    </row>
    <row r="18" customFormat="false" ht="21.75" hidden="false" customHeight="true" outlineLevel="0" collapsed="false">
      <c r="A18" s="320" t="s">
        <v>3761</v>
      </c>
      <c r="B18" s="320" t="s">
        <v>2017</v>
      </c>
      <c r="C18" s="320" t="s">
        <v>470</v>
      </c>
      <c r="D18" s="320" t="s">
        <v>3589</v>
      </c>
      <c r="E18" s="320" t="s">
        <v>250</v>
      </c>
      <c r="F18" s="320" t="s">
        <v>4070</v>
      </c>
      <c r="G18" s="320" t="s">
        <v>3818</v>
      </c>
      <c r="H18" s="320" t="s">
        <v>2503</v>
      </c>
      <c r="I18" s="4"/>
      <c r="J18" s="4"/>
      <c r="K18" s="4"/>
      <c r="L18" s="4"/>
      <c r="M18" s="4"/>
      <c r="N18" s="4"/>
      <c r="O18" s="4"/>
      <c r="P18" s="4"/>
      <c r="Q18" s="4"/>
      <c r="R18" s="4"/>
      <c r="S18" s="4"/>
      <c r="T18" s="4"/>
      <c r="U18" s="4"/>
      <c r="V18" s="4"/>
      <c r="W18" s="4"/>
      <c r="X18" s="4"/>
      <c r="Y18" s="4"/>
      <c r="Z18" s="4"/>
    </row>
    <row r="19" customFormat="false" ht="27.75" hidden="false" customHeight="true" outlineLevel="0" collapsed="false">
      <c r="A19" s="21" t="str">
        <f aca="false" t="array" ref="A19:A19">IFERROR(IF(INDEX('DL17. Khiếu nại'!$A$4:$A$500,SMALL(IF(ISERROR(SEARCH("resolved",'DL17. Khiếu nại'!$J$4:$J$500))*('DL17. Khiếu nại'!$A$4:$A$500&lt;&gt;""),ROW('DL17. Khiếu nại'!$A$4:$A$500)-3),ROW()-18))="","",INDEX('DL17. Khiếu nại'!$A$4:$A$500,SMALL(IF(ISERROR(SEARCH("resolved",'DL17. Khiếu nại'!$J$4:$J$500))*('DL17. Khiếu nại'!$A$4:$A$500&lt;&gt;""),ROW('DL17. Khiếu nại'!$A$4:$A$500)-3),ROW()-18))),"")</f>
        <v>KN-2026-001</v>
      </c>
      <c r="B19" s="80" t="str">
        <f aca="false" t="array" ref="B19:B19">IFERROR(IF(INDEX('DL17. Khiếu nại'!$B$4:$B$500,SMALL(IF(ISERROR(SEARCH("resolved",'DL17. Khiếu nại'!$J$4:$J$500))*('DL17. Khiếu nại'!$A$4:$A$500&lt;&gt;""),ROW('DL17. Khiếu nại'!$A$4:$A$500)-3),ROW()-18))="","",INDEX('DL17. Khiếu nại'!$B$4:$B$500,SMALL(IF(ISERROR(SEARCH("resolved",'DL17. Khiếu nại'!$J$4:$J$500))*('DL17. Khiếu nại'!$A$4:$A$500&lt;&gt;""),ROW('DL17. Khiếu nại'!$A$4:$A$500)-3),ROW()-18))),"")</f>
        <v>HV005</v>
      </c>
      <c r="C19" s="21" t="str">
        <f aca="false" t="array" ref="C19:C19">IFERROR(IF(INDEX('DL17. Khiếu nại'!$G$4:$G$500,SMALL(IF(ISERROR(SEARCH("resolved",'DL17. Khiếu nại'!$J$4:$J$500))*('DL17. Khiếu nại'!$A$4:$A$500&lt;&gt;""),ROW('DL17. Khiếu nại'!$A$4:$A$500)-3),ROW()-18))="","",INDEX('DL17. Khiếu nại'!$G$4:$G$500,SMALL(IF(ISERROR(SEARCH("resolved",'DL17. Khiếu nại'!$J$4:$J$500))*('DL17. Khiếu nại'!$A$4:$A$500&lt;&gt;""),ROW('DL17. Khiếu nại'!$A$4:$A$500)-3),ROW()-18))),"")</f>
        <v>teacher (Về 1 GV cụ thể)</v>
      </c>
      <c r="D19" s="21" t="str">
        <f aca="false" t="array" ref="D19:D19">IFERROR(IF(INDEX('DL17. Khiếu nại'!$H$4:$H$500,SMALL(IF(ISERROR(SEARCH("resolved",'DL17. Khiếu nại'!$J$4:$J$500))*('DL17. Khiếu nại'!$A$4:$A$500&lt;&gt;""),ROW('DL17. Khiếu nại'!$A$4:$A$500)-3),ROW()-18))="","",INDEX('DL17. Khiếu nại'!$H$4:$H$500,SMALL(IF(ISERROR(SEARCH("resolved",'DL17. Khiếu nại'!$J$4:$J$500))*('DL17. Khiếu nại'!$A$4:$A$500&lt;&gt;""),ROW('DL17. Khiếu nại'!$A$4:$A$500)-3),ROW()-18))),"")</f>
        <v>high (Cao)</v>
      </c>
      <c r="E19" s="21" t="str">
        <f aca="false" t="array" ref="E19:E19">IFERROR(IF(INDEX('DL17. Khiếu nại'!$J$4:$J$500,SMALL(IF(ISERROR(SEARCH("resolved",'DL17. Khiếu nại'!$J$4:$J$500))*('DL17. Khiếu nại'!$A$4:$A$500&lt;&gt;""),ROW('DL17. Khiếu nại'!$A$4:$A$500)-3),ROW()-18))="","",INDEX('DL17. Khiếu nại'!$J$4:$J$500,SMALL(IF(ISERROR(SEARCH("resolved",'DL17. Khiếu nại'!$J$4:$J$500))*('DL17. Khiếu nại'!$A$4:$A$500&lt;&gt;""),ROW('DL17. Khiếu nại'!$A$4:$A$500)-3),ROW()-18))),"")</f>
        <v>assigned (Đã phân công)</v>
      </c>
      <c r="F19" s="185" t="n">
        <f aca="false" t="array" ref="F19:F19">IFERROR(IF(INDEX('DL17. Khiếu nại'!$F$4:$F$500,SMALL(IF(ISERROR(SEARCH("resolved",'DL17. Khiếu nại'!$J$4:$J$500))*('DL17. Khiếu nại'!$A$4:$A$500&lt;&gt;""),ROW('DL17. Khiếu nại'!$A$4:$A$500)-3),ROW()-18))="","",INDEX('DL17. Khiếu nại'!$F$4:$F$500,SMALL(IF(ISERROR(SEARCH("resolved",'DL17. Khiếu nại'!$J$4:$J$500))*('DL17. Khiếu nại'!$A$4:$A$500&lt;&gt;""),ROW('DL17. Khiếu nại'!$A$4:$A$500)-3),ROW()-18))),"")</f>
        <v>46203.4166666667</v>
      </c>
      <c r="G19" s="21" t="str">
        <f aca="false" t="array" ref="G19:G19">IFERROR(IF(INDEX('DL17. Khiếu nại'!$K$4:$K$500,SMALL(IF(ISERROR(SEARCH("resolved",'DL17. Khiếu nại'!$J$4:$J$500))*('DL17. Khiếu nại'!$A$4:$A$500&lt;&gt;""),ROW('DL17. Khiếu nại'!$A$4:$A$500)-3),ROW()-18))="","",INDEX('DL17. Khiếu nại'!$K$4:$K$500,SMALL(IF(ISERROR(SEARCH("resolved",'DL17. Khiếu nại'!$J$4:$J$500))*('DL17. Khiếu nại'!$A$4:$A$500&lt;&gt;""),ROW('DL17. Khiếu nại'!$A$4:$A$500)-3),ROW()-18))),"")</f>
        <v/>
      </c>
      <c r="H19" s="322" t="str">
        <f aca="false" t="array" ref="H19:H19">IFERROR(IF(INDEX('DL17. Khiếu nại'!$T$4:$T$500,SMALL(IF(ISERROR(SEARCH("resolved",'DL17. Khiếu nại'!$J$4:$J$500))*('DL17. Khiếu nại'!$A$4:$A$500&lt;&gt;""),ROW('DL17. Khiếu nại'!$A$4:$A$500)-3),ROW()-18))="","",INDEX('DL17. Khiếu nại'!$T$4:$T$500,SMALL(IF(ISERROR(SEARCH("resolved",'DL17. Khiếu nại'!$J$4:$J$500))*('DL17. Khiếu nại'!$A$4:$A$500&lt;&gt;""),ROW('DL17. Khiếu nại'!$A$4:$A$500)-3),ROW()-18))),"")</f>
        <v>Khiếu nại mức cao đã quá 4 giờ (cấu hình slaKN_high_hours) chưa xử lý xong. Việc cần làm: quản lý tham gia xử lý gấp.</v>
      </c>
      <c r="I19" s="4"/>
      <c r="J19" s="4"/>
      <c r="K19" s="4"/>
      <c r="L19" s="4"/>
      <c r="M19" s="4"/>
      <c r="N19" s="4"/>
      <c r="O19" s="4"/>
      <c r="P19" s="4"/>
      <c r="Q19" s="4"/>
      <c r="R19" s="4"/>
      <c r="S19" s="4"/>
      <c r="T19" s="4"/>
      <c r="U19" s="4"/>
      <c r="V19" s="4"/>
      <c r="W19" s="4"/>
      <c r="X19" s="4"/>
      <c r="Y19" s="4"/>
      <c r="Z19" s="4"/>
    </row>
    <row r="20" customFormat="false" ht="27.75" hidden="false" customHeight="true" outlineLevel="0" collapsed="false">
      <c r="A20" s="21" t="str">
        <f aca="false" t="array" ref="A20:A20">IFERROR(IF(INDEX('DL17. Khiếu nại'!$A$4:$A$500,SMALL(IF(ISERROR(SEARCH("resolved",'DL17. Khiếu nại'!$J$4:$J$500))*('DL17. Khiếu nại'!$A$4:$A$500&lt;&gt;""),ROW('DL17. Khiếu nại'!$A$4:$A$500)-3),ROW()-18))="","",INDEX('DL17. Khiếu nại'!$A$4:$A$500,SMALL(IF(ISERROR(SEARCH("resolved",'DL17. Khiếu nại'!$J$4:$J$500))*('DL17. Khiếu nại'!$A$4:$A$500&lt;&gt;""),ROW('DL17. Khiếu nại'!$A$4:$A$500)-3),ROW()-18))),"")</f>
        <v>KN-2026-002</v>
      </c>
      <c r="B20" s="80" t="str">
        <f aca="false" t="array" ref="B20:B20">IFERROR(IF(INDEX('DL17. Khiếu nại'!$B$4:$B$500,SMALL(IF(ISERROR(SEARCH("resolved",'DL17. Khiếu nại'!$J$4:$J$500))*('DL17. Khiếu nại'!$A$4:$A$500&lt;&gt;""),ROW('DL17. Khiếu nại'!$A$4:$A$500)-3),ROW()-18))="","",INDEX('DL17. Khiếu nại'!$B$4:$B$500,SMALL(IF(ISERROR(SEARCH("resolved",'DL17. Khiếu nại'!$J$4:$J$500))*('DL17. Khiếu nại'!$A$4:$A$500&lt;&gt;""),ROW('DL17. Khiếu nại'!$A$4:$A$500)-3),ROW()-18))),"")</f>
        <v>HV004</v>
      </c>
      <c r="C20" s="21" t="str">
        <f aca="false" t="array" ref="C20:C20">IFERROR(IF(INDEX('DL17. Khiếu nại'!$G$4:$G$500,SMALL(IF(ISERROR(SEARCH("resolved",'DL17. Khiếu nại'!$J$4:$J$500))*('DL17. Khiếu nại'!$A$4:$A$500&lt;&gt;""),ROW('DL17. Khiếu nại'!$A$4:$A$500)-3),ROW()-18))="","",INDEX('DL17. Khiếu nại'!$G$4:$G$500,SMALL(IF(ISERROR(SEARCH("resolved",'DL17. Khiếu nại'!$J$4:$J$500))*('DL17. Khiếu nại'!$A$4:$A$500&lt;&gt;""),ROW('DL17. Khiếu nại'!$A$4:$A$500)-3),ROW()-18))),"")</f>
        <v>service (Thái độ phục vụ)</v>
      </c>
      <c r="D20" s="21" t="str">
        <f aca="false" t="array" ref="D20:D20">IFERROR(IF(INDEX('DL17. Khiếu nại'!$H$4:$H$500,SMALL(IF(ISERROR(SEARCH("resolved",'DL17. Khiếu nại'!$J$4:$J$500))*('DL17. Khiếu nại'!$A$4:$A$500&lt;&gt;""),ROW('DL17. Khiếu nại'!$A$4:$A$500)-3),ROW()-18))="","",INDEX('DL17. Khiếu nại'!$H$4:$H$500,SMALL(IF(ISERROR(SEARCH("resolved",'DL17. Khiếu nại'!$J$4:$J$500))*('DL17. Khiếu nại'!$A$4:$A$500&lt;&gt;""),ROW('DL17. Khiếu nại'!$A$4:$A$500)-3),ROW()-18))),"")</f>
        <v>medium (Trung bình)</v>
      </c>
      <c r="E20" s="21" t="str">
        <f aca="false" t="array" ref="E20:E20">IFERROR(IF(INDEX('DL17. Khiếu nại'!$J$4:$J$500,SMALL(IF(ISERROR(SEARCH("resolved",'DL17. Khiếu nại'!$J$4:$J$500))*('DL17. Khiếu nại'!$A$4:$A$500&lt;&gt;""),ROW('DL17. Khiếu nại'!$A$4:$A$500)-3),ROW()-18))="","",INDEX('DL17. Khiếu nại'!$J$4:$J$500,SMALL(IF(ISERROR(SEARCH("resolved",'DL17. Khiếu nại'!$J$4:$J$500))*('DL17. Khiếu nại'!$A$4:$A$500&lt;&gt;""),ROW('DL17. Khiếu nại'!$A$4:$A$500)-3),ROW()-18))),"")</f>
        <v>assigned (Đã phân công)</v>
      </c>
      <c r="F20" s="185" t="n">
        <f aca="false" t="array" ref="F20:F20">IFERROR(IF(INDEX('DL17. Khiếu nại'!$F$4:$F$500,SMALL(IF(ISERROR(SEARCH("resolved",'DL17. Khiếu nại'!$J$4:$J$500))*('DL17. Khiếu nại'!$A$4:$A$500&lt;&gt;""),ROW('DL17. Khiếu nại'!$A$4:$A$500)-3),ROW()-18))="","",INDEX('DL17. Khiếu nại'!$F$4:$F$500,SMALL(IF(ISERROR(SEARCH("resolved",'DL17. Khiếu nại'!$J$4:$J$500))*('DL17. Khiếu nại'!$A$4:$A$500&lt;&gt;""),ROW('DL17. Khiếu nại'!$A$4:$A$500)-3),ROW()-18))),"")</f>
        <v>46205.375</v>
      </c>
      <c r="G20" s="21" t="str">
        <f aca="false" t="array" ref="G20:G20">IFERROR(IF(INDEX('DL17. Khiếu nại'!$K$4:$K$500,SMALL(IF(ISERROR(SEARCH("resolved",'DL17. Khiếu nại'!$J$4:$J$500))*('DL17. Khiếu nại'!$A$4:$A$500&lt;&gt;""),ROW('DL17. Khiếu nại'!$A$4:$A$500)-3),ROW()-18))="","",INDEX('DL17. Khiếu nại'!$K$4:$K$500,SMALL(IF(ISERROR(SEARCH("resolved",'DL17. Khiếu nại'!$J$4:$J$500))*('DL17. Khiếu nại'!$A$4:$A$500&lt;&gt;""),ROW('DL17. Khiếu nại'!$A$4:$A$500)-3),ROW()-18))),"")</f>
        <v/>
      </c>
      <c r="H20" s="322" t="str">
        <f aca="false" t="array" ref="H20:H20">IFERROR(IF(INDEX('DL17. Khiếu nại'!$T$4:$T$500,SMALL(IF(ISERROR(SEARCH("resolved",'DL17. Khiếu nại'!$J$4:$J$500))*('DL17. Khiếu nại'!$A$4:$A$500&lt;&gt;""),ROW('DL17. Khiếu nại'!$A$4:$A$500)-3),ROW()-18))="","",INDEX('DL17. Khiếu nại'!$T$4:$T$500,SMALL(IF(ISERROR(SEARCH("resolved",'DL17. Khiếu nại'!$J$4:$J$500))*('DL17. Khiếu nại'!$A$4:$A$500&lt;&gt;""),ROW('DL17. Khiếu nại'!$A$4:$A$500)-3),ROW()-18))),"")</f>
        <v>Khiếu nại mức trung bình đã quá 48 giờ (cấu hình slaKN_medium_hours) chưa xử lý. Việc cần làm: xử lý ngay.</v>
      </c>
      <c r="I20" s="4"/>
      <c r="J20" s="4"/>
      <c r="K20" s="4"/>
      <c r="L20" s="4"/>
      <c r="M20" s="4"/>
      <c r="N20" s="4"/>
      <c r="O20" s="4"/>
      <c r="P20" s="4"/>
      <c r="Q20" s="4"/>
      <c r="R20" s="4"/>
      <c r="S20" s="4"/>
      <c r="T20" s="4"/>
      <c r="U20" s="4"/>
      <c r="V20" s="4"/>
      <c r="W20" s="4"/>
      <c r="X20" s="4"/>
      <c r="Y20" s="4"/>
      <c r="Z20" s="4"/>
    </row>
    <row r="21" customFormat="false" ht="27.75" hidden="false" customHeight="true" outlineLevel="0" collapsed="false">
      <c r="A21" s="21" t="str">
        <f aca="false" t="array" ref="A21:A21">IFERROR(IF(INDEX('DL17. Khiếu nại'!$A$4:$A$500,SMALL(IF(ISERROR(SEARCH("resolved",'DL17. Khiếu nại'!$J$4:$J$500))*('DL17. Khiếu nại'!$A$4:$A$500&lt;&gt;""),ROW('DL17. Khiếu nại'!$A$4:$A$500)-3),ROW()-18))="","",INDEX('DL17. Khiếu nại'!$A$4:$A$500,SMALL(IF(ISERROR(SEARCH("resolved",'DL17. Khiếu nại'!$J$4:$J$500))*('DL17. Khiếu nại'!$A$4:$A$500&lt;&gt;""),ROW('DL17. Khiếu nại'!$A$4:$A$500)-3),ROW()-18))),"")</f>
        <v>KN-2026-003</v>
      </c>
      <c r="B21" s="80" t="str">
        <f aca="false" t="array" ref="B21:B21">IFERROR(IF(INDEX('DL17. Khiếu nại'!$B$4:$B$500,SMALL(IF(ISERROR(SEARCH("resolved",'DL17. Khiếu nại'!$J$4:$J$500))*('DL17. Khiếu nại'!$A$4:$A$500&lt;&gt;""),ROW('DL17. Khiếu nại'!$A$4:$A$500)-3),ROW()-18))="","",INDEX('DL17. Khiếu nại'!$B$4:$B$500,SMALL(IF(ISERROR(SEARCH("resolved",'DL17. Khiếu nại'!$J$4:$J$500))*('DL17. Khiếu nại'!$A$4:$A$500&lt;&gt;""),ROW('DL17. Khiếu nại'!$A$4:$A$500)-3),ROW()-18))),"")</f>
        <v>HV003</v>
      </c>
      <c r="C21" s="21" t="str">
        <f aca="false" t="array" ref="C21:C21">IFERROR(IF(INDEX('DL17. Khiếu nại'!$G$4:$G$500,SMALL(IF(ISERROR(SEARCH("resolved",'DL17. Khiếu nại'!$J$4:$J$500))*('DL17. Khiếu nại'!$A$4:$A$500&lt;&gt;""),ROW('DL17. Khiếu nại'!$A$4:$A$500)-3),ROW()-18))="","",INDEX('DL17. Khiếu nại'!$G$4:$G$500,SMALL(IF(ISERROR(SEARCH("resolved",'DL17. Khiếu nại'!$J$4:$J$500))*('DL17. Khiếu nại'!$A$4:$A$500&lt;&gt;""),ROW('DL17. Khiếu nại'!$A$4:$A$500)-3),ROW()-18))),"")</f>
        <v>schedule (Lịch học)</v>
      </c>
      <c r="D21" s="21" t="str">
        <f aca="false" t="array" ref="D21:D21">IFERROR(IF(INDEX('DL17. Khiếu nại'!$H$4:$H$500,SMALL(IF(ISERROR(SEARCH("resolved",'DL17. Khiếu nại'!$J$4:$J$500))*('DL17. Khiếu nại'!$A$4:$A$500&lt;&gt;""),ROW('DL17. Khiếu nại'!$A$4:$A$500)-3),ROW()-18))="","",INDEX('DL17. Khiếu nại'!$H$4:$H$500,SMALL(IF(ISERROR(SEARCH("resolved",'DL17. Khiếu nại'!$J$4:$J$500))*('DL17. Khiếu nại'!$A$4:$A$500&lt;&gt;""),ROW('DL17. Khiếu nại'!$A$4:$A$500)-3),ROW()-18))),"")</f>
        <v>low (Thấp)</v>
      </c>
      <c r="E21" s="21" t="str">
        <f aca="false" t="array" ref="E21:E21">IFERROR(IF(INDEX('DL17. Khiếu nại'!$J$4:$J$500,SMALL(IF(ISERROR(SEARCH("resolved",'DL17. Khiếu nại'!$J$4:$J$500))*('DL17. Khiếu nại'!$A$4:$A$500&lt;&gt;""),ROW('DL17. Khiếu nại'!$A$4:$A$500)-3),ROW()-18))="","",INDEX('DL17. Khiếu nại'!$J$4:$J$500,SMALL(IF(ISERROR(SEARCH("resolved",'DL17. Khiếu nại'!$J$4:$J$500))*('DL17. Khiếu nại'!$A$4:$A$500&lt;&gt;""),ROW('DL17. Khiếu nại'!$A$4:$A$500)-3),ROW()-18))),"")</f>
        <v>new (Mới tiếp nhận)</v>
      </c>
      <c r="F21" s="185" t="n">
        <f aca="false" t="array" ref="F21:F21">IFERROR(IF(INDEX('DL17. Khiếu nại'!$F$4:$F$500,SMALL(IF(ISERROR(SEARCH("resolved",'DL17. Khiếu nại'!$J$4:$J$500))*('DL17. Khiếu nại'!$A$4:$A$500&lt;&gt;""),ROW('DL17. Khiếu nại'!$A$4:$A$500)-3),ROW()-18))="","",INDEX('DL17. Khiếu nại'!$F$4:$F$500,SMALL(IF(ISERROR(SEARCH("resolved",'DL17. Khiếu nại'!$J$4:$J$500))*('DL17. Khiếu nại'!$A$4:$A$500&lt;&gt;""),ROW('DL17. Khiếu nại'!$A$4:$A$500)-3),ROW()-18))),"")</f>
        <v>46204.375</v>
      </c>
      <c r="G21" s="21" t="str">
        <f aca="false" t="array" ref="G21:G21">IFERROR(IF(INDEX('DL17. Khiếu nại'!$K$4:$K$500,SMALL(IF(ISERROR(SEARCH("resolved",'DL17. Khiếu nại'!$J$4:$J$500))*('DL17. Khiếu nại'!$A$4:$A$500&lt;&gt;""),ROW('DL17. Khiếu nại'!$A$4:$A$500)-3),ROW()-18))="","",INDEX('DL17. Khiếu nại'!$K$4:$K$500,SMALL(IF(ISERROR(SEARCH("resolved",'DL17. Khiếu nại'!$J$4:$J$500))*('DL17. Khiếu nại'!$A$4:$A$500&lt;&gt;""),ROW('DL17. Khiếu nại'!$A$4:$A$500)-3),ROW()-18))),"")</f>
        <v/>
      </c>
      <c r="H21" s="322" t="str">
        <f aca="false" t="array" ref="H21:H21">IFERROR(IF(INDEX('DL17. Khiếu nại'!$T$4:$T$500,SMALL(IF(ISERROR(SEARCH("resolved",'DL17. Khiếu nại'!$J$4:$J$500))*('DL17. Khiếu nại'!$A$4:$A$500&lt;&gt;""),ROW('DL17. Khiếu nại'!$A$4:$A$500)-3),ROW()-18))="","",INDEX('DL17. Khiếu nại'!$T$4:$T$500,SMALL(IF(ISERROR(SEARCH("resolved",'DL17. Khiếu nại'!$J$4:$J$500))*('DL17. Khiếu nại'!$A$4:$A$500&lt;&gt;""),ROW('DL17. Khiếu nại'!$A$4:$A$500)-3),ROW()-18))),"")</f>
        <v>Khiếu nại mới đã quá 2 giờ (cấu hình slaKN_assignment_hours) chưa phân công người xử lý. Việc cần làm: phân công gấp.</v>
      </c>
      <c r="I21" s="4"/>
      <c r="J21" s="4"/>
      <c r="K21" s="4"/>
      <c r="L21" s="4"/>
      <c r="M21" s="4"/>
      <c r="N21" s="4"/>
      <c r="O21" s="4"/>
      <c r="P21" s="4"/>
      <c r="Q21" s="4"/>
      <c r="R21" s="4"/>
      <c r="S21" s="4"/>
      <c r="T21" s="4"/>
      <c r="U21" s="4"/>
      <c r="V21" s="4"/>
      <c r="W21" s="4"/>
      <c r="X21" s="4"/>
      <c r="Y21" s="4"/>
      <c r="Z21" s="4"/>
    </row>
    <row r="22" customFormat="false" ht="27.75" hidden="false" customHeight="true" outlineLevel="0" collapsed="false">
      <c r="A22" s="21" t="str">
        <f aca="false" t="array" ref="A22:A22">IFERROR(IF(INDEX('DL17. Khiếu nại'!$A$4:$A$500,SMALL(IF(ISERROR(SEARCH("resolved",'DL17. Khiếu nại'!$J$4:$J$500))*('DL17. Khiếu nại'!$A$4:$A$500&lt;&gt;""),ROW('DL17. Khiếu nại'!$A$4:$A$500)-3),ROW()-18))="","",INDEX('DL17. Khiếu nại'!$A$4:$A$500,SMALL(IF(ISERROR(SEARCH("resolved",'DL17. Khiếu nại'!$J$4:$J$500))*('DL17. Khiếu nại'!$A$4:$A$500&lt;&gt;""),ROW('DL17. Khiếu nại'!$A$4:$A$500)-3),ROW()-18))),"")</f>
        <v>KN-2026-005</v>
      </c>
      <c r="B22" s="80" t="str">
        <f aca="false" t="array" ref="B22:B22">IFERROR(IF(INDEX('DL17. Khiếu nại'!$B$4:$B$500,SMALL(IF(ISERROR(SEARCH("resolved",'DL17. Khiếu nại'!$J$4:$J$500))*('DL17. Khiếu nại'!$A$4:$A$500&lt;&gt;""),ROW('DL17. Khiếu nại'!$A$4:$A$500)-3),ROW()-18))="","",INDEX('DL17. Khiếu nại'!$B$4:$B$500,SMALL(IF(ISERROR(SEARCH("resolved",'DL17. Khiếu nại'!$J$4:$J$500))*('DL17. Khiếu nại'!$A$4:$A$500&lt;&gt;""),ROW('DL17. Khiếu nại'!$A$4:$A$500)-3),ROW()-18))),"")</f>
        <v>HV006</v>
      </c>
      <c r="C22" s="21" t="str">
        <f aca="false" t="array" ref="C22:C22">IFERROR(IF(INDEX('DL17. Khiếu nại'!$G$4:$G$500,SMALL(IF(ISERROR(SEARCH("resolved",'DL17. Khiếu nại'!$J$4:$J$500))*('DL17. Khiếu nại'!$A$4:$A$500&lt;&gt;""),ROW('DL17. Khiếu nại'!$A$4:$A$500)-3),ROW()-18))="","",INDEX('DL17. Khiếu nại'!$G$4:$G$500,SMALL(IF(ISERROR(SEARCH("resolved",'DL17. Khiếu nại'!$J$4:$J$500))*('DL17. Khiếu nại'!$A$4:$A$500&lt;&gt;""),ROW('DL17. Khiếu nại'!$A$4:$A$500)-3),ROW()-18))),"")</f>
        <v>other (Khác)</v>
      </c>
      <c r="D22" s="21" t="str">
        <f aca="false" t="array" ref="D22:D22">IFERROR(IF(INDEX('DL17. Khiếu nại'!$H$4:$H$500,SMALL(IF(ISERROR(SEARCH("resolved",'DL17. Khiếu nại'!$J$4:$J$500))*('DL17. Khiếu nại'!$A$4:$A$500&lt;&gt;""),ROW('DL17. Khiếu nại'!$A$4:$A$500)-3),ROW()-18))="","",INDEX('DL17. Khiếu nại'!$H$4:$H$500,SMALL(IF(ISERROR(SEARCH("resolved",'DL17. Khiếu nại'!$J$4:$J$500))*('DL17. Khiếu nại'!$A$4:$A$500&lt;&gt;""),ROW('DL17. Khiếu nại'!$A$4:$A$500)-3),ROW()-18))),"")</f>
        <v>medium (Trung bình)</v>
      </c>
      <c r="E22" s="21" t="str">
        <f aca="false" t="array" ref="E22:E22">IFERROR(IF(INDEX('DL17. Khiếu nại'!$J$4:$J$500,SMALL(IF(ISERROR(SEARCH("resolved",'DL17. Khiếu nại'!$J$4:$J$500))*('DL17. Khiếu nại'!$A$4:$A$500&lt;&gt;""),ROW('DL17. Khiếu nại'!$A$4:$A$500)-3),ROW()-18))="","",INDEX('DL17. Khiếu nại'!$J$4:$J$500,SMALL(IF(ISERROR(SEARCH("resolved",'DL17. Khiếu nại'!$J$4:$J$500))*('DL17. Khiếu nại'!$A$4:$A$500&lt;&gt;""),ROW('DL17. Khiếu nại'!$A$4:$A$500)-3),ROW()-18))),"")</f>
        <v>new (Mới tiếp nhận)</v>
      </c>
      <c r="F22" s="185" t="n">
        <f aca="false" t="array" ref="F22:F22">IFERROR(IF(INDEX('DL17. Khiếu nại'!$F$4:$F$500,SMALL(IF(ISERROR(SEARCH("resolved",'DL17. Khiếu nại'!$J$4:$J$500))*('DL17. Khiếu nại'!$A$4:$A$500&lt;&gt;""),ROW('DL17. Khiếu nại'!$A$4:$A$500)-3),ROW()-18))="","",INDEX('DL17. Khiếu nại'!$F$4:$F$500,SMALL(IF(ISERROR(SEARCH("resolved",'DL17. Khiếu nại'!$J$4:$J$500))*('DL17. Khiếu nại'!$A$4:$A$500&lt;&gt;""),ROW('DL17. Khiếu nại'!$A$4:$A$500)-3),ROW()-18))),"")</f>
        <v>46208.4468865741</v>
      </c>
      <c r="G22" s="21" t="str">
        <f aca="false" t="array" ref="G22:G22">IFERROR(IF(INDEX('DL17. Khiếu nại'!$K$4:$K$500,SMALL(IF(ISERROR(SEARCH("resolved",'DL17. Khiếu nại'!$J$4:$J$500))*('DL17. Khiếu nại'!$A$4:$A$500&lt;&gt;""),ROW('DL17. Khiếu nại'!$A$4:$A$500)-3),ROW()-18))="","",INDEX('DL17. Khiếu nại'!$K$4:$K$500,SMALL(IF(ISERROR(SEARCH("resolved",'DL17. Khiếu nại'!$J$4:$J$500))*('DL17. Khiếu nại'!$A$4:$A$500&lt;&gt;""),ROW('DL17. Khiếu nại'!$A$4:$A$500)-3),ROW()-18))),"")</f>
        <v/>
      </c>
      <c r="H22" s="322" t="str">
        <f aca="false" t="array" ref="H22:H22">IFERROR(IF(INDEX('DL17. Khiếu nại'!$T$4:$T$500,SMALL(IF(ISERROR(SEARCH("resolved",'DL17. Khiếu nại'!$J$4:$J$500))*('DL17. Khiếu nại'!$A$4:$A$500&lt;&gt;""),ROW('DL17. Khiếu nại'!$A$4:$A$500)-3),ROW()-18))="","",INDEX('DL17. Khiếu nại'!$T$4:$T$500,SMALL(IF(ISERROR(SEARCH("resolved",'DL17. Khiếu nại'!$J$4:$J$500))*('DL17. Khiếu nại'!$A$4:$A$500&lt;&gt;""),ROW('DL17. Khiếu nại'!$A$4:$A$500)-3),ROW()-18))),"")</f>
        <v>Khiếu nại mới đã quá 2 giờ (cấu hình slaKN_assignment_hours) chưa phân công người xử lý. Việc cần làm: phân công gấp.</v>
      </c>
      <c r="I22" s="4"/>
      <c r="J22" s="4"/>
      <c r="K22" s="4"/>
      <c r="L22" s="4"/>
      <c r="M22" s="4"/>
      <c r="N22" s="4"/>
      <c r="O22" s="4"/>
      <c r="P22" s="4"/>
      <c r="Q22" s="4"/>
      <c r="R22" s="4"/>
      <c r="S22" s="4"/>
      <c r="T22" s="4"/>
      <c r="U22" s="4"/>
      <c r="V22" s="4"/>
      <c r="W22" s="4"/>
      <c r="X22" s="4"/>
      <c r="Y22" s="4"/>
      <c r="Z22" s="4"/>
    </row>
    <row r="23" customFormat="false" ht="27.75" hidden="false" customHeight="true" outlineLevel="0" collapsed="false">
      <c r="A23" s="21" t="str">
        <f aca="false" t="array" ref="A23:A23">IFERROR(IF(INDEX('DL17. Khiếu nại'!$A$4:$A$500,SMALL(IF(ISERROR(SEARCH("resolved",'DL17. Khiếu nại'!$J$4:$J$500))*('DL17. Khiếu nại'!$A$4:$A$500&lt;&gt;""),ROW('DL17. Khiếu nại'!$A$4:$A$500)-3),ROW()-18))="","",INDEX('DL17. Khiếu nại'!$A$4:$A$500,SMALL(IF(ISERROR(SEARCH("resolved",'DL17. Khiếu nại'!$J$4:$J$500))*('DL17. Khiếu nại'!$A$4:$A$500&lt;&gt;""),ROW('DL17. Khiếu nại'!$A$4:$A$500)-3),ROW()-18))),"")</f>
        <v/>
      </c>
      <c r="B23" s="21" t="str">
        <f aca="false" t="array" ref="B23:B23">IFERROR(IF(INDEX('DL17. Khiếu nại'!$B$4:$B$500,SMALL(IF(ISERROR(SEARCH("resolved",'DL17. Khiếu nại'!$J$4:$J$500))*('DL17. Khiếu nại'!$A$4:$A$500&lt;&gt;""),ROW('DL17. Khiếu nại'!$A$4:$A$500)-3),ROW()-18))="","",INDEX('DL17. Khiếu nại'!$B$4:$B$500,SMALL(IF(ISERROR(SEARCH("resolved",'DL17. Khiếu nại'!$J$4:$J$500))*('DL17. Khiếu nại'!$A$4:$A$500&lt;&gt;""),ROW('DL17. Khiếu nại'!$A$4:$A$500)-3),ROW()-18))),"")</f>
        <v/>
      </c>
      <c r="C23" s="21" t="str">
        <f aca="false" t="array" ref="C23:C23">IFERROR(IF(INDEX('DL17. Khiếu nại'!$G$4:$G$500,SMALL(IF(ISERROR(SEARCH("resolved",'DL17. Khiếu nại'!$J$4:$J$500))*('DL17. Khiếu nại'!$A$4:$A$500&lt;&gt;""),ROW('DL17. Khiếu nại'!$A$4:$A$500)-3),ROW()-18))="","",INDEX('DL17. Khiếu nại'!$G$4:$G$500,SMALL(IF(ISERROR(SEARCH("resolved",'DL17. Khiếu nại'!$J$4:$J$500))*('DL17. Khiếu nại'!$A$4:$A$500&lt;&gt;""),ROW('DL17. Khiếu nại'!$A$4:$A$500)-3),ROW()-18))),"")</f>
        <v/>
      </c>
      <c r="D23" s="21" t="str">
        <f aca="false" t="array" ref="D23:D23">IFERROR(IF(INDEX('DL17. Khiếu nại'!$H$4:$H$500,SMALL(IF(ISERROR(SEARCH("resolved",'DL17. Khiếu nại'!$J$4:$J$500))*('DL17. Khiếu nại'!$A$4:$A$500&lt;&gt;""),ROW('DL17. Khiếu nại'!$A$4:$A$500)-3),ROW()-18))="","",INDEX('DL17. Khiếu nại'!$H$4:$H$500,SMALL(IF(ISERROR(SEARCH("resolved",'DL17. Khiếu nại'!$J$4:$J$500))*('DL17. Khiếu nại'!$A$4:$A$500&lt;&gt;""),ROW('DL17. Khiếu nại'!$A$4:$A$500)-3),ROW()-18))),"")</f>
        <v/>
      </c>
      <c r="E23" s="21" t="str">
        <f aca="false" t="array" ref="E23:E23">IFERROR(IF(INDEX('DL17. Khiếu nại'!$J$4:$J$500,SMALL(IF(ISERROR(SEARCH("resolved",'DL17. Khiếu nại'!$J$4:$J$500))*('DL17. Khiếu nại'!$A$4:$A$500&lt;&gt;""),ROW('DL17. Khiếu nại'!$A$4:$A$500)-3),ROW()-18))="","",INDEX('DL17. Khiếu nại'!$J$4:$J$500,SMALL(IF(ISERROR(SEARCH("resolved",'DL17. Khiếu nại'!$J$4:$J$500))*('DL17. Khiếu nại'!$A$4:$A$500&lt;&gt;""),ROW('DL17. Khiếu nại'!$A$4:$A$500)-3),ROW()-18))),"")</f>
        <v/>
      </c>
      <c r="F23" s="185" t="str">
        <f aca="false" t="array" ref="F23:F23">IFERROR(IF(INDEX('DL17. Khiếu nại'!$F$4:$F$500,SMALL(IF(ISERROR(SEARCH("resolved",'DL17. Khiếu nại'!$J$4:$J$500))*('DL17. Khiếu nại'!$A$4:$A$500&lt;&gt;""),ROW('DL17. Khiếu nại'!$A$4:$A$500)-3),ROW()-18))="","",INDEX('DL17. Khiếu nại'!$F$4:$F$500,SMALL(IF(ISERROR(SEARCH("resolved",'DL17. Khiếu nại'!$J$4:$J$500))*('DL17. Khiếu nại'!$A$4:$A$500&lt;&gt;""),ROW('DL17. Khiếu nại'!$A$4:$A$500)-3),ROW()-18))),"")</f>
        <v/>
      </c>
      <c r="G23" s="21" t="str">
        <f aca="false" t="array" ref="G23:G23">IFERROR(IF(INDEX('DL17. Khiếu nại'!$K$4:$K$500,SMALL(IF(ISERROR(SEARCH("resolved",'DL17. Khiếu nại'!$J$4:$J$500))*('DL17. Khiếu nại'!$A$4:$A$500&lt;&gt;""),ROW('DL17. Khiếu nại'!$A$4:$A$500)-3),ROW()-18))="","",INDEX('DL17. Khiếu nại'!$K$4:$K$500,SMALL(IF(ISERROR(SEARCH("resolved",'DL17. Khiếu nại'!$J$4:$J$500))*('DL17. Khiếu nại'!$A$4:$A$500&lt;&gt;""),ROW('DL17. Khiếu nại'!$A$4:$A$500)-3),ROW()-18))),"")</f>
        <v/>
      </c>
      <c r="H23" s="322" t="str">
        <f aca="false" t="array" ref="H23:H23">IFERROR(IF(INDEX('DL17. Khiếu nại'!$T$4:$T$500,SMALL(IF(ISERROR(SEARCH("resolved",'DL17. Khiếu nại'!$J$4:$J$500))*('DL17. Khiếu nại'!$A$4:$A$500&lt;&gt;""),ROW('DL17. Khiếu nại'!$A$4:$A$500)-3),ROW()-18))="","",INDEX('DL17. Khiếu nại'!$T$4:$T$500,SMALL(IF(ISERROR(SEARCH("resolved",'DL17. Khiếu nại'!$J$4:$J$500))*('DL17. Khiếu nại'!$A$4:$A$500&lt;&gt;""),ROW('DL17. Khiếu nại'!$A$4:$A$500)-3),ROW()-18))),"")</f>
        <v/>
      </c>
      <c r="I23" s="4"/>
      <c r="J23" s="4"/>
      <c r="K23" s="4"/>
      <c r="L23" s="4"/>
      <c r="M23" s="4"/>
      <c r="N23" s="4"/>
      <c r="O23" s="4"/>
      <c r="P23" s="4"/>
      <c r="Q23" s="4"/>
      <c r="R23" s="4"/>
      <c r="S23" s="4"/>
      <c r="T23" s="4"/>
      <c r="U23" s="4"/>
      <c r="V23" s="4"/>
      <c r="W23" s="4"/>
      <c r="X23" s="4"/>
      <c r="Y23" s="4"/>
      <c r="Z23" s="4"/>
    </row>
    <row r="24" customFormat="false" ht="1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30" hidden="false" customHeight="true" outlineLevel="0" collapsed="false">
      <c r="A25" s="260" t="s">
        <v>4031</v>
      </c>
      <c r="B25" s="260"/>
      <c r="C25" s="260"/>
      <c r="D25" s="260"/>
      <c r="E25" s="260"/>
      <c r="F25" s="260"/>
      <c r="G25" s="260"/>
      <c r="H25" s="260"/>
      <c r="I25" s="4"/>
      <c r="J25" s="4"/>
      <c r="K25" s="4"/>
      <c r="L25" s="4"/>
      <c r="M25" s="4"/>
      <c r="N25" s="4"/>
      <c r="O25" s="4"/>
      <c r="P25" s="4"/>
      <c r="Q25" s="4"/>
      <c r="R25" s="4"/>
      <c r="S25" s="4"/>
      <c r="T25" s="4"/>
      <c r="U25" s="4"/>
      <c r="V25" s="4"/>
      <c r="W25" s="4"/>
      <c r="X25" s="4"/>
      <c r="Y25" s="4"/>
      <c r="Z25" s="4"/>
    </row>
    <row r="26" customFormat="false" ht="19.5" hidden="false" customHeight="true" outlineLevel="0" collapsed="false">
      <c r="A26" s="261" t="s">
        <v>472</v>
      </c>
      <c r="B26" s="261" t="s">
        <v>2116</v>
      </c>
      <c r="C26" s="261"/>
      <c r="D26" s="261" t="s">
        <v>944</v>
      </c>
      <c r="E26" s="261" t="s">
        <v>4032</v>
      </c>
      <c r="F26" s="261" t="s">
        <v>250</v>
      </c>
      <c r="G26" s="261" t="s">
        <v>4033</v>
      </c>
      <c r="H26" s="261"/>
      <c r="I26" s="4"/>
      <c r="J26" s="4"/>
      <c r="K26" s="4"/>
      <c r="L26" s="4"/>
      <c r="M26" s="4"/>
      <c r="N26" s="4"/>
      <c r="O26" s="4"/>
      <c r="P26" s="4"/>
      <c r="Q26" s="4"/>
      <c r="R26" s="4"/>
      <c r="S26" s="4"/>
      <c r="T26" s="4"/>
      <c r="U26" s="4"/>
      <c r="V26" s="4"/>
      <c r="W26" s="4"/>
      <c r="X26" s="4"/>
      <c r="Y26" s="4"/>
      <c r="Z26" s="4"/>
    </row>
    <row r="27" customFormat="false" ht="42" hidden="false" customHeight="true" outlineLevel="0" collapsed="false">
      <c r="A27" s="350" t="str">
        <f aca="false">HYPERLINK("#'CH6. Ngưỡng KPI'!A"&amp;MATCH("PLR48",'CH6. Ngưỡng KPI'!$A:$A,0),"PLR48")</f>
        <v>PLR48</v>
      </c>
      <c r="B27" s="166" t="str">
        <f aca="false">IFERROR(VLOOKUP("PLR48",'BC2. Chỉ số KPI'!$B:$H,2,FALSE()),"")</f>
        <v>Placement Rate 48h - Tỷ lệ xếp lớp trong 48h sau confirm</v>
      </c>
      <c r="C27" s="166"/>
      <c r="D27" s="44" t="n">
        <f aca="false">IFERROR(VLOOKUP("PLR48",'BC2. Chỉ số KPI'!$B:$H,4,FALSE()),"")</f>
        <v>1</v>
      </c>
      <c r="E27" s="193" t="str">
        <f aca="false">IFERROR(VLOOKUP("PLR48",'BC2. Chỉ số KPI'!$B:$H,5,FALSE()),"")</f>
        <v>≥ 90%</v>
      </c>
      <c r="F27" s="44" t="str">
        <f aca="false">IFERROR(VLOOKUP("PLR48",'BC2. Chỉ số KPI'!$B:$H,6,FALSE()),"")</f>
        <v>ĐẠT</v>
      </c>
      <c r="G27" s="166" t="str">
        <f aca="false">IFERROR(VLOOKUP("PLR48",'BC2. Chỉ số KPI'!$B:$H,7,FALSE()),"")</f>
        <v>Thấp = học viên chờ đợi và mất trải nghiệm tốt ngay từ đầu. Đọc cùng Trạng thái Onboarding (onboarding_status) để biết toàn bộ thời gian từ đăng ký đến vào lớp</v>
      </c>
      <c r="H27" s="166"/>
      <c r="I27" s="4"/>
      <c r="J27" s="4"/>
      <c r="K27" s="4"/>
      <c r="L27" s="4"/>
      <c r="M27" s="4"/>
      <c r="N27" s="4"/>
      <c r="O27" s="4"/>
      <c r="P27" s="4"/>
      <c r="Q27" s="4"/>
      <c r="R27" s="4"/>
      <c r="S27" s="4"/>
      <c r="T27" s="4"/>
      <c r="U27" s="4"/>
      <c r="V27" s="4"/>
      <c r="W27" s="4"/>
      <c r="X27" s="4"/>
      <c r="Y27" s="4"/>
      <c r="Z27" s="4"/>
    </row>
    <row r="28" customFormat="false" ht="42" hidden="false" customHeight="true" outlineLevel="0" collapsed="false">
      <c r="A28" s="350" t="str">
        <f aca="false">HYPERLINK("#'CH6. Ngưỡng KPI'!A"&amp;MATCH("OBT",'CH6. Ngưỡng KPI'!$A:$A,0),"OBT")</f>
        <v>OBT</v>
      </c>
      <c r="B28" s="166" t="str">
        <f aca="false">IFERROR(VLOOKUP("OBT",'BC2. Chỉ số KPI'!$B:$H,2,FALSE()),"")</f>
        <v>Onboarding Time - TB giờ từ confirm onboarding done</v>
      </c>
      <c r="C28" s="166"/>
      <c r="D28" s="44" t="n">
        <f aca="false">IFERROR(VLOOKUP("OBT",'BC2. Chỉ số KPI'!$B:$H,4,FALSE()),"")</f>
        <v>24</v>
      </c>
      <c r="E28" s="193" t="str">
        <f aca="false">IFERROR(VLOOKUP("OBT",'BC2. Chỉ số KPI'!$B:$H,5,FALSE()),"")</f>
        <v>≤ 72h</v>
      </c>
      <c r="F28" s="44" t="str">
        <f aca="false">IFERROR(VLOOKUP("OBT",'BC2. Chỉ số KPI'!$B:$H,6,FALSE()),"")</f>
        <v>ĐẠT</v>
      </c>
      <c r="G28" s="166" t="str">
        <f aca="false">IFERROR(VLOOKUP("OBT",'BC2. Chỉ số KPI'!$B:$H,7,FALSE()),"")</f>
        <v>Học viên chưa hoàn thành onboarding khi bắt đầu học = không biết cách dùng LMS, không biết lịch, không biết nội quy - tạo ra rào cản ngay từ buổi đầu</v>
      </c>
      <c r="H28" s="166"/>
      <c r="I28" s="4"/>
      <c r="J28" s="4"/>
      <c r="K28" s="4"/>
      <c r="L28" s="4"/>
      <c r="M28" s="4"/>
      <c r="N28" s="4"/>
      <c r="O28" s="4"/>
      <c r="P28" s="4"/>
      <c r="Q28" s="4"/>
      <c r="R28" s="4"/>
      <c r="S28" s="4"/>
      <c r="T28" s="4"/>
      <c r="U28" s="4"/>
      <c r="V28" s="4"/>
      <c r="W28" s="4"/>
      <c r="X28" s="4"/>
      <c r="Y28" s="4"/>
      <c r="Z28" s="4"/>
    </row>
    <row r="29" customFormat="false" ht="42" hidden="false" customHeight="true" outlineLevel="0" collapsed="false">
      <c r="A29" s="350" t="str">
        <f aca="false">HYPERLINK("#'CH6. Ngưỡng KPI'!A"&amp;MATCH("AIR",'CH6. Ngưỡng KPI'!$A:$A,0),"AIR")</f>
        <v>AIR</v>
      </c>
      <c r="B29" s="166" t="str">
        <f aca="false">IFERROR(VLOOKUP("AIR",'BC2. Chỉ số KPI'!$B:$H,2,FALSE()),"")</f>
        <v>At-Risk Academic Rate - Tỷ lệ HV at_risk học thuật</v>
      </c>
      <c r="C29" s="166"/>
      <c r="D29" s="353" t="n">
        <f aca="false">IFERROR(VLOOKUP("AIR",'BC2. Chỉ số KPI'!$B:$H,4,FALSE()),"")</f>
        <v>0.142857142857143</v>
      </c>
      <c r="E29" s="193" t="str">
        <f aca="false">IFERROR(VLOOKUP("AIR",'BC2. Chỉ số KPI'!$B:$H,5,FALSE()),"")</f>
        <v>≤ 10%</v>
      </c>
      <c r="F29" s="44" t="str">
        <f aca="false">IFERROR(VLOOKUP("AIR",'BC2. Chỉ số KPI'!$B:$H,6,FALSE()),"")</f>
        <v>VƯỢT NGƯỠNG</v>
      </c>
      <c r="G29" s="166" t="str">
        <f aca="false">IFERROR(VLOOKUP("AIR",'BC2. Chỉ số KPI'!$B:$H,7,FALSE()),"")</f>
        <v>Chỉ số này đo kỷ luật vận hành của học vụ, không đo kết quả can thiệp. Liên hệ kịp thời chưa đủ - cần đọc cùng tỷ lệ phục hồi sau can thiệp (RCR) để biết can thiệp có hiệu quả không</v>
      </c>
      <c r="H29" s="166"/>
      <c r="I29" s="4"/>
      <c r="J29" s="4"/>
      <c r="K29" s="4"/>
      <c r="L29" s="4"/>
      <c r="M29" s="4"/>
      <c r="N29" s="4"/>
      <c r="O29" s="4"/>
      <c r="P29" s="4"/>
      <c r="Q29" s="4"/>
      <c r="R29" s="4"/>
      <c r="S29" s="4"/>
      <c r="T29" s="4"/>
      <c r="U29" s="4"/>
      <c r="V29" s="4"/>
      <c r="W29" s="4"/>
      <c r="X29" s="4"/>
      <c r="Y29" s="4"/>
      <c r="Z29" s="4"/>
    </row>
    <row r="30" customFormat="false" ht="42" hidden="false" customHeight="true" outlineLevel="0" collapsed="false">
      <c r="A30" s="350" t="str">
        <f aca="false">HYPERLINK("#'CH6. Ngưỡng KPI'!A"&amp;MATCH("RCR",'CH6. Ngưỡng KPI'!$A:$A,0),"RCR")</f>
        <v>RCR</v>
      </c>
      <c r="B30" s="166" t="str">
        <f aca="false">IFERROR(VLOOKUP("RCR",'BC2. Chỉ số KPI'!$B:$H,2,FALSE()),"")</f>
        <v>Recovery Rate - Tỷ lệ HV at_risk quay lại on_track</v>
      </c>
      <c r="C30" s="166"/>
      <c r="D30" s="44" t="n">
        <f aca="false">IFERROR(VLOOKUP("RCR",'BC2. Chỉ số KPI'!$B:$H,4,FALSE()),"")</f>
        <v>0</v>
      </c>
      <c r="E30" s="193" t="str">
        <f aca="false">IFERROR(VLOOKUP("RCR",'BC2. Chỉ số KPI'!$B:$H,5,FALSE()),"")</f>
        <v>≥ 50%</v>
      </c>
      <c r="F30" s="44" t="str">
        <f aca="false">IFERROR(VLOOKUP("RCR",'BC2. Chỉ số KPI'!$B:$H,6,FALSE()),"")</f>
        <v>DƯỚI NGƯỠNG</v>
      </c>
      <c r="G30" s="166" t="str">
        <f aca="false">IFERROR(VLOOKUP("RCR",'BC2. Chỉ số KPI'!$B:$H,7,FALSE()),"")</f>
        <v>Thấp -&gt; can thiệp chưa đúng cách (chỉ nhắn tin thay vì gọi điện) hoặc nguyên nhân at_risk sâu hơn (tài chính, cá nhân) mà học vụ không giải quyết được một mình</v>
      </c>
      <c r="H30" s="166"/>
      <c r="I30" s="4"/>
      <c r="J30" s="4"/>
      <c r="K30" s="4"/>
      <c r="L30" s="4"/>
      <c r="M30" s="4"/>
      <c r="N30" s="4"/>
      <c r="O30" s="4"/>
      <c r="P30" s="4"/>
      <c r="Q30" s="4"/>
      <c r="R30" s="4"/>
      <c r="S30" s="4"/>
      <c r="T30" s="4"/>
      <c r="U30" s="4"/>
      <c r="V30" s="4"/>
      <c r="W30" s="4"/>
      <c r="X30" s="4"/>
      <c r="Y30" s="4"/>
      <c r="Z30" s="4"/>
    </row>
    <row r="31" customFormat="false" ht="42" hidden="false" customHeight="true" outlineLevel="0" collapsed="false">
      <c r="A31" s="350" t="str">
        <f aca="false">HYPERLINK("#'CH6. Ngưỡng KPI'!A"&amp;MATCH("FTR",'CH6. Ngưỡng KPI'!$A:$A,0),"FTR")</f>
        <v>FTR</v>
      </c>
      <c r="B31" s="166" t="str">
        <f aca="false">IFERROR(VLOOKUP("FTR",'BC2. Chỉ số KPI'!$B:$H,2,FALSE()),"")</f>
        <v>Feedback Time Rate - Xử lý feedback đúng SLA 24h</v>
      </c>
      <c r="C31" s="166"/>
      <c r="D31" s="44" t="n">
        <f aca="false">IFERROR(VLOOKUP("FTR",'BC2. Chỉ số KPI'!$B:$H,4,FALSE()),"")</f>
        <v>0.75</v>
      </c>
      <c r="E31" s="193" t="str">
        <f aca="false">IFERROR(VLOOKUP("FTR",'BC2. Chỉ số KPI'!$B:$H,5,FALSE()),"")</f>
        <v>≥ 100%</v>
      </c>
      <c r="F31" s="44" t="str">
        <f aca="false">IFERROR(VLOOKUP("FTR",'BC2. Chỉ số KPI'!$B:$H,6,FALSE()),"")</f>
        <v>DƯỚI NGƯỠNG</v>
      </c>
      <c r="G31" s="166" t="str">
        <f aca="false">IFERROR(VLOOKUP("FTR",'BC2. Chỉ số KPI'!$B:$H,7,FALSE()),"")</f>
        <v>Đây là chỉ số kỷ luật vận hành của học vụ. Quản lý nên xem FTR mỗi ngày đầu tuần để đảm bảo không có feedback nào bị bỏ quên</v>
      </c>
      <c r="H31" s="166"/>
      <c r="I31" s="4"/>
      <c r="J31" s="4"/>
      <c r="K31" s="4"/>
      <c r="L31" s="4"/>
      <c r="M31" s="4"/>
      <c r="N31" s="4"/>
      <c r="O31" s="4"/>
      <c r="P31" s="4"/>
      <c r="Q31" s="4"/>
      <c r="R31" s="4"/>
      <c r="S31" s="4"/>
      <c r="T31" s="4"/>
      <c r="U31" s="4"/>
      <c r="V31" s="4"/>
      <c r="W31" s="4"/>
      <c r="X31" s="4"/>
      <c r="Y31" s="4"/>
      <c r="Z31" s="4"/>
    </row>
    <row r="32" customFormat="false" ht="42" hidden="false" customHeight="true" outlineLevel="0" collapsed="false">
      <c r="A32" s="271" t="s">
        <v>3914</v>
      </c>
      <c r="B32" s="166" t="str">
        <f aca="false">IFERROR(VLOOKUP("LFR",'BC2. Chỉ số KPI'!$B:$H,2,FALSE()),"")</f>
        <v>Learning Followup Rate - Ghi chú theo dõi đầy đủ</v>
      </c>
      <c r="C32" s="166"/>
      <c r="D32" s="44" t="n">
        <f aca="false">IFERROR(VLOOKUP("LFR",'BC2. Chỉ số KPI'!$B:$H,4,FALSE()),"")</f>
        <v>0</v>
      </c>
      <c r="E32" s="44" t="str">
        <f aca="false">IFERROR(VLOOKUP("LFR",'BC2. Chỉ số KPI'!$B:$H,5,FALSE()),"")</f>
        <v>100%</v>
      </c>
      <c r="F32" s="44" t="str">
        <f aca="false">IFERROR(VLOOKUP("LFR",'BC2. Chỉ số KPI'!$B:$H,6,FALSE()),"")</f>
        <v>DƯỚI 100%</v>
      </c>
      <c r="G32" s="166" t="str">
        <f aca="false">IFERROR(VLOOKUP("LFR",'BC2. Chỉ số KPI'!$B:$H,7,FALSE()),"")</f>
        <v>Không ghi chú = không theo dõi được. Ghi chú đầy đủ = quản lý có thể giám sát và hỗ trợ. Đây là điều kiện cần để RCR có thể đạt mức tốt</v>
      </c>
      <c r="H32" s="166"/>
      <c r="I32" s="4"/>
      <c r="J32" s="4"/>
      <c r="K32" s="4"/>
      <c r="L32" s="4"/>
      <c r="M32" s="4"/>
      <c r="N32" s="4"/>
      <c r="O32" s="4"/>
      <c r="P32" s="4"/>
      <c r="Q32" s="4"/>
      <c r="R32" s="4"/>
      <c r="S32" s="4"/>
      <c r="T32" s="4"/>
      <c r="U32" s="4"/>
      <c r="V32" s="4"/>
      <c r="W32" s="4"/>
      <c r="X32" s="4"/>
      <c r="Y32" s="4"/>
      <c r="Z32" s="4"/>
    </row>
    <row r="33" customFormat="false" ht="1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30" hidden="false" customHeight="true" outlineLevel="0" collapsed="false">
      <c r="A34" s="356" t="s">
        <v>4071</v>
      </c>
      <c r="B34" s="356"/>
      <c r="C34" s="356"/>
      <c r="D34" s="356"/>
      <c r="E34" s="356"/>
      <c r="F34" s="356"/>
      <c r="G34" s="356"/>
      <c r="H34" s="356"/>
      <c r="I34" s="4"/>
      <c r="J34" s="4"/>
      <c r="K34" s="4"/>
      <c r="L34" s="4"/>
      <c r="M34" s="4"/>
      <c r="N34" s="4"/>
      <c r="O34" s="4"/>
      <c r="P34" s="4"/>
      <c r="Q34" s="4"/>
      <c r="R34" s="4"/>
      <c r="S34" s="4"/>
      <c r="T34" s="4"/>
      <c r="U34" s="4"/>
      <c r="V34" s="4"/>
      <c r="W34" s="4"/>
      <c r="X34" s="4"/>
      <c r="Y34" s="4"/>
      <c r="Z34" s="4"/>
    </row>
    <row r="35" customFormat="false" ht="25.5" hidden="false" customHeight="true" outlineLevel="0" collapsed="false">
      <c r="A35" s="128" t="s">
        <v>4072</v>
      </c>
      <c r="B35" s="128"/>
      <c r="C35" s="128"/>
      <c r="D35" s="128"/>
      <c r="E35" s="357" t="n">
        <f aca="false" t="array" ref="E35:E35">IFERROR(SUMPRODUCT((COUNTIFS('DL16. Phản hồi'!D4:D500,'DL16. Phản hồi'!D4:D500,'DL16. Phản hồi'!F4:F500,"negative*")&gt;=3)*('DL16. Phản hồi'!D4:D500&lt;&gt;"")/COUNTIF('DL16. Phản hồi'!D4:D500,'DL16. Phản hồi'!D4:D500&amp;"")),0)</f>
        <v>0</v>
      </c>
      <c r="F35" s="276" t="s">
        <v>4073</v>
      </c>
      <c r="G35" s="276"/>
      <c r="H35" s="276"/>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4">
    <mergeCell ref="A1:H1"/>
    <mergeCell ref="A2:H2"/>
    <mergeCell ref="A4:B4"/>
    <mergeCell ref="C4:D4"/>
    <mergeCell ref="E4:F4"/>
    <mergeCell ref="G4:H4"/>
    <mergeCell ref="A5:B5"/>
    <mergeCell ref="C5:D5"/>
    <mergeCell ref="E5:F5"/>
    <mergeCell ref="G5:H5"/>
    <mergeCell ref="A6:B6"/>
    <mergeCell ref="C6:D6"/>
    <mergeCell ref="E6:F6"/>
    <mergeCell ref="G6:H6"/>
    <mergeCell ref="A8:H8"/>
    <mergeCell ref="A17:H17"/>
    <mergeCell ref="A25:H25"/>
    <mergeCell ref="B26:C26"/>
    <mergeCell ref="G26:H26"/>
    <mergeCell ref="B27:C27"/>
    <mergeCell ref="G27:H27"/>
    <mergeCell ref="B28:C28"/>
    <mergeCell ref="G28:H28"/>
    <mergeCell ref="B29:C29"/>
    <mergeCell ref="G29:H29"/>
    <mergeCell ref="B30:C30"/>
    <mergeCell ref="G30:H30"/>
    <mergeCell ref="B31:C31"/>
    <mergeCell ref="G31:H31"/>
    <mergeCell ref="B32:C32"/>
    <mergeCell ref="G32:H32"/>
    <mergeCell ref="A34:H34"/>
    <mergeCell ref="A35:D35"/>
    <mergeCell ref="F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770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B9" activeCellId="0" sqref="B9"/>
    </sheetView>
  </sheetViews>
  <sheetFormatPr defaultColWidth="14.43359375" defaultRowHeight="15" zeroHeight="false" outlineLevelRow="0" outlineLevelCol="0"/>
  <cols>
    <col collapsed="false" customWidth="true" hidden="false" outlineLevel="0" max="6" min="1" style="1" width="22.15"/>
    <col collapsed="false" customWidth="true" hidden="false" outlineLevel="0" max="7" min="7" style="1" width="40"/>
    <col collapsed="false" customWidth="true" hidden="false" outlineLevel="0" max="8" min="8" style="1" width="44"/>
    <col collapsed="false" customWidth="true" hidden="false" outlineLevel="0" max="26" min="9" style="1" width="8.71"/>
  </cols>
  <sheetData>
    <row r="1" customFormat="false" ht="31.5" hidden="false" customHeight="true" outlineLevel="0" collapsed="false">
      <c r="A1" s="325" t="s">
        <v>4074</v>
      </c>
      <c r="B1" s="325"/>
      <c r="C1" s="325"/>
      <c r="D1" s="325"/>
      <c r="E1" s="325"/>
      <c r="F1" s="325"/>
      <c r="G1" s="325"/>
      <c r="H1" s="325"/>
    </row>
    <row r="2" customFormat="false" ht="24" hidden="false" customHeight="true" outlineLevel="0" collapsed="false">
      <c r="A2" s="3" t="s">
        <v>4075</v>
      </c>
      <c r="B2" s="3"/>
      <c r="C2" s="3"/>
      <c r="D2" s="3"/>
      <c r="E2" s="3"/>
      <c r="F2" s="3"/>
      <c r="G2" s="3"/>
      <c r="H2" s="3"/>
    </row>
    <row r="3" customFormat="false" ht="15" hidden="false" customHeight="true" outlineLevel="0" collapsed="false">
      <c r="A3" s="4"/>
      <c r="B3" s="4"/>
      <c r="C3" s="4"/>
      <c r="D3" s="4"/>
      <c r="E3" s="4"/>
      <c r="F3" s="4"/>
      <c r="G3" s="4"/>
      <c r="H3" s="4"/>
    </row>
    <row r="4" customFormat="false" ht="33" hidden="false" customHeight="true" outlineLevel="0" collapsed="false">
      <c r="A4" s="9" t="str">
        <f aca="false">"CK từ "&amp;TEXT(thresholdDiscount_approval,"#,##0")&amp;"đ cần duyệt"</f>
        <v>CK từ 1,000,000đ cần duyệt</v>
      </c>
      <c r="B4" s="9"/>
      <c r="C4" s="16" t="str">
        <f aca="false">"Đổi lớp từ "&amp;thresholdPlacementChange_count&amp;" lần"</f>
        <v>Đổi lớp từ 2 lần</v>
      </c>
      <c r="D4" s="16"/>
      <c r="E4" s="18" t="s">
        <v>4076</v>
      </c>
      <c r="F4" s="18"/>
      <c r="G4" s="17" t="s">
        <v>4077</v>
      </c>
      <c r="H4" s="17"/>
    </row>
    <row r="5" customFormat="false" ht="39.75" hidden="false" customHeight="true" outlineLevel="0" collapsed="false">
      <c r="A5" s="317" t="n">
        <f aca="false">COUNTIFS('DL06. Đăng ký'!I4:I500,"&gt;="&amp;thresholdDiscount_approval,'DL06. Đăng ký'!L4:L500,"")</f>
        <v>1</v>
      </c>
      <c r="B5" s="317"/>
      <c r="C5" s="317" t="n">
        <f aca="false">COUNTIF('DL08. Xếp lớp &amp; Nhập học'!N4:N500,"&gt;="&amp;thresholdPlacementChange_count)</f>
        <v>0</v>
      </c>
      <c r="D5" s="317"/>
      <c r="E5" s="317" t="n">
        <f aca="false">COUNTIF('DL17. Khiếu nại'!H4:H500,"high*")</f>
        <v>1</v>
      </c>
      <c r="F5" s="317"/>
      <c r="G5" s="317" t="n">
        <f aca="false">COUNTIF('DL17. Khiếu nại'!J4:J500,"escalated*")</f>
        <v>0</v>
      </c>
      <c r="H5" s="317"/>
    </row>
    <row r="6" customFormat="false" ht="22.5" hidden="false" customHeight="true" outlineLevel="0" collapsed="false">
      <c r="A6" s="13" t="str">
        <f aca="false">HYPERLINK("#'CH2. Tham số &amp; Quy tắc'!A"&amp;MATCH("thresholdDiscount_approval",'CH2. Tham số &amp; Quy tắc'!$A:$A,0),"discount_amount ≥ "&amp;TEXT(thresholdDiscount_approval,"#,##0")&amp;"đ")</f>
        <v>discount_amount ≥ 1,000,000đ</v>
      </c>
      <c r="B6" s="13"/>
      <c r="C6" s="12" t="s">
        <v>4078</v>
      </c>
      <c r="D6" s="12"/>
      <c r="E6" s="13" t="str">
        <f aca="false">HYPERLINK("#'CH2. Tham số &amp; Quy tắc'!A"&amp;MATCH("slaKN_high_hours",'CH2. Tham số &amp; Quy tắc'!$A:$A,0),"QL tham gia trong "&amp;slaKN_high_hours&amp;"h")</f>
        <v>QL tham gia trong 4h</v>
      </c>
      <c r="F6" s="13"/>
      <c r="G6" s="12" t="s">
        <v>4079</v>
      </c>
      <c r="H6" s="12"/>
    </row>
    <row r="7" customFormat="false" ht="15" hidden="false" customHeight="true" outlineLevel="0" collapsed="false">
      <c r="A7" s="4"/>
      <c r="B7" s="4"/>
      <c r="C7" s="4"/>
      <c r="D7" s="4"/>
      <c r="E7" s="4"/>
      <c r="F7" s="4"/>
      <c r="G7" s="4"/>
      <c r="H7" s="4"/>
    </row>
    <row r="8" customFormat="false" ht="28.5" hidden="false" customHeight="true" outlineLevel="0" collapsed="false">
      <c r="A8" s="358" t="s">
        <v>4080</v>
      </c>
      <c r="B8" s="358"/>
      <c r="C8" s="358"/>
      <c r="D8" s="358"/>
      <c r="E8" s="358"/>
      <c r="F8" s="358"/>
      <c r="G8" s="358"/>
      <c r="H8" s="358"/>
    </row>
    <row r="9" customFormat="false" ht="22.5" hidden="false" customHeight="true" outlineLevel="0" collapsed="false">
      <c r="A9" s="320" t="s">
        <v>4081</v>
      </c>
      <c r="B9" s="320" t="s">
        <v>2017</v>
      </c>
      <c r="C9" s="320" t="s">
        <v>3798</v>
      </c>
      <c r="D9" s="320" t="s">
        <v>4082</v>
      </c>
      <c r="E9" s="320" t="s">
        <v>4083</v>
      </c>
      <c r="F9" s="320" t="s">
        <v>4084</v>
      </c>
      <c r="G9" s="320" t="s">
        <v>4085</v>
      </c>
      <c r="H9" s="320" t="s">
        <v>4086</v>
      </c>
    </row>
    <row r="10" customFormat="false" ht="27.75" hidden="false" customHeight="true" outlineLevel="0" collapsed="false">
      <c r="A10" s="240" t="str">
        <f aca="false" t="array" ref="A10:A10">IFERROR(IF(INDEX('DL06. Đăng ký'!$A$4:$A$500,SMALL(IF(('DL06. Đăng ký'!$I$4:$I$500&gt;=thresholdDiscount_approval)*('DL06. Đăng ký'!$L$4:$L$500="")*('DL06. Đăng ký'!$A$4:$A$500&lt;&gt;""),ROW('DL06. Đăng ký'!$A$4:$A$500)-3),ROW()-9))="","",INDEX('DL06. Đăng ký'!$A$4:$A$500,SMALL(IF(('DL06. Đăng ký'!$I$4:$I$500&gt;=thresholdDiscount_approval)*('DL06. Đăng ký'!$L$4:$L$500="")*('DL06. Đăng ký'!$A$4:$A$500&lt;&gt;""),ROW('DL06. Đăng ký'!$A$4:$A$500)-3),ROW()-9))),"")</f>
        <v>ENR-2026-006</v>
      </c>
      <c r="B10" s="359" t="str">
        <f aca="false" t="array" ref="B10:B10">IFERROR(IF(INDEX('DL06. Đăng ký'!$B$4:$B$500,SMALL(IF(('DL06. Đăng ký'!$I$4:$I$500&gt;=thresholdDiscount_approval)*('DL06. Đăng ký'!$L$4:$L$500="")*('DL06. Đăng ký'!$A$4:$A$500&lt;&gt;""),ROW('DL06. Đăng ký'!$A$4:$A$500)-3),ROW()-9))="","",INDEX('DL06. Đăng ký'!$B$4:$B$500,SMALL(IF(('DL06. Đăng ký'!$I$4:$I$500&gt;=thresholdDiscount_approval)*('DL06. Đăng ký'!$L$4:$L$500="")*('DL06. Đăng ký'!$A$4:$A$500&lt;&gt;""),ROW('DL06. Đăng ký'!$A$4:$A$500)-3),ROW()-9))),"")</f>
        <v>HV006</v>
      </c>
      <c r="C10" s="359" t="str">
        <f aca="false" t="array" ref="C10:C10">IFERROR(IF(INDEX('DL06. Đăng ký'!$E$4:$E$500,SMALL(IF(('DL06. Đăng ký'!$I$4:$I$500&gt;=thresholdDiscount_approval)*('DL06. Đăng ký'!$L$4:$L$500="")*('DL06. Đăng ký'!$A$4:$A$500&lt;&gt;""),ROW('DL06. Đăng ký'!$A$4:$A$500)-3),ROW()-9))="","",INDEX('DL06. Đăng ký'!$E$4:$E$500,SMALL(IF(('DL06. Đăng ký'!$I$4:$I$500&gt;=thresholdDiscount_approval)*('DL06. Đăng ký'!$L$4:$L$500="")*('DL06. Đăng ký'!$A$4:$A$500&lt;&gt;""),ROW('DL06. Đăng ký'!$A$4:$A$500)-3),ROW()-9))),"")</f>
        <v>CRS-FOUND-01</v>
      </c>
      <c r="D10" s="360" t="n">
        <f aca="false" t="array" ref="D10:D10">IFERROR(IF(INDEX('DL06. Đăng ký'!$H$4:$H$500,SMALL(IF(('DL06. Đăng ký'!$I$4:$I$500&gt;=thresholdDiscount_approval)*('DL06. Đăng ký'!$L$4:$L$500="")*('DL06. Đăng ký'!$A$4:$A$500&lt;&gt;""),ROW('DL06. Đăng ký'!$A$4:$A$500)-3),ROW()-9))="","",INDEX('DL06. Đăng ký'!$H$4:$H$500,SMALL(IF(('DL06. Đăng ký'!$I$4:$I$500&gt;=thresholdDiscount_approval)*('DL06. Đăng ký'!$L$4:$L$500="")*('DL06. Đăng ký'!$A$4:$A$500&lt;&gt;""),ROW('DL06. Đăng ký'!$A$4:$A$500)-3),ROW()-9))),"")</f>
        <v>15000000</v>
      </c>
      <c r="E10" s="360" t="n">
        <f aca="false" t="array" ref="E10:E10">IFERROR(IF(INDEX('DL06. Đăng ký'!$I$4:$I$500,SMALL(IF(('DL06. Đăng ký'!$I$4:$I$500&gt;=thresholdDiscount_approval)*('DL06. Đăng ký'!$L$4:$L$500="")*('DL06. Đăng ký'!$A$4:$A$500&lt;&gt;""),ROW('DL06. Đăng ký'!$A$4:$A$500)-3),ROW()-9))="","",INDEX('DL06. Đăng ký'!$I$4:$I$500,SMALL(IF(('DL06. Đăng ký'!$I$4:$I$500&gt;=thresholdDiscount_approval)*('DL06. Đăng ký'!$L$4:$L$500="")*('DL06. Đăng ký'!$A$4:$A$500&lt;&gt;""),ROW('DL06. Đăng ký'!$A$4:$A$500)-3),ROW()-9))),"")</f>
        <v>1500000</v>
      </c>
      <c r="F10" s="240" t="str">
        <f aca="false" t="array" ref="F10:F10">IFERROR(IF(INDEX('DL06. Đăng ký'!$J$4:$J$500,SMALL(IF(('DL06. Đăng ký'!$I$4:$I$500&gt;=thresholdDiscount_approval)*('DL06. Đăng ký'!$L$4:$L$500="")*('DL06. Đăng ký'!$A$4:$A$500&lt;&gt;""),ROW('DL06. Đăng ký'!$A$4:$A$500)-3),ROW()-9))="","",INDEX('DL06. Đăng ký'!$J$4:$J$500,SMALL(IF(('DL06. Đăng ký'!$I$4:$I$500&gt;=thresholdDiscount_approval)*('DL06. Đăng ký'!$L$4:$L$500="")*('DL06. Đăng ký'!$A$4:$A$500&lt;&gt;""),ROW('DL06. Đăng ký'!$A$4:$A$500)-3),ROW()-9))),"")</f>
        <v>loyalty (Khách cũ)</v>
      </c>
      <c r="G10" s="240" t="str">
        <f aca="false" t="array" ref="G10:G10">IFERROR(IF(INDEX('DL06. Đăng ký'!$K$4:$K$500,SMALL(IF(('DL06. Đăng ký'!$I$4:$I$500&gt;=thresholdDiscount_approval)*('DL06. Đăng ký'!$L$4:$L$500="")*('DL06. Đăng ký'!$A$4:$A$500&lt;&gt;""),ROW('DL06. Đăng ký'!$A$4:$A$500)-3),ROW()-9))="","",INDEX('DL06. Đăng ký'!$K$4:$K$500,SMALL(IF(('DL06. Đăng ký'!$I$4:$I$500&gt;=thresholdDiscount_approval)*('DL06. Đăng ký'!$L$4:$L$500="")*('DL06. Đăng ký'!$A$4:$A$500&lt;&gt;""),ROW('DL06. Đăng ký'!$A$4:$A$500)-3),ROW()-9))),"")</f>
        <v>Học viên cũ giới thiệu</v>
      </c>
      <c r="H10" s="185" t="n">
        <f aca="false" t="array" ref="H10:H10">IFERROR(IF(INDEX('DL06. Đăng ký'!$G$4:$G$500,SMALL(IF(('DL06. Đăng ký'!$I$4:$I$500&gt;=thresholdDiscount_approval)*('DL06. Đăng ký'!$L$4:$L$500="")*('DL06. Đăng ký'!$A$4:$A$500&lt;&gt;""),ROW('DL06. Đăng ký'!$A$4:$A$500)-3),ROW()-9))="","",INDEX('DL06. Đăng ký'!$G$4:$G$500,SMALL(IF(('DL06. Đăng ký'!$I$4:$I$500&gt;=thresholdDiscount_approval)*('DL06. Đăng ký'!$L$4:$L$500="")*('DL06. Đăng ký'!$A$4:$A$500&lt;&gt;""),ROW('DL06. Đăng ký'!$A$4:$A$500)-3),ROW()-9))),"")</f>
        <v>46192.375</v>
      </c>
    </row>
    <row r="11" customFormat="false" ht="27.75" hidden="false" customHeight="true" outlineLevel="0" collapsed="false">
      <c r="A11" s="240" t="str">
        <f aca="false" t="array" ref="A11:A11">IFERROR(IF(INDEX('DL06. Đăng ký'!$A$4:$A$500,SMALL(IF(('DL06. Đăng ký'!$I$4:$I$500&gt;=thresholdDiscount_approval)*('DL06. Đăng ký'!$L$4:$L$500="")*('DL06. Đăng ký'!$A$4:$A$500&lt;&gt;""),ROW('DL06. Đăng ký'!$A$4:$A$500)-3),ROW()-9))="","",INDEX('DL06. Đăng ký'!$A$4:$A$500,SMALL(IF(('DL06. Đăng ký'!$I$4:$I$500&gt;=thresholdDiscount_approval)*('DL06. Đăng ký'!$L$4:$L$500="")*('DL06. Đăng ký'!$A$4:$A$500&lt;&gt;""),ROW('DL06. Đăng ký'!$A$4:$A$500)-3),ROW()-9))),"")</f>
        <v/>
      </c>
      <c r="B11" s="240" t="str">
        <f aca="false" t="array" ref="B11:B11">IFERROR(IF(INDEX('DL06. Đăng ký'!$B$4:$B$500,SMALL(IF(('DL06. Đăng ký'!$I$4:$I$500&gt;=thresholdDiscount_approval)*('DL06. Đăng ký'!$L$4:$L$500="")*('DL06. Đăng ký'!$A$4:$A$500&lt;&gt;""),ROW('DL06. Đăng ký'!$A$4:$A$500)-3),ROW()-9))="","",INDEX('DL06. Đăng ký'!$B$4:$B$500,SMALL(IF(('DL06. Đăng ký'!$I$4:$I$500&gt;=thresholdDiscount_approval)*('DL06. Đăng ký'!$L$4:$L$500="")*('DL06. Đăng ký'!$A$4:$A$500&lt;&gt;""),ROW('DL06. Đăng ký'!$A$4:$A$500)-3),ROW()-9))),"")</f>
        <v/>
      </c>
      <c r="C11" s="240" t="str">
        <f aca="false" t="array" ref="C11:C11">IFERROR(IF(INDEX('DL06. Đăng ký'!$E$4:$E$500,SMALL(IF(('DL06. Đăng ký'!$I$4:$I$500&gt;=thresholdDiscount_approval)*('DL06. Đăng ký'!$L$4:$L$500="")*('DL06. Đăng ký'!$A$4:$A$500&lt;&gt;""),ROW('DL06. Đăng ký'!$A$4:$A$500)-3),ROW()-9))="","",INDEX('DL06. Đăng ký'!$E$4:$E$500,SMALL(IF(('DL06. Đăng ký'!$I$4:$I$500&gt;=thresholdDiscount_approval)*('DL06. Đăng ký'!$L$4:$L$500="")*('DL06. Đăng ký'!$A$4:$A$500&lt;&gt;""),ROW('DL06. Đăng ký'!$A$4:$A$500)-3),ROW()-9))),"")</f>
        <v/>
      </c>
      <c r="D11" s="360" t="str">
        <f aca="false" t="array" ref="D11:D11">IFERROR(IF(INDEX('DL06. Đăng ký'!$H$4:$H$500,SMALL(IF(('DL06. Đăng ký'!$I$4:$I$500&gt;=thresholdDiscount_approval)*('DL06. Đăng ký'!$L$4:$L$500="")*('DL06. Đăng ký'!$A$4:$A$500&lt;&gt;""),ROW('DL06. Đăng ký'!$A$4:$A$500)-3),ROW()-9))="","",INDEX('DL06. Đăng ký'!$H$4:$H$500,SMALL(IF(('DL06. Đăng ký'!$I$4:$I$500&gt;=thresholdDiscount_approval)*('DL06. Đăng ký'!$L$4:$L$500="")*('DL06. Đăng ký'!$A$4:$A$500&lt;&gt;""),ROW('DL06. Đăng ký'!$A$4:$A$500)-3),ROW()-9))),"")</f>
        <v/>
      </c>
      <c r="E11" s="360" t="str">
        <f aca="false" t="array" ref="E11:E11">IFERROR(IF(INDEX('DL06. Đăng ký'!$I$4:$I$500,SMALL(IF(('DL06. Đăng ký'!$I$4:$I$500&gt;=thresholdDiscount_approval)*('DL06. Đăng ký'!$L$4:$L$500="")*('DL06. Đăng ký'!$A$4:$A$500&lt;&gt;""),ROW('DL06. Đăng ký'!$A$4:$A$500)-3),ROW()-9))="","",INDEX('DL06. Đăng ký'!$I$4:$I$500,SMALL(IF(('DL06. Đăng ký'!$I$4:$I$500&gt;=thresholdDiscount_approval)*('DL06. Đăng ký'!$L$4:$L$500="")*('DL06. Đăng ký'!$A$4:$A$500&lt;&gt;""),ROW('DL06. Đăng ký'!$A$4:$A$500)-3),ROW()-9))),"")</f>
        <v/>
      </c>
      <c r="F11" s="240" t="str">
        <f aca="false" t="array" ref="F11:F11">IFERROR(IF(INDEX('DL06. Đăng ký'!$J$4:$J$500,SMALL(IF(('DL06. Đăng ký'!$I$4:$I$500&gt;=thresholdDiscount_approval)*('DL06. Đăng ký'!$L$4:$L$500="")*('DL06. Đăng ký'!$A$4:$A$500&lt;&gt;""),ROW('DL06. Đăng ký'!$A$4:$A$500)-3),ROW()-9))="","",INDEX('DL06. Đăng ký'!$J$4:$J$500,SMALL(IF(('DL06. Đăng ký'!$I$4:$I$500&gt;=thresholdDiscount_approval)*('DL06. Đăng ký'!$L$4:$L$500="")*('DL06. Đăng ký'!$A$4:$A$500&lt;&gt;""),ROW('DL06. Đăng ký'!$A$4:$A$500)-3),ROW()-9))),"")</f>
        <v/>
      </c>
      <c r="G11" s="240" t="str">
        <f aca="false" t="array" ref="G11:G11">IFERROR(IF(INDEX('DL06. Đăng ký'!$K$4:$K$500,SMALL(IF(('DL06. Đăng ký'!$I$4:$I$500&gt;=thresholdDiscount_approval)*('DL06. Đăng ký'!$L$4:$L$500="")*('DL06. Đăng ký'!$A$4:$A$500&lt;&gt;""),ROW('DL06. Đăng ký'!$A$4:$A$500)-3),ROW()-9))="","",INDEX('DL06. Đăng ký'!$K$4:$K$500,SMALL(IF(('DL06. Đăng ký'!$I$4:$I$500&gt;=thresholdDiscount_approval)*('DL06. Đăng ký'!$L$4:$L$500="")*('DL06. Đăng ký'!$A$4:$A$500&lt;&gt;""),ROW('DL06. Đăng ký'!$A$4:$A$500)-3),ROW()-9))),"")</f>
        <v/>
      </c>
      <c r="H11" s="185" t="str">
        <f aca="false" t="array" ref="H11:H11">IFERROR(IF(INDEX('DL06. Đăng ký'!$G$4:$G$500,SMALL(IF(('DL06. Đăng ký'!$I$4:$I$500&gt;=thresholdDiscount_approval)*('DL06. Đăng ký'!$L$4:$L$500="")*('DL06. Đăng ký'!$A$4:$A$500&lt;&gt;""),ROW('DL06. Đăng ký'!$A$4:$A$500)-3),ROW()-9))="","",INDEX('DL06. Đăng ký'!$G$4:$G$500,SMALL(IF(('DL06. Đăng ký'!$I$4:$I$500&gt;=thresholdDiscount_approval)*('DL06. Đăng ký'!$L$4:$L$500="")*('DL06. Đăng ký'!$A$4:$A$500&lt;&gt;""),ROW('DL06. Đăng ký'!$A$4:$A$500)-3),ROW()-9))),"")</f>
        <v/>
      </c>
    </row>
    <row r="12" customFormat="false" ht="27.75" hidden="false" customHeight="true" outlineLevel="0" collapsed="false">
      <c r="A12" s="240" t="str">
        <f aca="false" t="array" ref="A12:A12">IFERROR(IF(INDEX('DL06. Đăng ký'!$A$4:$A$500,SMALL(IF(('DL06. Đăng ký'!$I$4:$I$500&gt;=thresholdDiscount_approval)*('DL06. Đăng ký'!$L$4:$L$500="")*('DL06. Đăng ký'!$A$4:$A$500&lt;&gt;""),ROW('DL06. Đăng ký'!$A$4:$A$500)-3),ROW()-9))="","",INDEX('DL06. Đăng ký'!$A$4:$A$500,SMALL(IF(('DL06. Đăng ký'!$I$4:$I$500&gt;=thresholdDiscount_approval)*('DL06. Đăng ký'!$L$4:$L$500="")*('DL06. Đăng ký'!$A$4:$A$500&lt;&gt;""),ROW('DL06. Đăng ký'!$A$4:$A$500)-3),ROW()-9))),"")</f>
        <v/>
      </c>
      <c r="B12" s="240" t="str">
        <f aca="false" t="array" ref="B12:B12">IFERROR(IF(INDEX('DL06. Đăng ký'!$B$4:$B$500,SMALL(IF(('DL06. Đăng ký'!$I$4:$I$500&gt;=thresholdDiscount_approval)*('DL06. Đăng ký'!$L$4:$L$500="")*('DL06. Đăng ký'!$A$4:$A$500&lt;&gt;""),ROW('DL06. Đăng ký'!$A$4:$A$500)-3),ROW()-9))="","",INDEX('DL06. Đăng ký'!$B$4:$B$500,SMALL(IF(('DL06. Đăng ký'!$I$4:$I$500&gt;=thresholdDiscount_approval)*('DL06. Đăng ký'!$L$4:$L$500="")*('DL06. Đăng ký'!$A$4:$A$500&lt;&gt;""),ROW('DL06. Đăng ký'!$A$4:$A$500)-3),ROW()-9))),"")</f>
        <v/>
      </c>
      <c r="C12" s="240" t="str">
        <f aca="false" t="array" ref="C12:C12">IFERROR(IF(INDEX('DL06. Đăng ký'!$E$4:$E$500,SMALL(IF(('DL06. Đăng ký'!$I$4:$I$500&gt;=thresholdDiscount_approval)*('DL06. Đăng ký'!$L$4:$L$500="")*('DL06. Đăng ký'!$A$4:$A$500&lt;&gt;""),ROW('DL06. Đăng ký'!$A$4:$A$500)-3),ROW()-9))="","",INDEX('DL06. Đăng ký'!$E$4:$E$500,SMALL(IF(('DL06. Đăng ký'!$I$4:$I$500&gt;=thresholdDiscount_approval)*('DL06. Đăng ký'!$L$4:$L$500="")*('DL06. Đăng ký'!$A$4:$A$500&lt;&gt;""),ROW('DL06. Đăng ký'!$A$4:$A$500)-3),ROW()-9))),"")</f>
        <v/>
      </c>
      <c r="D12" s="360" t="str">
        <f aca="false" t="array" ref="D12:D12">IFERROR(IF(INDEX('DL06. Đăng ký'!$H$4:$H$500,SMALL(IF(('DL06. Đăng ký'!$I$4:$I$500&gt;=thresholdDiscount_approval)*('DL06. Đăng ký'!$L$4:$L$500="")*('DL06. Đăng ký'!$A$4:$A$500&lt;&gt;""),ROW('DL06. Đăng ký'!$A$4:$A$500)-3),ROW()-9))="","",INDEX('DL06. Đăng ký'!$H$4:$H$500,SMALL(IF(('DL06. Đăng ký'!$I$4:$I$500&gt;=thresholdDiscount_approval)*('DL06. Đăng ký'!$L$4:$L$500="")*('DL06. Đăng ký'!$A$4:$A$500&lt;&gt;""),ROW('DL06. Đăng ký'!$A$4:$A$500)-3),ROW()-9))),"")</f>
        <v/>
      </c>
      <c r="E12" s="360" t="str">
        <f aca="false" t="array" ref="E12:E12">IFERROR(IF(INDEX('DL06. Đăng ký'!$I$4:$I$500,SMALL(IF(('DL06. Đăng ký'!$I$4:$I$500&gt;=thresholdDiscount_approval)*('DL06. Đăng ký'!$L$4:$L$500="")*('DL06. Đăng ký'!$A$4:$A$500&lt;&gt;""),ROW('DL06. Đăng ký'!$A$4:$A$500)-3),ROW()-9))="","",INDEX('DL06. Đăng ký'!$I$4:$I$500,SMALL(IF(('DL06. Đăng ký'!$I$4:$I$500&gt;=thresholdDiscount_approval)*('DL06. Đăng ký'!$L$4:$L$500="")*('DL06. Đăng ký'!$A$4:$A$500&lt;&gt;""),ROW('DL06. Đăng ký'!$A$4:$A$500)-3),ROW()-9))),"")</f>
        <v/>
      </c>
      <c r="F12" s="240" t="str">
        <f aca="false" t="array" ref="F12:F12">IFERROR(IF(INDEX('DL06. Đăng ký'!$J$4:$J$500,SMALL(IF(('DL06. Đăng ký'!$I$4:$I$500&gt;=thresholdDiscount_approval)*('DL06. Đăng ký'!$L$4:$L$500="")*('DL06. Đăng ký'!$A$4:$A$500&lt;&gt;""),ROW('DL06. Đăng ký'!$A$4:$A$500)-3),ROW()-9))="","",INDEX('DL06. Đăng ký'!$J$4:$J$500,SMALL(IF(('DL06. Đăng ký'!$I$4:$I$500&gt;=thresholdDiscount_approval)*('DL06. Đăng ký'!$L$4:$L$500="")*('DL06. Đăng ký'!$A$4:$A$500&lt;&gt;""),ROW('DL06. Đăng ký'!$A$4:$A$500)-3),ROW()-9))),"")</f>
        <v/>
      </c>
      <c r="G12" s="240" t="str">
        <f aca="false" t="array" ref="G12:G12">IFERROR(IF(INDEX('DL06. Đăng ký'!$K$4:$K$500,SMALL(IF(('DL06. Đăng ký'!$I$4:$I$500&gt;=thresholdDiscount_approval)*('DL06. Đăng ký'!$L$4:$L$500="")*('DL06. Đăng ký'!$A$4:$A$500&lt;&gt;""),ROW('DL06. Đăng ký'!$A$4:$A$500)-3),ROW()-9))="","",INDEX('DL06. Đăng ký'!$K$4:$K$500,SMALL(IF(('DL06. Đăng ký'!$I$4:$I$500&gt;=thresholdDiscount_approval)*('DL06. Đăng ký'!$L$4:$L$500="")*('DL06. Đăng ký'!$A$4:$A$500&lt;&gt;""),ROW('DL06. Đăng ký'!$A$4:$A$500)-3),ROW()-9))),"")</f>
        <v/>
      </c>
      <c r="H12" s="185" t="str">
        <f aca="false" t="array" ref="H12:H12">IFERROR(IF(INDEX('DL06. Đăng ký'!$G$4:$G$500,SMALL(IF(('DL06. Đăng ký'!$I$4:$I$500&gt;=thresholdDiscount_approval)*('DL06. Đăng ký'!$L$4:$L$500="")*('DL06. Đăng ký'!$A$4:$A$500&lt;&gt;""),ROW('DL06. Đăng ký'!$A$4:$A$500)-3),ROW()-9))="","",INDEX('DL06. Đăng ký'!$G$4:$G$500,SMALL(IF(('DL06. Đăng ký'!$I$4:$I$500&gt;=thresholdDiscount_approval)*('DL06. Đăng ký'!$L$4:$L$500="")*('DL06. Đăng ký'!$A$4:$A$500&lt;&gt;""),ROW('DL06. Đăng ký'!$A$4:$A$500)-3),ROW()-9))),"")</f>
        <v/>
      </c>
    </row>
    <row r="13" customFormat="false" ht="27.75" hidden="false" customHeight="true" outlineLevel="0" collapsed="false">
      <c r="A13" s="240" t="str">
        <f aca="false" t="array" ref="A13:A13">IFERROR(IF(INDEX('DL06. Đăng ký'!$A$4:$A$500,SMALL(IF(('DL06. Đăng ký'!$I$4:$I$500&gt;=thresholdDiscount_approval)*('DL06. Đăng ký'!$L$4:$L$500="")*('DL06. Đăng ký'!$A$4:$A$500&lt;&gt;""),ROW('DL06. Đăng ký'!$A$4:$A$500)-3),ROW()-9))="","",INDEX('DL06. Đăng ký'!$A$4:$A$500,SMALL(IF(('DL06. Đăng ký'!$I$4:$I$500&gt;=thresholdDiscount_approval)*('DL06. Đăng ký'!$L$4:$L$500="")*('DL06. Đăng ký'!$A$4:$A$500&lt;&gt;""),ROW('DL06. Đăng ký'!$A$4:$A$500)-3),ROW()-9))),"")</f>
        <v/>
      </c>
      <c r="B13" s="240" t="str">
        <f aca="false" t="array" ref="B13:B13">IFERROR(IF(INDEX('DL06. Đăng ký'!$B$4:$B$500,SMALL(IF(('DL06. Đăng ký'!$I$4:$I$500&gt;=thresholdDiscount_approval)*('DL06. Đăng ký'!$L$4:$L$500="")*('DL06. Đăng ký'!$A$4:$A$500&lt;&gt;""),ROW('DL06. Đăng ký'!$A$4:$A$500)-3),ROW()-9))="","",INDEX('DL06. Đăng ký'!$B$4:$B$500,SMALL(IF(('DL06. Đăng ký'!$I$4:$I$500&gt;=thresholdDiscount_approval)*('DL06. Đăng ký'!$L$4:$L$500="")*('DL06. Đăng ký'!$A$4:$A$500&lt;&gt;""),ROW('DL06. Đăng ký'!$A$4:$A$500)-3),ROW()-9))),"")</f>
        <v/>
      </c>
      <c r="C13" s="240" t="str">
        <f aca="false" t="array" ref="C13:C13">IFERROR(IF(INDEX('DL06. Đăng ký'!$E$4:$E$500,SMALL(IF(('DL06. Đăng ký'!$I$4:$I$500&gt;=thresholdDiscount_approval)*('DL06. Đăng ký'!$L$4:$L$500="")*('DL06. Đăng ký'!$A$4:$A$500&lt;&gt;""),ROW('DL06. Đăng ký'!$A$4:$A$500)-3),ROW()-9))="","",INDEX('DL06. Đăng ký'!$E$4:$E$500,SMALL(IF(('DL06. Đăng ký'!$I$4:$I$500&gt;=thresholdDiscount_approval)*('DL06. Đăng ký'!$L$4:$L$500="")*('DL06. Đăng ký'!$A$4:$A$500&lt;&gt;""),ROW('DL06. Đăng ký'!$A$4:$A$500)-3),ROW()-9))),"")</f>
        <v/>
      </c>
      <c r="D13" s="360" t="str">
        <f aca="false" t="array" ref="D13:D13">IFERROR(IF(INDEX('DL06. Đăng ký'!$H$4:$H$500,SMALL(IF(('DL06. Đăng ký'!$I$4:$I$500&gt;=thresholdDiscount_approval)*('DL06. Đăng ký'!$L$4:$L$500="")*('DL06. Đăng ký'!$A$4:$A$500&lt;&gt;""),ROW('DL06. Đăng ký'!$A$4:$A$500)-3),ROW()-9))="","",INDEX('DL06. Đăng ký'!$H$4:$H$500,SMALL(IF(('DL06. Đăng ký'!$I$4:$I$500&gt;=thresholdDiscount_approval)*('DL06. Đăng ký'!$L$4:$L$500="")*('DL06. Đăng ký'!$A$4:$A$500&lt;&gt;""),ROW('DL06. Đăng ký'!$A$4:$A$500)-3),ROW()-9))),"")</f>
        <v/>
      </c>
      <c r="E13" s="360" t="str">
        <f aca="false" t="array" ref="E13:E13">IFERROR(IF(INDEX('DL06. Đăng ký'!$I$4:$I$500,SMALL(IF(('DL06. Đăng ký'!$I$4:$I$500&gt;=thresholdDiscount_approval)*('DL06. Đăng ký'!$L$4:$L$500="")*('DL06. Đăng ký'!$A$4:$A$500&lt;&gt;""),ROW('DL06. Đăng ký'!$A$4:$A$500)-3),ROW()-9))="","",INDEX('DL06. Đăng ký'!$I$4:$I$500,SMALL(IF(('DL06. Đăng ký'!$I$4:$I$500&gt;=thresholdDiscount_approval)*('DL06. Đăng ký'!$L$4:$L$500="")*('DL06. Đăng ký'!$A$4:$A$500&lt;&gt;""),ROW('DL06. Đăng ký'!$A$4:$A$500)-3),ROW()-9))),"")</f>
        <v/>
      </c>
      <c r="F13" s="240" t="str">
        <f aca="false" t="array" ref="F13:F13">IFERROR(IF(INDEX('DL06. Đăng ký'!$J$4:$J$500,SMALL(IF(('DL06. Đăng ký'!$I$4:$I$500&gt;=thresholdDiscount_approval)*('DL06. Đăng ký'!$L$4:$L$500="")*('DL06. Đăng ký'!$A$4:$A$500&lt;&gt;""),ROW('DL06. Đăng ký'!$A$4:$A$500)-3),ROW()-9))="","",INDEX('DL06. Đăng ký'!$J$4:$J$500,SMALL(IF(('DL06. Đăng ký'!$I$4:$I$500&gt;=thresholdDiscount_approval)*('DL06. Đăng ký'!$L$4:$L$500="")*('DL06. Đăng ký'!$A$4:$A$500&lt;&gt;""),ROW('DL06. Đăng ký'!$A$4:$A$500)-3),ROW()-9))),"")</f>
        <v/>
      </c>
      <c r="G13" s="240" t="str">
        <f aca="false" t="array" ref="G13:G13">IFERROR(IF(INDEX('DL06. Đăng ký'!$K$4:$K$500,SMALL(IF(('DL06. Đăng ký'!$I$4:$I$500&gt;=thresholdDiscount_approval)*('DL06. Đăng ký'!$L$4:$L$500="")*('DL06. Đăng ký'!$A$4:$A$500&lt;&gt;""),ROW('DL06. Đăng ký'!$A$4:$A$500)-3),ROW()-9))="","",INDEX('DL06. Đăng ký'!$K$4:$K$500,SMALL(IF(('DL06. Đăng ký'!$I$4:$I$500&gt;=thresholdDiscount_approval)*('DL06. Đăng ký'!$L$4:$L$500="")*('DL06. Đăng ký'!$A$4:$A$500&lt;&gt;""),ROW('DL06. Đăng ký'!$A$4:$A$500)-3),ROW()-9))),"")</f>
        <v/>
      </c>
      <c r="H13" s="185" t="str">
        <f aca="false" t="array" ref="H13:H13">IFERROR(IF(INDEX('DL06. Đăng ký'!$G$4:$G$500,SMALL(IF(('DL06. Đăng ký'!$I$4:$I$500&gt;=thresholdDiscount_approval)*('DL06. Đăng ký'!$L$4:$L$500="")*('DL06. Đăng ký'!$A$4:$A$500&lt;&gt;""),ROW('DL06. Đăng ký'!$A$4:$A$500)-3),ROW()-9))="","",INDEX('DL06. Đăng ký'!$G$4:$G$500,SMALL(IF(('DL06. Đăng ký'!$I$4:$I$500&gt;=thresholdDiscount_approval)*('DL06. Đăng ký'!$L$4:$L$500="")*('DL06. Đăng ký'!$A$4:$A$500&lt;&gt;""),ROW('DL06. Đăng ký'!$A$4:$A$500)-3),ROW()-9))),"")</f>
        <v/>
      </c>
    </row>
    <row r="14" customFormat="false" ht="27.75" hidden="false" customHeight="true" outlineLevel="0" collapsed="false">
      <c r="A14" s="240" t="str">
        <f aca="false" t="array" ref="A14:A14">IFERROR(IF(INDEX('DL06. Đăng ký'!$A$4:$A$500,SMALL(IF(('DL06. Đăng ký'!$I$4:$I$500&gt;=thresholdDiscount_approval)*('DL06. Đăng ký'!$L$4:$L$500="")*('DL06. Đăng ký'!$A$4:$A$500&lt;&gt;""),ROW('DL06. Đăng ký'!$A$4:$A$500)-3),ROW()-9))="","",INDEX('DL06. Đăng ký'!$A$4:$A$500,SMALL(IF(('DL06. Đăng ký'!$I$4:$I$500&gt;=thresholdDiscount_approval)*('DL06. Đăng ký'!$L$4:$L$500="")*('DL06. Đăng ký'!$A$4:$A$500&lt;&gt;""),ROW('DL06. Đăng ký'!$A$4:$A$500)-3),ROW()-9))),"")</f>
        <v/>
      </c>
      <c r="B14" s="240" t="str">
        <f aca="false" t="array" ref="B14:B14">IFERROR(IF(INDEX('DL06. Đăng ký'!$B$4:$B$500,SMALL(IF(('DL06. Đăng ký'!$I$4:$I$500&gt;=thresholdDiscount_approval)*('DL06. Đăng ký'!$L$4:$L$500="")*('DL06. Đăng ký'!$A$4:$A$500&lt;&gt;""),ROW('DL06. Đăng ký'!$A$4:$A$500)-3),ROW()-9))="","",INDEX('DL06. Đăng ký'!$B$4:$B$500,SMALL(IF(('DL06. Đăng ký'!$I$4:$I$500&gt;=thresholdDiscount_approval)*('DL06. Đăng ký'!$L$4:$L$500="")*('DL06. Đăng ký'!$A$4:$A$500&lt;&gt;""),ROW('DL06. Đăng ký'!$A$4:$A$500)-3),ROW()-9))),"")</f>
        <v/>
      </c>
      <c r="C14" s="240" t="str">
        <f aca="false" t="array" ref="C14:C14">IFERROR(IF(INDEX('DL06. Đăng ký'!$E$4:$E$500,SMALL(IF(('DL06. Đăng ký'!$I$4:$I$500&gt;=thresholdDiscount_approval)*('DL06. Đăng ký'!$L$4:$L$500="")*('DL06. Đăng ký'!$A$4:$A$500&lt;&gt;""),ROW('DL06. Đăng ký'!$A$4:$A$500)-3),ROW()-9))="","",INDEX('DL06. Đăng ký'!$E$4:$E$500,SMALL(IF(('DL06. Đăng ký'!$I$4:$I$500&gt;=thresholdDiscount_approval)*('DL06. Đăng ký'!$L$4:$L$500="")*('DL06. Đăng ký'!$A$4:$A$500&lt;&gt;""),ROW('DL06. Đăng ký'!$A$4:$A$500)-3),ROW()-9))),"")</f>
        <v/>
      </c>
      <c r="D14" s="360" t="str">
        <f aca="false" t="array" ref="D14:D14">IFERROR(IF(INDEX('DL06. Đăng ký'!$H$4:$H$500,SMALL(IF(('DL06. Đăng ký'!$I$4:$I$500&gt;=thresholdDiscount_approval)*('DL06. Đăng ký'!$L$4:$L$500="")*('DL06. Đăng ký'!$A$4:$A$500&lt;&gt;""),ROW('DL06. Đăng ký'!$A$4:$A$500)-3),ROW()-9))="","",INDEX('DL06. Đăng ký'!$H$4:$H$500,SMALL(IF(('DL06. Đăng ký'!$I$4:$I$500&gt;=thresholdDiscount_approval)*('DL06. Đăng ký'!$L$4:$L$500="")*('DL06. Đăng ký'!$A$4:$A$500&lt;&gt;""),ROW('DL06. Đăng ký'!$A$4:$A$500)-3),ROW()-9))),"")</f>
        <v/>
      </c>
      <c r="E14" s="360" t="str">
        <f aca="false" t="array" ref="E14:E14">IFERROR(IF(INDEX('DL06. Đăng ký'!$I$4:$I$500,SMALL(IF(('DL06. Đăng ký'!$I$4:$I$500&gt;=thresholdDiscount_approval)*('DL06. Đăng ký'!$L$4:$L$500="")*('DL06. Đăng ký'!$A$4:$A$500&lt;&gt;""),ROW('DL06. Đăng ký'!$A$4:$A$500)-3),ROW()-9))="","",INDEX('DL06. Đăng ký'!$I$4:$I$500,SMALL(IF(('DL06. Đăng ký'!$I$4:$I$500&gt;=thresholdDiscount_approval)*('DL06. Đăng ký'!$L$4:$L$500="")*('DL06. Đăng ký'!$A$4:$A$500&lt;&gt;""),ROW('DL06. Đăng ký'!$A$4:$A$500)-3),ROW()-9))),"")</f>
        <v/>
      </c>
      <c r="F14" s="240" t="str">
        <f aca="false" t="array" ref="F14:F14">IFERROR(IF(INDEX('DL06. Đăng ký'!$J$4:$J$500,SMALL(IF(('DL06. Đăng ký'!$I$4:$I$500&gt;=thresholdDiscount_approval)*('DL06. Đăng ký'!$L$4:$L$500="")*('DL06. Đăng ký'!$A$4:$A$500&lt;&gt;""),ROW('DL06. Đăng ký'!$A$4:$A$500)-3),ROW()-9))="","",INDEX('DL06. Đăng ký'!$J$4:$J$500,SMALL(IF(('DL06. Đăng ký'!$I$4:$I$500&gt;=thresholdDiscount_approval)*('DL06. Đăng ký'!$L$4:$L$500="")*('DL06. Đăng ký'!$A$4:$A$500&lt;&gt;""),ROW('DL06. Đăng ký'!$A$4:$A$500)-3),ROW()-9))),"")</f>
        <v/>
      </c>
      <c r="G14" s="240" t="str">
        <f aca="false" t="array" ref="G14:G14">IFERROR(IF(INDEX('DL06. Đăng ký'!$K$4:$K$500,SMALL(IF(('DL06. Đăng ký'!$I$4:$I$500&gt;=thresholdDiscount_approval)*('DL06. Đăng ký'!$L$4:$L$500="")*('DL06. Đăng ký'!$A$4:$A$500&lt;&gt;""),ROW('DL06. Đăng ký'!$A$4:$A$500)-3),ROW()-9))="","",INDEX('DL06. Đăng ký'!$K$4:$K$500,SMALL(IF(('DL06. Đăng ký'!$I$4:$I$500&gt;=thresholdDiscount_approval)*('DL06. Đăng ký'!$L$4:$L$500="")*('DL06. Đăng ký'!$A$4:$A$500&lt;&gt;""),ROW('DL06. Đăng ký'!$A$4:$A$500)-3),ROW()-9))),"")</f>
        <v/>
      </c>
      <c r="H14" s="185" t="str">
        <f aca="false" t="array" ref="H14:H14">IFERROR(IF(INDEX('DL06. Đăng ký'!$G$4:$G$500,SMALL(IF(('DL06. Đăng ký'!$I$4:$I$500&gt;=thresholdDiscount_approval)*('DL06. Đăng ký'!$L$4:$L$500="")*('DL06. Đăng ký'!$A$4:$A$500&lt;&gt;""),ROW('DL06. Đăng ký'!$A$4:$A$500)-3),ROW()-9))="","",INDEX('DL06. Đăng ký'!$G$4:$G$500,SMALL(IF(('DL06. Đăng ký'!$I$4:$I$500&gt;=thresholdDiscount_approval)*('DL06. Đăng ký'!$L$4:$L$500="")*('DL06. Đăng ký'!$A$4:$A$500&lt;&gt;""),ROW('DL06. Đăng ký'!$A$4:$A$500)-3),ROW()-9))),"")</f>
        <v/>
      </c>
    </row>
    <row r="15" customFormat="false" ht="27.75" hidden="false" customHeight="true" outlineLevel="0" collapsed="false">
      <c r="A15" s="240" t="str">
        <f aca="false" t="array" ref="A15:A15">IFERROR(IF(INDEX('DL06. Đăng ký'!$A$4:$A$500,SMALL(IF(('DL06. Đăng ký'!$I$4:$I$500&gt;=thresholdDiscount_approval)*('DL06. Đăng ký'!$L$4:$L$500="")*('DL06. Đăng ký'!$A$4:$A$500&lt;&gt;""),ROW('DL06. Đăng ký'!$A$4:$A$500)-3),ROW()-9))="","",INDEX('DL06. Đăng ký'!$A$4:$A$500,SMALL(IF(('DL06. Đăng ký'!$I$4:$I$500&gt;=thresholdDiscount_approval)*('DL06. Đăng ký'!$L$4:$L$500="")*('DL06. Đăng ký'!$A$4:$A$500&lt;&gt;""),ROW('DL06. Đăng ký'!$A$4:$A$500)-3),ROW()-9))),"")</f>
        <v/>
      </c>
      <c r="B15" s="240" t="str">
        <f aca="false" t="array" ref="B15:B15">IFERROR(IF(INDEX('DL06. Đăng ký'!$B$4:$B$500,SMALL(IF(('DL06. Đăng ký'!$I$4:$I$500&gt;=thresholdDiscount_approval)*('DL06. Đăng ký'!$L$4:$L$500="")*('DL06. Đăng ký'!$A$4:$A$500&lt;&gt;""),ROW('DL06. Đăng ký'!$A$4:$A$500)-3),ROW()-9))="","",INDEX('DL06. Đăng ký'!$B$4:$B$500,SMALL(IF(('DL06. Đăng ký'!$I$4:$I$500&gt;=thresholdDiscount_approval)*('DL06. Đăng ký'!$L$4:$L$500="")*('DL06. Đăng ký'!$A$4:$A$500&lt;&gt;""),ROW('DL06. Đăng ký'!$A$4:$A$500)-3),ROW()-9))),"")</f>
        <v/>
      </c>
      <c r="C15" s="240" t="str">
        <f aca="false" t="array" ref="C15:C15">IFERROR(IF(INDEX('DL06. Đăng ký'!$E$4:$E$500,SMALL(IF(('DL06. Đăng ký'!$I$4:$I$500&gt;=thresholdDiscount_approval)*('DL06. Đăng ký'!$L$4:$L$500="")*('DL06. Đăng ký'!$A$4:$A$500&lt;&gt;""),ROW('DL06. Đăng ký'!$A$4:$A$500)-3),ROW()-9))="","",INDEX('DL06. Đăng ký'!$E$4:$E$500,SMALL(IF(('DL06. Đăng ký'!$I$4:$I$500&gt;=thresholdDiscount_approval)*('DL06. Đăng ký'!$L$4:$L$500="")*('DL06. Đăng ký'!$A$4:$A$500&lt;&gt;""),ROW('DL06. Đăng ký'!$A$4:$A$500)-3),ROW()-9))),"")</f>
        <v/>
      </c>
      <c r="D15" s="360" t="str">
        <f aca="false" t="array" ref="D15:D15">IFERROR(IF(INDEX('DL06. Đăng ký'!$H$4:$H$500,SMALL(IF(('DL06. Đăng ký'!$I$4:$I$500&gt;=thresholdDiscount_approval)*('DL06. Đăng ký'!$L$4:$L$500="")*('DL06. Đăng ký'!$A$4:$A$500&lt;&gt;""),ROW('DL06. Đăng ký'!$A$4:$A$500)-3),ROW()-9))="","",INDEX('DL06. Đăng ký'!$H$4:$H$500,SMALL(IF(('DL06. Đăng ký'!$I$4:$I$500&gt;=thresholdDiscount_approval)*('DL06. Đăng ký'!$L$4:$L$500="")*('DL06. Đăng ký'!$A$4:$A$500&lt;&gt;""),ROW('DL06. Đăng ký'!$A$4:$A$500)-3),ROW()-9))),"")</f>
        <v/>
      </c>
      <c r="E15" s="360" t="str">
        <f aca="false" t="array" ref="E15:E15">IFERROR(IF(INDEX('DL06. Đăng ký'!$I$4:$I$500,SMALL(IF(('DL06. Đăng ký'!$I$4:$I$500&gt;=thresholdDiscount_approval)*('DL06. Đăng ký'!$L$4:$L$500="")*('DL06. Đăng ký'!$A$4:$A$500&lt;&gt;""),ROW('DL06. Đăng ký'!$A$4:$A$500)-3),ROW()-9))="","",INDEX('DL06. Đăng ký'!$I$4:$I$500,SMALL(IF(('DL06. Đăng ký'!$I$4:$I$500&gt;=thresholdDiscount_approval)*('DL06. Đăng ký'!$L$4:$L$500="")*('DL06. Đăng ký'!$A$4:$A$500&lt;&gt;""),ROW('DL06. Đăng ký'!$A$4:$A$500)-3),ROW()-9))),"")</f>
        <v/>
      </c>
      <c r="F15" s="240" t="str">
        <f aca="false" t="array" ref="F15:F15">IFERROR(IF(INDEX('DL06. Đăng ký'!$J$4:$J$500,SMALL(IF(('DL06. Đăng ký'!$I$4:$I$500&gt;=thresholdDiscount_approval)*('DL06. Đăng ký'!$L$4:$L$500="")*('DL06. Đăng ký'!$A$4:$A$500&lt;&gt;""),ROW('DL06. Đăng ký'!$A$4:$A$500)-3),ROW()-9))="","",INDEX('DL06. Đăng ký'!$J$4:$J$500,SMALL(IF(('DL06. Đăng ký'!$I$4:$I$500&gt;=thresholdDiscount_approval)*('DL06. Đăng ký'!$L$4:$L$500="")*('DL06. Đăng ký'!$A$4:$A$500&lt;&gt;""),ROW('DL06. Đăng ký'!$A$4:$A$500)-3),ROW()-9))),"")</f>
        <v/>
      </c>
      <c r="G15" s="240" t="str">
        <f aca="false" t="array" ref="G15:G15">IFERROR(IF(INDEX('DL06. Đăng ký'!$K$4:$K$500,SMALL(IF(('DL06. Đăng ký'!$I$4:$I$500&gt;=thresholdDiscount_approval)*('DL06. Đăng ký'!$L$4:$L$500="")*('DL06. Đăng ký'!$A$4:$A$500&lt;&gt;""),ROW('DL06. Đăng ký'!$A$4:$A$500)-3),ROW()-9))="","",INDEX('DL06. Đăng ký'!$K$4:$K$500,SMALL(IF(('DL06. Đăng ký'!$I$4:$I$500&gt;=thresholdDiscount_approval)*('DL06. Đăng ký'!$L$4:$L$500="")*('DL06. Đăng ký'!$A$4:$A$500&lt;&gt;""),ROW('DL06. Đăng ký'!$A$4:$A$500)-3),ROW()-9))),"")</f>
        <v/>
      </c>
      <c r="H15" s="185" t="str">
        <f aca="false" t="array" ref="H15:H15">IFERROR(IF(INDEX('DL06. Đăng ký'!$G$4:$G$500,SMALL(IF(('DL06. Đăng ký'!$I$4:$I$500&gt;=thresholdDiscount_approval)*('DL06. Đăng ký'!$L$4:$L$500="")*('DL06. Đăng ký'!$A$4:$A$500&lt;&gt;""),ROW('DL06. Đăng ký'!$A$4:$A$500)-3),ROW()-9))="","",INDEX('DL06. Đăng ký'!$G$4:$G$500,SMALL(IF(('DL06. Đăng ký'!$I$4:$I$500&gt;=thresholdDiscount_approval)*('DL06. Đăng ký'!$L$4:$L$500="")*('DL06. Đăng ký'!$A$4:$A$500&lt;&gt;""),ROW('DL06. Đăng ký'!$A$4:$A$500)-3),ROW()-9))),"")</f>
        <v/>
      </c>
    </row>
    <row r="16" customFormat="false" ht="15" hidden="false" customHeight="true" outlineLevel="0" collapsed="false">
      <c r="A16" s="4"/>
      <c r="B16" s="4"/>
      <c r="C16" s="4"/>
      <c r="D16" s="4"/>
      <c r="E16" s="4"/>
      <c r="F16" s="4"/>
      <c r="G16" s="4"/>
      <c r="H16" s="4"/>
    </row>
    <row r="17" customFormat="false" ht="15" hidden="false" customHeight="true" outlineLevel="0" collapsed="false">
      <c r="A17" s="4"/>
      <c r="B17" s="4"/>
      <c r="C17" s="4"/>
      <c r="D17" s="4"/>
      <c r="E17" s="4"/>
      <c r="F17" s="4"/>
      <c r="G17" s="4"/>
      <c r="H17" s="4"/>
    </row>
    <row r="18" customFormat="false" ht="28.5" hidden="false" customHeight="true" outlineLevel="0" collapsed="false">
      <c r="A18" s="347" t="s">
        <v>4087</v>
      </c>
      <c r="B18" s="347"/>
      <c r="C18" s="347"/>
      <c r="D18" s="347"/>
      <c r="E18" s="347"/>
      <c r="F18" s="347"/>
      <c r="G18" s="347"/>
      <c r="H18" s="347"/>
    </row>
    <row r="19" customFormat="false" ht="22.5" hidden="false" customHeight="true" outlineLevel="0" collapsed="false">
      <c r="A19" s="320" t="s">
        <v>3761</v>
      </c>
      <c r="B19" s="320" t="s">
        <v>2017</v>
      </c>
      <c r="C19" s="320" t="s">
        <v>470</v>
      </c>
      <c r="D19" s="320" t="s">
        <v>3589</v>
      </c>
      <c r="E19" s="320" t="s">
        <v>250</v>
      </c>
      <c r="F19" s="320" t="s">
        <v>3818</v>
      </c>
      <c r="G19" s="320" t="s">
        <v>4088</v>
      </c>
      <c r="H19" s="320" t="s">
        <v>2503</v>
      </c>
    </row>
    <row r="20" customFormat="false" ht="34.5" hidden="false" customHeight="true" outlineLevel="0" collapsed="false">
      <c r="A20" s="21" t="str">
        <f aca="false" t="array" ref="A20:A20">IFERROR(IF(INDEX('DL17. Khiếu nại'!$A$4:$A$500,SMALL(IF((ISNUMBER(SEARCH("high",'DL17. Khiếu nại'!$H$4:$H$500))+ISNUMBER(SEARCH("escalated",'DL17. Khiếu nại'!$J$4:$J$500))&gt;0)*('DL17. Khiếu nại'!$A$4:$A$500&lt;&gt;""),ROW('DL17. Khiếu nại'!$A$4:$A$500)-3),ROW()-19))="","",INDEX('DL17. Khiếu nại'!$A$4:$A$500,SMALL(IF((ISNUMBER(SEARCH("high",'DL17. Khiếu nại'!$H$4:$H$500))+ISNUMBER(SEARCH("escalated",'DL17. Khiếu nại'!$J$4:$J$500))&gt;0)*('DL17. Khiếu nại'!$A$4:$A$500&lt;&gt;""),ROW('DL17. Khiếu nại'!$A$4:$A$500)-3),ROW()-19))),"")</f>
        <v>KN-2026-001</v>
      </c>
      <c r="B20" s="80" t="str">
        <f aca="false" t="array" ref="B20:B20">IFERROR(IF(INDEX('DL17. Khiếu nại'!$B$4:$B$500,SMALL(IF((ISNUMBER(SEARCH("high",'DL17. Khiếu nại'!$H$4:$H$500))+ISNUMBER(SEARCH("escalated",'DL17. Khiếu nại'!$J$4:$J$500))&gt;0)*('DL17. Khiếu nại'!$A$4:$A$500&lt;&gt;""),ROW('DL17. Khiếu nại'!$A$4:$A$500)-3),ROW()-19))="","",INDEX('DL17. Khiếu nại'!$B$4:$B$500,SMALL(IF((ISNUMBER(SEARCH("high",'DL17. Khiếu nại'!$H$4:$H$500))+ISNUMBER(SEARCH("escalated",'DL17. Khiếu nại'!$J$4:$J$500))&gt;0)*('DL17. Khiếu nại'!$A$4:$A$500&lt;&gt;""),ROW('DL17. Khiếu nại'!$A$4:$A$500)-3),ROW()-19))),"")</f>
        <v>HV005</v>
      </c>
      <c r="C20" s="21" t="str">
        <f aca="false" t="array" ref="C20:C20">IFERROR(IF(INDEX('DL17. Khiếu nại'!$G$4:$G$500,SMALL(IF((ISNUMBER(SEARCH("high",'DL17. Khiếu nại'!$H$4:$H$500))+ISNUMBER(SEARCH("escalated",'DL17. Khiếu nại'!$J$4:$J$500))&gt;0)*('DL17. Khiếu nại'!$A$4:$A$500&lt;&gt;""),ROW('DL17. Khiếu nại'!$A$4:$A$500)-3),ROW()-19))="","",INDEX('DL17. Khiếu nại'!$G$4:$G$500,SMALL(IF((ISNUMBER(SEARCH("high",'DL17. Khiếu nại'!$H$4:$H$500))+ISNUMBER(SEARCH("escalated",'DL17. Khiếu nại'!$J$4:$J$500))&gt;0)*('DL17. Khiếu nại'!$A$4:$A$500&lt;&gt;""),ROW('DL17. Khiếu nại'!$A$4:$A$500)-3),ROW()-19))),"")</f>
        <v>teacher (Về 1 GV cụ thể)</v>
      </c>
      <c r="D20" s="21" t="str">
        <f aca="false" t="array" ref="D20:D20">IFERROR(IF(INDEX('DL17. Khiếu nại'!$H$4:$H$500,SMALL(IF((ISNUMBER(SEARCH("high",'DL17. Khiếu nại'!$H$4:$H$500))+ISNUMBER(SEARCH("escalated",'DL17. Khiếu nại'!$J$4:$J$500))&gt;0)*('DL17. Khiếu nại'!$A$4:$A$500&lt;&gt;""),ROW('DL17. Khiếu nại'!$A$4:$A$500)-3),ROW()-19))="","",INDEX('DL17. Khiếu nại'!$H$4:$H$500,SMALL(IF((ISNUMBER(SEARCH("high",'DL17. Khiếu nại'!$H$4:$H$500))+ISNUMBER(SEARCH("escalated",'DL17. Khiếu nại'!$J$4:$J$500))&gt;0)*('DL17. Khiếu nại'!$A$4:$A$500&lt;&gt;""),ROW('DL17. Khiếu nại'!$A$4:$A$500)-3),ROW()-19))),"")</f>
        <v>high (Cao)</v>
      </c>
      <c r="E20" s="21" t="str">
        <f aca="false" t="array" ref="E20:E20">IFERROR(IF(INDEX('DL17. Khiếu nại'!$J$4:$J$500,SMALL(IF((ISNUMBER(SEARCH("high",'DL17. Khiếu nại'!$H$4:$H$500))+ISNUMBER(SEARCH("escalated",'DL17. Khiếu nại'!$J$4:$J$500))&gt;0)*('DL17. Khiếu nại'!$A$4:$A$500&lt;&gt;""),ROW('DL17. Khiếu nại'!$A$4:$A$500)-3),ROW()-19))="","",INDEX('DL17. Khiếu nại'!$J$4:$J$500,SMALL(IF((ISNUMBER(SEARCH("high",'DL17. Khiếu nại'!$H$4:$H$500))+ISNUMBER(SEARCH("escalated",'DL17. Khiếu nại'!$J$4:$J$500))&gt;0)*('DL17. Khiếu nại'!$A$4:$A$500&lt;&gt;""),ROW('DL17. Khiếu nại'!$A$4:$A$500)-3),ROW()-19))),"")</f>
        <v>assigned (Đã phân công)</v>
      </c>
      <c r="F20" s="21" t="str">
        <f aca="false" t="array" ref="F20:F20">IFERROR(IF(INDEX('DL17. Khiếu nại'!$K$4:$K$500,SMALL(IF((ISNUMBER(SEARCH("high",'DL17. Khiếu nại'!$H$4:$H$500))+ISNUMBER(SEARCH("escalated",'DL17. Khiếu nại'!$J$4:$J$500))&gt;0)*('DL17. Khiếu nại'!$A$4:$A$500&lt;&gt;""),ROW('DL17. Khiếu nại'!$A$4:$A$500)-3),ROW()-19))="","",INDEX('DL17. Khiếu nại'!$K$4:$K$500,SMALL(IF((ISNUMBER(SEARCH("high",'DL17. Khiếu nại'!$H$4:$H$500))+ISNUMBER(SEARCH("escalated",'DL17. Khiếu nại'!$J$4:$J$500))&gt;0)*('DL17. Khiếu nại'!$A$4:$A$500&lt;&gt;""),ROW('DL17. Khiếu nại'!$A$4:$A$500)-3),ROW()-19))),"")</f>
        <v/>
      </c>
      <c r="G20" s="21" t="str">
        <f aca="false" t="array" ref="G20:G20">IFERROR(IF(INDEX('DL17. Khiếu nại'!$Q$4:$Q$500,SMALL(IF((ISNUMBER(SEARCH("high",'DL17. Khiếu nại'!$H$4:$H$500))+ISNUMBER(SEARCH("escalated",'DL17. Khiếu nại'!$J$4:$J$500))&gt;0)*('DL17. Khiếu nại'!$A$4:$A$500&lt;&gt;""),ROW('DL17. Khiếu nại'!$A$4:$A$500)-3),ROW()-19))="","",INDEX('DL17. Khiếu nại'!$Q$4:$Q$500,SMALL(IF((ISNUMBER(SEARCH("high",'DL17. Khiếu nại'!$H$4:$H$500))+ISNUMBER(SEARCH("escalated",'DL17. Khiếu nại'!$J$4:$J$500))&gt;0)*('DL17. Khiếu nại'!$A$4:$A$500&lt;&gt;""),ROW('DL17. Khiếu nại'!$A$4:$A$500)-3),ROW()-19))),"")</f>
        <v/>
      </c>
      <c r="H20" s="322" t="str">
        <f aca="false" t="array" ref="H20:H20">IFERROR(IF(INDEX('DL17. Khiếu nại'!$T$4:$T$500,SMALL(IF((ISNUMBER(SEARCH("high",'DL17. Khiếu nại'!$H$4:$H$500))+ISNUMBER(SEARCH("escalated",'DL17. Khiếu nại'!$J$4:$J$500))&gt;0)*('DL17. Khiếu nại'!$A$4:$A$500&lt;&gt;""),ROW('DL17. Khiếu nại'!$A$4:$A$500)-3),ROW()-19))="","",INDEX('DL17. Khiếu nại'!$T$4:$T$500,SMALL(IF((ISNUMBER(SEARCH("high",'DL17. Khiếu nại'!$H$4:$H$500))+ISNUMBER(SEARCH("escalated",'DL17. Khiếu nại'!$J$4:$J$500))&gt;0)*('DL17. Khiếu nại'!$A$4:$A$500&lt;&gt;""),ROW('DL17. Khiếu nại'!$A$4:$A$500)-3),ROW()-19))),"")</f>
        <v>Khiếu nại mức cao đã quá 4 giờ (cấu hình slaKN_high_hours) chưa xử lý xong. Việc cần làm: quản lý tham gia xử lý gấp.</v>
      </c>
    </row>
    <row r="21" customFormat="false" ht="34.5" hidden="false" customHeight="true" outlineLevel="0" collapsed="false">
      <c r="A21" s="21" t="str">
        <f aca="false" t="array" ref="A21:A21">IFERROR(IF(INDEX('DL17. Khiếu nại'!$A$4:$A$500,SMALL(IF((ISNUMBER(SEARCH("high",'DL17. Khiếu nại'!$H$4:$H$500))+ISNUMBER(SEARCH("escalated",'DL17. Khiếu nại'!$J$4:$J$500))&gt;0)*('DL17. Khiếu nại'!$A$4:$A$500&lt;&gt;""),ROW('DL17. Khiếu nại'!$A$4:$A$500)-3),ROW()-19))="","",INDEX('DL17. Khiếu nại'!$A$4:$A$500,SMALL(IF((ISNUMBER(SEARCH("high",'DL17. Khiếu nại'!$H$4:$H$500))+ISNUMBER(SEARCH("escalated",'DL17. Khiếu nại'!$J$4:$J$500))&gt;0)*('DL17. Khiếu nại'!$A$4:$A$500&lt;&gt;""),ROW('DL17. Khiếu nại'!$A$4:$A$500)-3),ROW()-19))),"")</f>
        <v/>
      </c>
      <c r="B21" s="21" t="str">
        <f aca="false" t="array" ref="B21:B21">IFERROR(IF(INDEX('DL17. Khiếu nại'!$B$4:$B$500,SMALL(IF((ISNUMBER(SEARCH("high",'DL17. Khiếu nại'!$H$4:$H$500))+ISNUMBER(SEARCH("escalated",'DL17. Khiếu nại'!$J$4:$J$500))&gt;0)*('DL17. Khiếu nại'!$A$4:$A$500&lt;&gt;""),ROW('DL17. Khiếu nại'!$A$4:$A$500)-3),ROW()-19))="","",INDEX('DL17. Khiếu nại'!$B$4:$B$500,SMALL(IF((ISNUMBER(SEARCH("high",'DL17. Khiếu nại'!$H$4:$H$500))+ISNUMBER(SEARCH("escalated",'DL17. Khiếu nại'!$J$4:$J$500))&gt;0)*('DL17. Khiếu nại'!$A$4:$A$500&lt;&gt;""),ROW('DL17. Khiếu nại'!$A$4:$A$500)-3),ROW()-19))),"")</f>
        <v/>
      </c>
      <c r="C21" s="21" t="str">
        <f aca="false" t="array" ref="C21:C21">IFERROR(IF(INDEX('DL17. Khiếu nại'!$G$4:$G$500,SMALL(IF((ISNUMBER(SEARCH("high",'DL17. Khiếu nại'!$H$4:$H$500))+ISNUMBER(SEARCH("escalated",'DL17. Khiếu nại'!$J$4:$J$500))&gt;0)*('DL17. Khiếu nại'!$A$4:$A$500&lt;&gt;""),ROW('DL17. Khiếu nại'!$A$4:$A$500)-3),ROW()-19))="","",INDEX('DL17. Khiếu nại'!$G$4:$G$500,SMALL(IF((ISNUMBER(SEARCH("high",'DL17. Khiếu nại'!$H$4:$H$500))+ISNUMBER(SEARCH("escalated",'DL17. Khiếu nại'!$J$4:$J$500))&gt;0)*('DL17. Khiếu nại'!$A$4:$A$500&lt;&gt;""),ROW('DL17. Khiếu nại'!$A$4:$A$500)-3),ROW()-19))),"")</f>
        <v/>
      </c>
      <c r="D21" s="21" t="str">
        <f aca="false" t="array" ref="D21:D21">IFERROR(IF(INDEX('DL17. Khiếu nại'!$H$4:$H$500,SMALL(IF((ISNUMBER(SEARCH("high",'DL17. Khiếu nại'!$H$4:$H$500))+ISNUMBER(SEARCH("escalated",'DL17. Khiếu nại'!$J$4:$J$500))&gt;0)*('DL17. Khiếu nại'!$A$4:$A$500&lt;&gt;""),ROW('DL17. Khiếu nại'!$A$4:$A$500)-3),ROW()-19))="","",INDEX('DL17. Khiếu nại'!$H$4:$H$500,SMALL(IF((ISNUMBER(SEARCH("high",'DL17. Khiếu nại'!$H$4:$H$500))+ISNUMBER(SEARCH("escalated",'DL17. Khiếu nại'!$J$4:$J$500))&gt;0)*('DL17. Khiếu nại'!$A$4:$A$500&lt;&gt;""),ROW('DL17. Khiếu nại'!$A$4:$A$500)-3),ROW()-19))),"")</f>
        <v/>
      </c>
      <c r="E21" s="21" t="str">
        <f aca="false" t="array" ref="E21:E21">IFERROR(IF(INDEX('DL17. Khiếu nại'!$J$4:$J$500,SMALL(IF((ISNUMBER(SEARCH("high",'DL17. Khiếu nại'!$H$4:$H$500))+ISNUMBER(SEARCH("escalated",'DL17. Khiếu nại'!$J$4:$J$500))&gt;0)*('DL17. Khiếu nại'!$A$4:$A$500&lt;&gt;""),ROW('DL17. Khiếu nại'!$A$4:$A$500)-3),ROW()-19))="","",INDEX('DL17. Khiếu nại'!$J$4:$J$500,SMALL(IF((ISNUMBER(SEARCH("high",'DL17. Khiếu nại'!$H$4:$H$500))+ISNUMBER(SEARCH("escalated",'DL17. Khiếu nại'!$J$4:$J$500))&gt;0)*('DL17. Khiếu nại'!$A$4:$A$500&lt;&gt;""),ROW('DL17. Khiếu nại'!$A$4:$A$500)-3),ROW()-19))),"")</f>
        <v/>
      </c>
      <c r="F21" s="21" t="str">
        <f aca="false" t="array" ref="F21:F21">IFERROR(IF(INDEX('DL17. Khiếu nại'!$K$4:$K$500,SMALL(IF((ISNUMBER(SEARCH("high",'DL17. Khiếu nại'!$H$4:$H$500))+ISNUMBER(SEARCH("escalated",'DL17. Khiếu nại'!$J$4:$J$500))&gt;0)*('DL17. Khiếu nại'!$A$4:$A$500&lt;&gt;""),ROW('DL17. Khiếu nại'!$A$4:$A$500)-3),ROW()-19))="","",INDEX('DL17. Khiếu nại'!$K$4:$K$500,SMALL(IF((ISNUMBER(SEARCH("high",'DL17. Khiếu nại'!$H$4:$H$500))+ISNUMBER(SEARCH("escalated",'DL17. Khiếu nại'!$J$4:$J$500))&gt;0)*('DL17. Khiếu nại'!$A$4:$A$500&lt;&gt;""),ROW('DL17. Khiếu nại'!$A$4:$A$500)-3),ROW()-19))),"")</f>
        <v/>
      </c>
      <c r="G21" s="21" t="str">
        <f aca="false" t="array" ref="G21:G21">IFERROR(IF(INDEX('DL17. Khiếu nại'!$Q$4:$Q$500,SMALL(IF((ISNUMBER(SEARCH("high",'DL17. Khiếu nại'!$H$4:$H$500))+ISNUMBER(SEARCH("escalated",'DL17. Khiếu nại'!$J$4:$J$500))&gt;0)*('DL17. Khiếu nại'!$A$4:$A$500&lt;&gt;""),ROW('DL17. Khiếu nại'!$A$4:$A$500)-3),ROW()-19))="","",INDEX('DL17. Khiếu nại'!$Q$4:$Q$500,SMALL(IF((ISNUMBER(SEARCH("high",'DL17. Khiếu nại'!$H$4:$H$500))+ISNUMBER(SEARCH("escalated",'DL17. Khiếu nại'!$J$4:$J$500))&gt;0)*('DL17. Khiếu nại'!$A$4:$A$500&lt;&gt;""),ROW('DL17. Khiếu nại'!$A$4:$A$500)-3),ROW()-19))),"")</f>
        <v/>
      </c>
      <c r="H21" s="322" t="str">
        <f aca="false" t="array" ref="H21:H21">IFERROR(IF(INDEX('DL17. Khiếu nại'!$T$4:$T$500,SMALL(IF((ISNUMBER(SEARCH("high",'DL17. Khiếu nại'!$H$4:$H$500))+ISNUMBER(SEARCH("escalated",'DL17. Khiếu nại'!$J$4:$J$500))&gt;0)*('DL17. Khiếu nại'!$A$4:$A$500&lt;&gt;""),ROW('DL17. Khiếu nại'!$A$4:$A$500)-3),ROW()-19))="","",INDEX('DL17. Khiếu nại'!$T$4:$T$500,SMALL(IF((ISNUMBER(SEARCH("high",'DL17. Khiếu nại'!$H$4:$H$500))+ISNUMBER(SEARCH("escalated",'DL17. Khiếu nại'!$J$4:$J$500))&gt;0)*('DL17. Khiếu nại'!$A$4:$A$500&lt;&gt;""),ROW('DL17. Khiếu nại'!$A$4:$A$500)-3),ROW()-19))),"")</f>
        <v/>
      </c>
    </row>
    <row r="22" customFormat="false" ht="34.5" hidden="false" customHeight="true" outlineLevel="0" collapsed="false">
      <c r="A22" s="21" t="str">
        <f aca="false" t="array" ref="A22:A22">IFERROR(IF(INDEX('DL17. Khiếu nại'!$A$4:$A$500,SMALL(IF((ISNUMBER(SEARCH("high",'DL17. Khiếu nại'!$H$4:$H$500))+ISNUMBER(SEARCH("escalated",'DL17. Khiếu nại'!$J$4:$J$500))&gt;0)*('DL17. Khiếu nại'!$A$4:$A$500&lt;&gt;""),ROW('DL17. Khiếu nại'!$A$4:$A$500)-3),ROW()-19))="","",INDEX('DL17. Khiếu nại'!$A$4:$A$500,SMALL(IF((ISNUMBER(SEARCH("high",'DL17. Khiếu nại'!$H$4:$H$500))+ISNUMBER(SEARCH("escalated",'DL17. Khiếu nại'!$J$4:$J$500))&gt;0)*('DL17. Khiếu nại'!$A$4:$A$500&lt;&gt;""),ROW('DL17. Khiếu nại'!$A$4:$A$500)-3),ROW()-19))),"")</f>
        <v/>
      </c>
      <c r="B22" s="21" t="str">
        <f aca="false" t="array" ref="B22:B22">IFERROR(IF(INDEX('DL17. Khiếu nại'!$B$4:$B$500,SMALL(IF((ISNUMBER(SEARCH("high",'DL17. Khiếu nại'!$H$4:$H$500))+ISNUMBER(SEARCH("escalated",'DL17. Khiếu nại'!$J$4:$J$500))&gt;0)*('DL17. Khiếu nại'!$A$4:$A$500&lt;&gt;""),ROW('DL17. Khiếu nại'!$A$4:$A$500)-3),ROW()-19))="","",INDEX('DL17. Khiếu nại'!$B$4:$B$500,SMALL(IF((ISNUMBER(SEARCH("high",'DL17. Khiếu nại'!$H$4:$H$500))+ISNUMBER(SEARCH("escalated",'DL17. Khiếu nại'!$J$4:$J$500))&gt;0)*('DL17. Khiếu nại'!$A$4:$A$500&lt;&gt;""),ROW('DL17. Khiếu nại'!$A$4:$A$500)-3),ROW()-19))),"")</f>
        <v/>
      </c>
      <c r="C22" s="21" t="str">
        <f aca="false" t="array" ref="C22:C22">IFERROR(IF(INDEX('DL17. Khiếu nại'!$G$4:$G$500,SMALL(IF((ISNUMBER(SEARCH("high",'DL17. Khiếu nại'!$H$4:$H$500))+ISNUMBER(SEARCH("escalated",'DL17. Khiếu nại'!$J$4:$J$500))&gt;0)*('DL17. Khiếu nại'!$A$4:$A$500&lt;&gt;""),ROW('DL17. Khiếu nại'!$A$4:$A$500)-3),ROW()-19))="","",INDEX('DL17. Khiếu nại'!$G$4:$G$500,SMALL(IF((ISNUMBER(SEARCH("high",'DL17. Khiếu nại'!$H$4:$H$500))+ISNUMBER(SEARCH("escalated",'DL17. Khiếu nại'!$J$4:$J$500))&gt;0)*('DL17. Khiếu nại'!$A$4:$A$500&lt;&gt;""),ROW('DL17. Khiếu nại'!$A$4:$A$500)-3),ROW()-19))),"")</f>
        <v/>
      </c>
      <c r="D22" s="21" t="str">
        <f aca="false" t="array" ref="D22:D22">IFERROR(IF(INDEX('DL17. Khiếu nại'!$H$4:$H$500,SMALL(IF((ISNUMBER(SEARCH("high",'DL17. Khiếu nại'!$H$4:$H$500))+ISNUMBER(SEARCH("escalated",'DL17. Khiếu nại'!$J$4:$J$500))&gt;0)*('DL17. Khiếu nại'!$A$4:$A$500&lt;&gt;""),ROW('DL17. Khiếu nại'!$A$4:$A$500)-3),ROW()-19))="","",INDEX('DL17. Khiếu nại'!$H$4:$H$500,SMALL(IF((ISNUMBER(SEARCH("high",'DL17. Khiếu nại'!$H$4:$H$500))+ISNUMBER(SEARCH("escalated",'DL17. Khiếu nại'!$J$4:$J$500))&gt;0)*('DL17. Khiếu nại'!$A$4:$A$500&lt;&gt;""),ROW('DL17. Khiếu nại'!$A$4:$A$500)-3),ROW()-19))),"")</f>
        <v/>
      </c>
      <c r="E22" s="21" t="str">
        <f aca="false" t="array" ref="E22:E22">IFERROR(IF(INDEX('DL17. Khiếu nại'!$J$4:$J$500,SMALL(IF((ISNUMBER(SEARCH("high",'DL17. Khiếu nại'!$H$4:$H$500))+ISNUMBER(SEARCH("escalated",'DL17. Khiếu nại'!$J$4:$J$500))&gt;0)*('DL17. Khiếu nại'!$A$4:$A$500&lt;&gt;""),ROW('DL17. Khiếu nại'!$A$4:$A$500)-3),ROW()-19))="","",INDEX('DL17. Khiếu nại'!$J$4:$J$500,SMALL(IF((ISNUMBER(SEARCH("high",'DL17. Khiếu nại'!$H$4:$H$500))+ISNUMBER(SEARCH("escalated",'DL17. Khiếu nại'!$J$4:$J$500))&gt;0)*('DL17. Khiếu nại'!$A$4:$A$500&lt;&gt;""),ROW('DL17. Khiếu nại'!$A$4:$A$500)-3),ROW()-19))),"")</f>
        <v/>
      </c>
      <c r="F22" s="21" t="str">
        <f aca="false" t="array" ref="F22:F22">IFERROR(IF(INDEX('DL17. Khiếu nại'!$K$4:$K$500,SMALL(IF((ISNUMBER(SEARCH("high",'DL17. Khiếu nại'!$H$4:$H$500))+ISNUMBER(SEARCH("escalated",'DL17. Khiếu nại'!$J$4:$J$500))&gt;0)*('DL17. Khiếu nại'!$A$4:$A$500&lt;&gt;""),ROW('DL17. Khiếu nại'!$A$4:$A$500)-3),ROW()-19))="","",INDEX('DL17. Khiếu nại'!$K$4:$K$500,SMALL(IF((ISNUMBER(SEARCH("high",'DL17. Khiếu nại'!$H$4:$H$500))+ISNUMBER(SEARCH("escalated",'DL17. Khiếu nại'!$J$4:$J$500))&gt;0)*('DL17. Khiếu nại'!$A$4:$A$500&lt;&gt;""),ROW('DL17. Khiếu nại'!$A$4:$A$500)-3),ROW()-19))),"")</f>
        <v/>
      </c>
      <c r="G22" s="21" t="str">
        <f aca="false" t="array" ref="G22:G22">IFERROR(IF(INDEX('DL17. Khiếu nại'!$Q$4:$Q$500,SMALL(IF((ISNUMBER(SEARCH("high",'DL17. Khiếu nại'!$H$4:$H$500))+ISNUMBER(SEARCH("escalated",'DL17. Khiếu nại'!$J$4:$J$500))&gt;0)*('DL17. Khiếu nại'!$A$4:$A$500&lt;&gt;""),ROW('DL17. Khiếu nại'!$A$4:$A$500)-3),ROW()-19))="","",INDEX('DL17. Khiếu nại'!$Q$4:$Q$500,SMALL(IF((ISNUMBER(SEARCH("high",'DL17. Khiếu nại'!$H$4:$H$500))+ISNUMBER(SEARCH("escalated",'DL17. Khiếu nại'!$J$4:$J$500))&gt;0)*('DL17. Khiếu nại'!$A$4:$A$500&lt;&gt;""),ROW('DL17. Khiếu nại'!$A$4:$A$500)-3),ROW()-19))),"")</f>
        <v/>
      </c>
      <c r="H22" s="322" t="str">
        <f aca="false" t="array" ref="H22:H22">IFERROR(IF(INDEX('DL17. Khiếu nại'!$T$4:$T$500,SMALL(IF((ISNUMBER(SEARCH("high",'DL17. Khiếu nại'!$H$4:$H$500))+ISNUMBER(SEARCH("escalated",'DL17. Khiếu nại'!$J$4:$J$500))&gt;0)*('DL17. Khiếu nại'!$A$4:$A$500&lt;&gt;""),ROW('DL17. Khiếu nại'!$A$4:$A$500)-3),ROW()-19))="","",INDEX('DL17. Khiếu nại'!$T$4:$T$500,SMALL(IF((ISNUMBER(SEARCH("high",'DL17. Khiếu nại'!$H$4:$H$500))+ISNUMBER(SEARCH("escalated",'DL17. Khiếu nại'!$J$4:$J$500))&gt;0)*('DL17. Khiếu nại'!$A$4:$A$500&lt;&gt;""),ROW('DL17. Khiếu nại'!$A$4:$A$500)-3),ROW()-19))),"")</f>
        <v/>
      </c>
    </row>
    <row r="23" customFormat="false" ht="34.5" hidden="false" customHeight="true" outlineLevel="0" collapsed="false">
      <c r="A23" s="21" t="str">
        <f aca="false" t="array" ref="A23:A23">IFERROR(IF(INDEX('DL17. Khiếu nại'!$A$4:$A$500,SMALL(IF((ISNUMBER(SEARCH("high",'DL17. Khiếu nại'!$H$4:$H$500))+ISNUMBER(SEARCH("escalated",'DL17. Khiếu nại'!$J$4:$J$500))&gt;0)*('DL17. Khiếu nại'!$A$4:$A$500&lt;&gt;""),ROW('DL17. Khiếu nại'!$A$4:$A$500)-3),ROW()-19))="","",INDEX('DL17. Khiếu nại'!$A$4:$A$500,SMALL(IF((ISNUMBER(SEARCH("high",'DL17. Khiếu nại'!$H$4:$H$500))+ISNUMBER(SEARCH("escalated",'DL17. Khiếu nại'!$J$4:$J$500))&gt;0)*('DL17. Khiếu nại'!$A$4:$A$500&lt;&gt;""),ROW('DL17. Khiếu nại'!$A$4:$A$500)-3),ROW()-19))),"")</f>
        <v/>
      </c>
      <c r="B23" s="21" t="str">
        <f aca="false" t="array" ref="B23:B23">IFERROR(IF(INDEX('DL17. Khiếu nại'!$B$4:$B$500,SMALL(IF((ISNUMBER(SEARCH("high",'DL17. Khiếu nại'!$H$4:$H$500))+ISNUMBER(SEARCH("escalated",'DL17. Khiếu nại'!$J$4:$J$500))&gt;0)*('DL17. Khiếu nại'!$A$4:$A$500&lt;&gt;""),ROW('DL17. Khiếu nại'!$A$4:$A$500)-3),ROW()-19))="","",INDEX('DL17. Khiếu nại'!$B$4:$B$500,SMALL(IF((ISNUMBER(SEARCH("high",'DL17. Khiếu nại'!$H$4:$H$500))+ISNUMBER(SEARCH("escalated",'DL17. Khiếu nại'!$J$4:$J$500))&gt;0)*('DL17. Khiếu nại'!$A$4:$A$500&lt;&gt;""),ROW('DL17. Khiếu nại'!$A$4:$A$500)-3),ROW()-19))),"")</f>
        <v/>
      </c>
      <c r="C23" s="21" t="str">
        <f aca="false" t="array" ref="C23:C23">IFERROR(IF(INDEX('DL17. Khiếu nại'!$G$4:$G$500,SMALL(IF((ISNUMBER(SEARCH("high",'DL17. Khiếu nại'!$H$4:$H$500))+ISNUMBER(SEARCH("escalated",'DL17. Khiếu nại'!$J$4:$J$500))&gt;0)*('DL17. Khiếu nại'!$A$4:$A$500&lt;&gt;""),ROW('DL17. Khiếu nại'!$A$4:$A$500)-3),ROW()-19))="","",INDEX('DL17. Khiếu nại'!$G$4:$G$500,SMALL(IF((ISNUMBER(SEARCH("high",'DL17. Khiếu nại'!$H$4:$H$500))+ISNUMBER(SEARCH("escalated",'DL17. Khiếu nại'!$J$4:$J$500))&gt;0)*('DL17. Khiếu nại'!$A$4:$A$500&lt;&gt;""),ROW('DL17. Khiếu nại'!$A$4:$A$500)-3),ROW()-19))),"")</f>
        <v/>
      </c>
      <c r="D23" s="21" t="str">
        <f aca="false" t="array" ref="D23:D23">IFERROR(IF(INDEX('DL17. Khiếu nại'!$H$4:$H$500,SMALL(IF((ISNUMBER(SEARCH("high",'DL17. Khiếu nại'!$H$4:$H$500))+ISNUMBER(SEARCH("escalated",'DL17. Khiếu nại'!$J$4:$J$500))&gt;0)*('DL17. Khiếu nại'!$A$4:$A$500&lt;&gt;""),ROW('DL17. Khiếu nại'!$A$4:$A$500)-3),ROW()-19))="","",INDEX('DL17. Khiếu nại'!$H$4:$H$500,SMALL(IF((ISNUMBER(SEARCH("high",'DL17. Khiếu nại'!$H$4:$H$500))+ISNUMBER(SEARCH("escalated",'DL17. Khiếu nại'!$J$4:$J$500))&gt;0)*('DL17. Khiếu nại'!$A$4:$A$500&lt;&gt;""),ROW('DL17. Khiếu nại'!$A$4:$A$500)-3),ROW()-19))),"")</f>
        <v/>
      </c>
      <c r="E23" s="21" t="str">
        <f aca="false" t="array" ref="E23:E23">IFERROR(IF(INDEX('DL17. Khiếu nại'!$J$4:$J$500,SMALL(IF((ISNUMBER(SEARCH("high",'DL17. Khiếu nại'!$H$4:$H$500))+ISNUMBER(SEARCH("escalated",'DL17. Khiếu nại'!$J$4:$J$500))&gt;0)*('DL17. Khiếu nại'!$A$4:$A$500&lt;&gt;""),ROW('DL17. Khiếu nại'!$A$4:$A$500)-3),ROW()-19))="","",INDEX('DL17. Khiếu nại'!$J$4:$J$500,SMALL(IF((ISNUMBER(SEARCH("high",'DL17. Khiếu nại'!$H$4:$H$500))+ISNUMBER(SEARCH("escalated",'DL17. Khiếu nại'!$J$4:$J$500))&gt;0)*('DL17. Khiếu nại'!$A$4:$A$500&lt;&gt;""),ROW('DL17. Khiếu nại'!$A$4:$A$500)-3),ROW()-19))),"")</f>
        <v/>
      </c>
      <c r="F23" s="21" t="str">
        <f aca="false" t="array" ref="F23:F23">IFERROR(IF(INDEX('DL17. Khiếu nại'!$K$4:$K$500,SMALL(IF((ISNUMBER(SEARCH("high",'DL17. Khiếu nại'!$H$4:$H$500))+ISNUMBER(SEARCH("escalated",'DL17. Khiếu nại'!$J$4:$J$500))&gt;0)*('DL17. Khiếu nại'!$A$4:$A$500&lt;&gt;""),ROW('DL17. Khiếu nại'!$A$4:$A$500)-3),ROW()-19))="","",INDEX('DL17. Khiếu nại'!$K$4:$K$500,SMALL(IF((ISNUMBER(SEARCH("high",'DL17. Khiếu nại'!$H$4:$H$500))+ISNUMBER(SEARCH("escalated",'DL17. Khiếu nại'!$J$4:$J$500))&gt;0)*('DL17. Khiếu nại'!$A$4:$A$500&lt;&gt;""),ROW('DL17. Khiếu nại'!$A$4:$A$500)-3),ROW()-19))),"")</f>
        <v/>
      </c>
      <c r="G23" s="21" t="str">
        <f aca="false" t="array" ref="G23:G23">IFERROR(IF(INDEX('DL17. Khiếu nại'!$Q$4:$Q$500,SMALL(IF((ISNUMBER(SEARCH("high",'DL17. Khiếu nại'!$H$4:$H$500))+ISNUMBER(SEARCH("escalated",'DL17. Khiếu nại'!$J$4:$J$500))&gt;0)*('DL17. Khiếu nại'!$A$4:$A$500&lt;&gt;""),ROW('DL17. Khiếu nại'!$A$4:$A$500)-3),ROW()-19))="","",INDEX('DL17. Khiếu nại'!$Q$4:$Q$500,SMALL(IF((ISNUMBER(SEARCH("high",'DL17. Khiếu nại'!$H$4:$H$500))+ISNUMBER(SEARCH("escalated",'DL17. Khiếu nại'!$J$4:$J$500))&gt;0)*('DL17. Khiếu nại'!$A$4:$A$500&lt;&gt;""),ROW('DL17. Khiếu nại'!$A$4:$A$500)-3),ROW()-19))),"")</f>
        <v/>
      </c>
      <c r="H23" s="322" t="str">
        <f aca="false" t="array" ref="H23:H23">IFERROR(IF(INDEX('DL17. Khiếu nại'!$T$4:$T$500,SMALL(IF((ISNUMBER(SEARCH("high",'DL17. Khiếu nại'!$H$4:$H$500))+ISNUMBER(SEARCH("escalated",'DL17. Khiếu nại'!$J$4:$J$500))&gt;0)*('DL17. Khiếu nại'!$A$4:$A$500&lt;&gt;""),ROW('DL17. Khiếu nại'!$A$4:$A$500)-3),ROW()-19))="","",INDEX('DL17. Khiếu nại'!$T$4:$T$500,SMALL(IF((ISNUMBER(SEARCH("high",'DL17. Khiếu nại'!$H$4:$H$500))+ISNUMBER(SEARCH("escalated",'DL17. Khiếu nại'!$J$4:$J$500))&gt;0)*('DL17. Khiếu nại'!$A$4:$A$500&lt;&gt;""),ROW('DL17. Khiếu nại'!$A$4:$A$500)-3),ROW()-19))),"")</f>
        <v/>
      </c>
    </row>
    <row r="24" customFormat="false" ht="34.5" hidden="false" customHeight="true" outlineLevel="0" collapsed="false">
      <c r="A24" s="21" t="str">
        <f aca="false" t="array" ref="A24:A24">IFERROR(IF(INDEX('DL17. Khiếu nại'!$A$4:$A$500,SMALL(IF((ISNUMBER(SEARCH("high",'DL17. Khiếu nại'!$H$4:$H$500))+ISNUMBER(SEARCH("escalated",'DL17. Khiếu nại'!$J$4:$J$500))&gt;0)*('DL17. Khiếu nại'!$A$4:$A$500&lt;&gt;""),ROW('DL17. Khiếu nại'!$A$4:$A$500)-3),ROW()-19))="","",INDEX('DL17. Khiếu nại'!$A$4:$A$500,SMALL(IF((ISNUMBER(SEARCH("high",'DL17. Khiếu nại'!$H$4:$H$500))+ISNUMBER(SEARCH("escalated",'DL17. Khiếu nại'!$J$4:$J$500))&gt;0)*('DL17. Khiếu nại'!$A$4:$A$500&lt;&gt;""),ROW('DL17. Khiếu nại'!$A$4:$A$500)-3),ROW()-19))),"")</f>
        <v/>
      </c>
      <c r="B24" s="21" t="str">
        <f aca="false" t="array" ref="B24:B24">IFERROR(IF(INDEX('DL17. Khiếu nại'!$B$4:$B$500,SMALL(IF((ISNUMBER(SEARCH("high",'DL17. Khiếu nại'!$H$4:$H$500))+ISNUMBER(SEARCH("escalated",'DL17. Khiếu nại'!$J$4:$J$500))&gt;0)*('DL17. Khiếu nại'!$A$4:$A$500&lt;&gt;""),ROW('DL17. Khiếu nại'!$A$4:$A$500)-3),ROW()-19))="","",INDEX('DL17. Khiếu nại'!$B$4:$B$500,SMALL(IF((ISNUMBER(SEARCH("high",'DL17. Khiếu nại'!$H$4:$H$500))+ISNUMBER(SEARCH("escalated",'DL17. Khiếu nại'!$J$4:$J$500))&gt;0)*('DL17. Khiếu nại'!$A$4:$A$500&lt;&gt;""),ROW('DL17. Khiếu nại'!$A$4:$A$500)-3),ROW()-19))),"")</f>
        <v/>
      </c>
      <c r="C24" s="21" t="str">
        <f aca="false" t="array" ref="C24:C24">IFERROR(IF(INDEX('DL17. Khiếu nại'!$G$4:$G$500,SMALL(IF((ISNUMBER(SEARCH("high",'DL17. Khiếu nại'!$H$4:$H$500))+ISNUMBER(SEARCH("escalated",'DL17. Khiếu nại'!$J$4:$J$500))&gt;0)*('DL17. Khiếu nại'!$A$4:$A$500&lt;&gt;""),ROW('DL17. Khiếu nại'!$A$4:$A$500)-3),ROW()-19))="","",INDEX('DL17. Khiếu nại'!$G$4:$G$500,SMALL(IF((ISNUMBER(SEARCH("high",'DL17. Khiếu nại'!$H$4:$H$500))+ISNUMBER(SEARCH("escalated",'DL17. Khiếu nại'!$J$4:$J$500))&gt;0)*('DL17. Khiếu nại'!$A$4:$A$500&lt;&gt;""),ROW('DL17. Khiếu nại'!$A$4:$A$500)-3),ROW()-19))),"")</f>
        <v/>
      </c>
      <c r="D24" s="21" t="str">
        <f aca="false" t="array" ref="D24:D24">IFERROR(IF(INDEX('DL17. Khiếu nại'!$H$4:$H$500,SMALL(IF((ISNUMBER(SEARCH("high",'DL17. Khiếu nại'!$H$4:$H$500))+ISNUMBER(SEARCH("escalated",'DL17. Khiếu nại'!$J$4:$J$500))&gt;0)*('DL17. Khiếu nại'!$A$4:$A$500&lt;&gt;""),ROW('DL17. Khiếu nại'!$A$4:$A$500)-3),ROW()-19))="","",INDEX('DL17. Khiếu nại'!$H$4:$H$500,SMALL(IF((ISNUMBER(SEARCH("high",'DL17. Khiếu nại'!$H$4:$H$500))+ISNUMBER(SEARCH("escalated",'DL17. Khiếu nại'!$J$4:$J$500))&gt;0)*('DL17. Khiếu nại'!$A$4:$A$500&lt;&gt;""),ROW('DL17. Khiếu nại'!$A$4:$A$500)-3),ROW()-19))),"")</f>
        <v/>
      </c>
      <c r="E24" s="21" t="str">
        <f aca="false" t="array" ref="E24:E24">IFERROR(IF(INDEX('DL17. Khiếu nại'!$J$4:$J$500,SMALL(IF((ISNUMBER(SEARCH("high",'DL17. Khiếu nại'!$H$4:$H$500))+ISNUMBER(SEARCH("escalated",'DL17. Khiếu nại'!$J$4:$J$500))&gt;0)*('DL17. Khiếu nại'!$A$4:$A$500&lt;&gt;""),ROW('DL17. Khiếu nại'!$A$4:$A$500)-3),ROW()-19))="","",INDEX('DL17. Khiếu nại'!$J$4:$J$500,SMALL(IF((ISNUMBER(SEARCH("high",'DL17. Khiếu nại'!$H$4:$H$500))+ISNUMBER(SEARCH("escalated",'DL17. Khiếu nại'!$J$4:$J$500))&gt;0)*('DL17. Khiếu nại'!$A$4:$A$500&lt;&gt;""),ROW('DL17. Khiếu nại'!$A$4:$A$500)-3),ROW()-19))),"")</f>
        <v/>
      </c>
      <c r="F24" s="21" t="str">
        <f aca="false" t="array" ref="F24:F24">IFERROR(IF(INDEX('DL17. Khiếu nại'!$K$4:$K$500,SMALL(IF((ISNUMBER(SEARCH("high",'DL17. Khiếu nại'!$H$4:$H$500))+ISNUMBER(SEARCH("escalated",'DL17. Khiếu nại'!$J$4:$J$500))&gt;0)*('DL17. Khiếu nại'!$A$4:$A$500&lt;&gt;""),ROW('DL17. Khiếu nại'!$A$4:$A$500)-3),ROW()-19))="","",INDEX('DL17. Khiếu nại'!$K$4:$K$500,SMALL(IF((ISNUMBER(SEARCH("high",'DL17. Khiếu nại'!$H$4:$H$500))+ISNUMBER(SEARCH("escalated",'DL17. Khiếu nại'!$J$4:$J$500))&gt;0)*('DL17. Khiếu nại'!$A$4:$A$500&lt;&gt;""),ROW('DL17. Khiếu nại'!$A$4:$A$500)-3),ROW()-19))),"")</f>
        <v/>
      </c>
      <c r="G24" s="21" t="str">
        <f aca="false" t="array" ref="G24:G24">IFERROR(IF(INDEX('DL17. Khiếu nại'!$Q$4:$Q$500,SMALL(IF((ISNUMBER(SEARCH("high",'DL17. Khiếu nại'!$H$4:$H$500))+ISNUMBER(SEARCH("escalated",'DL17. Khiếu nại'!$J$4:$J$500))&gt;0)*('DL17. Khiếu nại'!$A$4:$A$500&lt;&gt;""),ROW('DL17. Khiếu nại'!$A$4:$A$500)-3),ROW()-19))="","",INDEX('DL17. Khiếu nại'!$Q$4:$Q$500,SMALL(IF((ISNUMBER(SEARCH("high",'DL17. Khiếu nại'!$H$4:$H$500))+ISNUMBER(SEARCH("escalated",'DL17. Khiếu nại'!$J$4:$J$500))&gt;0)*('DL17. Khiếu nại'!$A$4:$A$500&lt;&gt;""),ROW('DL17. Khiếu nại'!$A$4:$A$500)-3),ROW()-19))),"")</f>
        <v/>
      </c>
      <c r="H24" s="322" t="str">
        <f aca="false" t="array" ref="H24:H24">IFERROR(IF(INDEX('DL17. Khiếu nại'!$T$4:$T$500,SMALL(IF((ISNUMBER(SEARCH("high",'DL17. Khiếu nại'!$H$4:$H$500))+ISNUMBER(SEARCH("escalated",'DL17. Khiếu nại'!$J$4:$J$500))&gt;0)*('DL17. Khiếu nại'!$A$4:$A$500&lt;&gt;""),ROW('DL17. Khiếu nại'!$A$4:$A$500)-3),ROW()-19))="","",INDEX('DL17. Khiếu nại'!$T$4:$T$500,SMALL(IF((ISNUMBER(SEARCH("high",'DL17. Khiếu nại'!$H$4:$H$500))+ISNUMBER(SEARCH("escalated",'DL17. Khiếu nại'!$J$4:$J$500))&gt;0)*('DL17. Khiếu nại'!$A$4:$A$500&lt;&gt;""),ROW('DL17. Khiếu nại'!$A$4:$A$500)-3),ROW()-19))),"")</f>
        <v/>
      </c>
    </row>
    <row r="25" customFormat="false" ht="15" hidden="false" customHeight="true" outlineLevel="0" collapsed="false">
      <c r="A25" s="179"/>
      <c r="B25" s="179"/>
      <c r="C25" s="179"/>
      <c r="D25" s="179"/>
      <c r="E25" s="179"/>
      <c r="F25" s="179"/>
      <c r="G25" s="179"/>
      <c r="H25" s="179"/>
    </row>
    <row r="26" customFormat="false" ht="28.5" hidden="false" customHeight="true" outlineLevel="0" collapsed="false">
      <c r="A26" s="260" t="s">
        <v>4031</v>
      </c>
      <c r="B26" s="260"/>
      <c r="C26" s="260"/>
      <c r="D26" s="260"/>
      <c r="E26" s="260"/>
      <c r="F26" s="260"/>
      <c r="G26" s="260"/>
      <c r="H26" s="260"/>
    </row>
    <row r="27" customFormat="false" ht="22.5" hidden="false" customHeight="true" outlineLevel="0" collapsed="false">
      <c r="A27" s="261" t="s">
        <v>472</v>
      </c>
      <c r="B27" s="261" t="s">
        <v>2116</v>
      </c>
      <c r="C27" s="261"/>
      <c r="D27" s="261" t="s">
        <v>944</v>
      </c>
      <c r="E27" s="261" t="s">
        <v>4032</v>
      </c>
      <c r="F27" s="261" t="s">
        <v>250</v>
      </c>
      <c r="G27" s="261" t="s">
        <v>4033</v>
      </c>
      <c r="H27" s="261"/>
    </row>
    <row r="28" customFormat="false" ht="33.75" hidden="false" customHeight="true" outlineLevel="0" collapsed="false">
      <c r="A28" s="271" t="s">
        <v>3919</v>
      </c>
      <c r="B28" s="166" t="str">
        <f aca="false">IFERROR(VLOOKUP("APR",'BC2. Chỉ số KPI'!$B:$H,2,FALSE()),"")</f>
        <v>Approval Rate - Phê duyệt yêu cầu đúng hạn</v>
      </c>
      <c r="C28" s="166"/>
      <c r="D28" s="44" t="n">
        <f aca="false">IFERROR(VLOOKUP("APR",'BC2. Chỉ số KPI'!$B:$H,4,FALSE()),"")</f>
        <v>0</v>
      </c>
      <c r="E28" s="44" t="str">
        <f aca="false">IFERROR(VLOOKUP("APR",'BC2. Chỉ số KPI'!$B:$H,5,FALSE()),"")</f>
        <v>≥ 90%</v>
      </c>
      <c r="F28" s="44" t="str">
        <f aca="false">IFERROR(VLOOKUP("APR",'BC2. Chỉ số KPI'!$B:$H,6,FALSE()),"")</f>
        <v>DƯỚI NGƯỠNG</v>
      </c>
      <c r="G28" s="166" t="str">
        <f aca="false">IFERROR(VLOOKUP("APR",'BC2. Chỉ số KPI'!$B:$H,7,FALSE()),"")</f>
        <v>Phê duyệt trễ = team bị tắc công việc. Đây là chỉ số quản lý trực tiếp kiểm soát được và ảnh hưởng ngay đến trải nghiệm học viên (đổi lớp trễ, áp chiết khấu trễ, duyệt thêm buổi WOW trễ)</v>
      </c>
      <c r="H28" s="166"/>
    </row>
    <row r="29" customFormat="false" ht="33.75" hidden="false" customHeight="true" outlineLevel="0" collapsed="false">
      <c r="A29" s="350" t="str">
        <f aca="false">HYPERLINK("#'CH6. Ngưỡng KPI'!A"&amp;MATCH("RR",'CH6. Ngưỡng KPI'!$A:$A,0),"RR")</f>
        <v>RR</v>
      </c>
      <c r="B29" s="166" t="str">
        <f aca="false">IFERROR(VLOOKUP("RR",'BC2. Chỉ số KPI'!$B:$H,2,FALSE()),"")</f>
        <v>Resolution Rate - Tỷ lệ KN được resolved + accepted</v>
      </c>
      <c r="C29" s="166"/>
      <c r="D29" s="44" t="n">
        <f aca="false">IFERROR(VLOOKUP("RR",'BC2. Chỉ số KPI'!$B:$H,4,FALSE()),"")</f>
        <v>0.2</v>
      </c>
      <c r="E29" s="193" t="str">
        <f aca="false">IFERROR(VLOOKUP("RR",'BC2. Chỉ số KPI'!$B:$H,5,FALSE()),"")</f>
        <v>≥ 90%</v>
      </c>
      <c r="F29" s="44" t="str">
        <f aca="false">IFERROR(VLOOKUP("RR",'BC2. Chỉ số KPI'!$B:$H,6,FALSE()),"")</f>
        <v>DƯỚI NGƯỠNG</v>
      </c>
      <c r="G29" s="166" t="str">
        <f aca="false">IFERROR(VLOOKUP("RR",'BC2. Chỉ số KPI'!$B:$H,7,FALSE()),"")</f>
        <v>Thấp -&gt; giải pháp đưa ra chưa thuyết phục hoặc quy trình xử lý chưa phù hợp. Phân tích theo complaint_type để biết nhóm nào khó xử lý nhất và thiếu thẩm quyền gì</v>
      </c>
      <c r="H29" s="166"/>
    </row>
    <row r="30" customFormat="false" ht="33.75" hidden="false" customHeight="true" outlineLevel="0" collapsed="false">
      <c r="A30" s="350" t="str">
        <f aca="false">HYPERLINK("#'CH6. Ngưỡng KPI'!A"&amp;MATCH("CIR",'CH6. Ngưỡng KPI'!$A:$A,0),"CIR")</f>
        <v>CIR</v>
      </c>
      <c r="B30" s="166" t="str">
        <f aca="false">IFERROR(VLOOKUP("CIR",'BC2. Chỉ số KPI'!$B:$H,2,FALSE()),"")</f>
        <v>Complaint Incidence Rate - Tỷ lệ HV có KN / tháng</v>
      </c>
      <c r="C30" s="166"/>
      <c r="D30" s="353" t="n">
        <f aca="false">IFERROR(VLOOKUP("CIR",'BC2. Chỉ số KPI'!$B:$H,4,FALSE()),"")</f>
        <v>0.357142857142857</v>
      </c>
      <c r="E30" s="193" t="str">
        <f aca="false">IFERROR(VLOOKUP("CIR",'BC2. Chỉ số KPI'!$B:$H,5,FALSE()),"")</f>
        <v>≤ 3%</v>
      </c>
      <c r="F30" s="44" t="str">
        <f aca="false">IFERROR(VLOOKUP("CIR",'BC2. Chỉ số KPI'!$B:$H,6,FALSE()),"")</f>
        <v>VƯỢT NGƯỠNG</v>
      </c>
      <c r="G30" s="166" t="str">
        <f aca="false">IFERROR(VLOOKUP("CIR",'BC2. Chỉ số KPI'!$B:$H,7,FALSE()),"")</f>
        <v>Đọc cùng NER giai đoạn 8: nếu NER cao nhưng CIR thấp -&gt; phần lớn tiêu cực đang được xử lý ổn ở giai đoạn 8. Nếu cả hai cao -&gt; có vấn đề nghiêm trọng chưa được giải quyết</v>
      </c>
      <c r="H30" s="166"/>
    </row>
    <row r="31" customFormat="false" ht="33.75" hidden="false" customHeight="true" outlineLevel="0" collapsed="false">
      <c r="A31" s="350" t="str">
        <f aca="false">HYPERLINK("#'CH6. Ngưỡng KPI'!A"&amp;MATCH("CR10",'CH6. Ngưỡng KPI'!$A:$A,0),"CR10")</f>
        <v>CR10</v>
      </c>
      <c r="B31" s="166" t="str">
        <f aca="false">IFERROR(VLOOKUP("CR10",'BC2. Chỉ số KPI'!$B:$H,2,FALSE()),"")</f>
        <v>Course Completion Rate - Tỷ lệ HV hoàn thành khóa</v>
      </c>
      <c r="C31" s="166"/>
      <c r="D31" s="353" t="n">
        <f aca="false">IFERROR(VLOOKUP("CR10",'BC2. Chỉ số KPI'!$B:$H,4,FALSE()),"")</f>
        <v>0.666666666666667</v>
      </c>
      <c r="E31" s="193" t="str">
        <f aca="false">IFERROR(VLOOKUP("CR10",'BC2. Chỉ số KPI'!$B:$H,5,FALSE()),"")</f>
        <v>≥ 85%</v>
      </c>
      <c r="F31" s="44" t="str">
        <f aca="false">IFERROR(VLOOKUP("CR10",'BC2. Chỉ số KPI'!$B:$H,6,FALSE()),"")</f>
        <v>DƯỚI NGƯỠNG</v>
      </c>
      <c r="G31" s="166" t="str">
        <f aca="false">IFERROR(VLOOKUP("CR10",'BC2. Chỉ số KPI'!$B:$H,7,FALSE()),"")</f>
        <v>Kết hợp với dropout_reason để tìm nhóm nguyên nhân phổ biến nhất. Tỷ lệ thấp kéo dài liên tục -&gt; cần xem lại toàn bộ quy trình can thiệp sớm ở giai đoạn 6 và 7</v>
      </c>
      <c r="H31" s="166"/>
    </row>
    <row r="32" customFormat="false" ht="33.75" hidden="false" customHeight="true" outlineLevel="0" collapsed="false">
      <c r="A32" s="350" t="str">
        <f aca="false">HYPERLINK("#'CH6. Ngưỡng KPI'!A"&amp;MATCH("AR",'CH6. Ngưỡng KPI'!$A:$A,0),"AR")</f>
        <v>AR</v>
      </c>
      <c r="B32" s="166" t="str">
        <f aca="false">IFERROR(VLOOKUP("AR",'BC2. Chỉ số KPI'!$B:$H,2,FALSE()),"")</f>
        <v>Achievement Rate - Tỷ lệ đạt mục tiêu</v>
      </c>
      <c r="C32" s="166"/>
      <c r="D32" s="44" t="n">
        <f aca="false">IFERROR(VLOOKUP("AR",'BC2. Chỉ số KPI'!$B:$H,4,FALSE()),"")</f>
        <v>0.5</v>
      </c>
      <c r="E32" s="193" t="str">
        <f aca="false">IFERROR(VLOOKUP("AR",'BC2. Chỉ số KPI'!$B:$H,5,FALSE()),"")</f>
        <v>≥ 70%</v>
      </c>
      <c r="F32" s="44" t="str">
        <f aca="false">IFERROR(VLOOKUP("AR",'BC2. Chỉ số KPI'!$B:$H,6,FALSE()),"")</f>
        <v>DƯỚI NGƯỠNG</v>
      </c>
      <c r="G32" s="166" t="str">
        <f aca="false">IFERROR(VLOOKUP("AR",'BC2. Chỉ số KPI'!$B:$H,7,FALSE()),"")</f>
        <v>Chỉ số quan trọng nhất phản ánh chất lượng đào tạo thực sự. Thấp ở một giảng viên cụ thể -&gt; vấn đề giảng dạy cá nhân. Thấp ở một khóa học -&gt; vấn đề chương trình. Thấp đồng loạt toàn trung tâm -&gt; vấn đề hệ thống</v>
      </c>
      <c r="H32" s="166"/>
    </row>
    <row r="33" customFormat="false" ht="33.75" hidden="false" customHeight="true" outlineLevel="0" collapsed="false">
      <c r="A33" s="350" t="str">
        <f aca="false">HYPERLINK("#'CH6. Ngưỡng KPI'!A"&amp;MATCH("RER",'CH6. Ngưỡng KPI'!$A:$A,0),"RER")</f>
        <v>RER</v>
      </c>
      <c r="B33" s="166" t="str">
        <f aca="false">IFERROR(VLOOKUP("RER",'BC2. Chỉ số KPI'!$B:$H,2,FALSE()),"")</f>
        <v>Re-Enrollment Rate - Tỷ lệ tái ĐK</v>
      </c>
      <c r="C33" s="166"/>
      <c r="D33" s="44" t="n">
        <f aca="false">IFERROR(VLOOKUP("RER",'BC2. Chỉ số KPI'!$B:$H,4,FALSE()),"")</f>
        <v>0.5</v>
      </c>
      <c r="E33" s="193" t="str">
        <f aca="false">IFERROR(VLOOKUP("RER",'BC2. Chỉ số KPI'!$B:$H,5,FALSE()),"")</f>
        <v>≥ 40%</v>
      </c>
      <c r="F33" s="44" t="str">
        <f aca="false">IFERROR(VLOOKUP("RER",'BC2. Chỉ số KPI'!$B:$H,6,FALSE()),"")</f>
        <v>ĐẠT</v>
      </c>
      <c r="G33" s="166" t="str">
        <f aca="false">IFERROR(VLOOKUP("RER",'BC2. Chỉ số KPI'!$B:$H,7,FALSE()),"")</f>
        <v>Chỉ số phản ánh mức độ hài lòng và giá trị cảm nhận của học viên sau khi trải nghiệm toàn bộ khóa học. Thấp không nhất thiết là do dịch vụ kém - có thể học viên đã đạt mục tiêu và không cần học tiếp (đọc cùng AR)</v>
      </c>
      <c r="H33" s="166"/>
    </row>
    <row r="34" customFormat="false" ht="33.75" hidden="false" customHeight="true" outlineLevel="0" collapsed="false">
      <c r="A34" s="271" t="s">
        <v>3924</v>
      </c>
      <c r="B34" s="166" t="str">
        <f aca="false">IFERROR(VLOOKUP("SS_ALL",'BC2. Chỉ số KPI'!$B:$H,2,FALSE()),"")</f>
        <v>Satisfaction All - Điểm hài lòng toàn trung tâm</v>
      </c>
      <c r="C34" s="166"/>
      <c r="D34" s="44" t="n">
        <f aca="false">IFERROR(VLOOKUP("SS_ALL",'BC2. Chỉ số KPI'!$B:$H,4,FALSE()),"")</f>
        <v>4</v>
      </c>
      <c r="E34" s="44" t="str">
        <f aca="false">IFERROR(VLOOKUP("SS_ALL",'BC2. Chỉ số KPI'!$B:$H,5,FALSE()),"")</f>
        <v>≥ 4.5</v>
      </c>
      <c r="F34" s="44" t="str">
        <f aca="false">IFERROR(VLOOKUP("SS_ALL",'BC2. Chỉ số KPI'!$B:$H,6,FALSE()),"")</f>
        <v>DƯỚI NGƯỠNG</v>
      </c>
      <c r="G34" s="166" t="str">
        <f aca="false">IFERROR(VLOOKUP("SS_ALL",'BC2. Chỉ số KPI'!$B:$H,7,FALSE()),"")</f>
        <v>Chỉ số sức khoẻ tổng thể của trung tâm. Cần xem xuống cấp lớp và giảng viên để biết vấn đề ở đâu - Điểm hài lòng tổng thể (SS_ALL) tốt có thể che giấu vấn đề cục bộ ở một lớp hoặc giảng viên cụ thể</v>
      </c>
      <c r="H34" s="166"/>
    </row>
    <row r="35" customFormat="false" ht="15" hidden="false" customHeight="true" outlineLevel="0" collapsed="false">
      <c r="A35" s="179"/>
      <c r="B35" s="179"/>
      <c r="C35" s="179"/>
      <c r="D35" s="179"/>
      <c r="E35" s="179"/>
      <c r="F35" s="179"/>
      <c r="G35" s="179"/>
      <c r="H35" s="179"/>
    </row>
    <row r="36" customFormat="false" ht="15" hidden="false" customHeight="true" outlineLevel="0" collapsed="false">
      <c r="A36" s="179"/>
      <c r="B36" s="179"/>
      <c r="C36" s="179"/>
      <c r="D36" s="179"/>
      <c r="E36" s="179"/>
      <c r="F36" s="179"/>
      <c r="G36" s="179"/>
      <c r="H36" s="179"/>
    </row>
    <row r="37" customFormat="false" ht="28.5" hidden="false" customHeight="true" outlineLevel="0" collapsed="false">
      <c r="A37" s="347" t="s">
        <v>4089</v>
      </c>
      <c r="B37" s="347"/>
      <c r="C37" s="347"/>
      <c r="D37" s="347"/>
      <c r="E37" s="347"/>
      <c r="F37" s="347"/>
      <c r="G37" s="347"/>
      <c r="H37" s="347"/>
    </row>
    <row r="38" customFormat="false" ht="22.5" hidden="false" customHeight="true" outlineLevel="0" collapsed="false">
      <c r="A38" s="320" t="s">
        <v>4081</v>
      </c>
      <c r="B38" s="320" t="s">
        <v>2017</v>
      </c>
      <c r="C38" s="320" t="s">
        <v>3798</v>
      </c>
      <c r="D38" s="361" t="s">
        <v>3748</v>
      </c>
      <c r="E38" s="362" t="s">
        <v>4086</v>
      </c>
      <c r="F38" s="320" t="s">
        <v>4090</v>
      </c>
      <c r="G38" s="320" t="s">
        <v>2503</v>
      </c>
      <c r="H38" s="320"/>
    </row>
    <row r="39" customFormat="false" ht="68.25" hidden="false" customHeight="true" outlineLevel="0" collapsed="false">
      <c r="A39" s="240" t="str">
        <f aca="false" t="array" ref="A39:A39">IFERROR(IF(INDEX('DL06. Đăng ký'!$A$4:$A$500,SMALL(IF(ISNUMBER(SEARCH("cancelled",'DL06. Đăng ký'!$F$4:$F$500))*('DL06. Đăng ký'!$N$4:$N$500&gt;0)*('DL06. Đăng ký'!$A$4:$A$500&lt;&gt;""),ROW('DL06. Đăng ký'!$A$4:$A$500)-3),ROW()-38))="","",INDEX('DL06. Đăng ký'!$A$4:$A$500,SMALL(IF(ISNUMBER(SEARCH("cancelled",'DL06. Đăng ký'!$F$4:$F$500))*('DL06. Đăng ký'!$N$4:$N$500&gt;0)*('DL06. Đăng ký'!$A$4:$A$500&lt;&gt;""),ROW('DL06. Đăng ký'!$A$4:$A$500)-3),ROW()-38))),"")</f>
        <v>ENR-2026-007</v>
      </c>
      <c r="B39" s="359" t="str">
        <f aca="false" t="array" ref="B39:B39">IFERROR(IF(INDEX('DL06. Đăng ký'!$B$4:$B$500,SMALL(IF(ISNUMBER(SEARCH("cancelled",'DL06. Đăng ký'!$F$4:$F$500))*('DL06. Đăng ký'!$N$4:$N$500&gt;0)*('DL06. Đăng ký'!$A$4:$A$500&lt;&gt;""),ROW('DL06. Đăng ký'!$A$4:$A$500)-3),ROW()-38))="","",INDEX('DL06. Đăng ký'!$B$4:$B$500,SMALL(IF(ISNUMBER(SEARCH("cancelled",'DL06. Đăng ký'!$F$4:$F$500))*('DL06. Đăng ký'!$N$4:$N$500&gt;0)*('DL06. Đăng ký'!$A$4:$A$500&lt;&gt;""),ROW('DL06. Đăng ký'!$A$4:$A$500)-3),ROW()-38))),"")</f>
        <v>HV007</v>
      </c>
      <c r="C39" s="359" t="str">
        <f aca="false" t="array" ref="C39:C39">IFERROR(IF(INDEX('DL06. Đăng ký'!$E$4:$E$500,SMALL(IF(ISNUMBER(SEARCH("cancelled",'DL06. Đăng ký'!$F$4:$F$500))*('DL06. Đăng ký'!$N$4:$N$500&gt;0)*('DL06. Đăng ký'!$A$4:$A$500&lt;&gt;""),ROW('DL06. Đăng ký'!$A$4:$A$500)-3),ROW()-38))="","",INDEX('DL06. Đăng ký'!$E$4:$E$500,SMALL(IF(ISNUMBER(SEARCH("cancelled",'DL06. Đăng ký'!$F$4:$F$500))*('DL06. Đăng ký'!$N$4:$N$500&gt;0)*('DL06. Đăng ký'!$A$4:$A$500&lt;&gt;""),ROW('DL06. Đăng ký'!$A$4:$A$500)-3),ROW()-38))),"")</f>
        <v>CRS-PRE-01</v>
      </c>
      <c r="D39" s="240" t="n">
        <f aca="false" t="array" ref="D39:D39">IFERROR(IF(INDEX('DL06. Đăng ký'!$N$4:$N$500,SMALL(IF(ISNUMBER(SEARCH("cancelled",'DL06. Đăng ký'!$F$4:$F$500))*('DL06. Đăng ký'!$N$4:$N$500&gt;0)*('DL06. Đăng ký'!$A$4:$A$500&lt;&gt;""),ROW('DL06. Đăng ký'!$A$4:$A$500)-3),ROW()-38))="","",INDEX('DL06. Đăng ký'!$N$4:$N$500,SMALL(IF(ISNUMBER(SEARCH("cancelled",'DL06. Đăng ký'!$F$4:$F$500))*('DL06. Đăng ký'!$N$4:$N$500&gt;0)*('DL06. Đăng ký'!$A$4:$A$500&lt;&gt;""),ROW('DL06. Đăng ký'!$A$4:$A$500)-3),ROW()-38))),"")</f>
        <v>5000000</v>
      </c>
      <c r="E39" s="185" t="n">
        <f aca="false" t="array" ref="E39:E39">IFERROR(IF(INDEX('DL06. Đăng ký'!$G$4:$G$500,SMALL(IF(ISNUMBER(SEARCH("cancelled",'DL06. Đăng ký'!$F$4:$F$500))*('DL06. Đăng ký'!$N$4:$N$500&gt;0)*('DL06. Đăng ký'!$A$4:$A$500&lt;&gt;""),ROW('DL06. Đăng ký'!$A$4:$A$500)-3),ROW()-38))="","",INDEX('DL06. Đăng ký'!$G$4:$G$500,SMALL(IF(ISNUMBER(SEARCH("cancelled",'DL06. Đăng ký'!$F$4:$F$500))*('DL06. Đăng ký'!$N$4:$N$500&gt;0)*('DL06. Đăng ký'!$A$4:$A$500&lt;&gt;""),ROW('DL06. Đăng ký'!$A$4:$A$500)-3),ROW()-38))),"")</f>
        <v>46168.375</v>
      </c>
      <c r="F39" s="240" t="str">
        <f aca="false" t="array" ref="F39:F39">IFERROR(IF(INDEX('DL06. Đăng ký'!$Q$4:$Q$500,SMALL(IF(ISNUMBER(SEARCH("cancelled",'DL06. Đăng ký'!$F$4:$F$500))*('DL06. Đăng ký'!$N$4:$N$500&gt;0)*('DL06. Đăng ký'!$A$4:$A$500&lt;&gt;""),ROW('DL06. Đăng ký'!$A$4:$A$500)-3),ROW()-38))="","",INDEX('DL06. Đăng ký'!$Q$4:$Q$500,SMALL(IF(ISNUMBER(SEARCH("cancelled",'DL06. Đăng ký'!$F$4:$F$500))*('DL06. Đăng ký'!$N$4:$N$500&gt;0)*('DL06. Đăng ký'!$A$4:$A$500&lt;&gt;""),ROW('DL06. Đăng ký'!$A$4:$A$500)-3),ROW()-38))),"")</f>
        <v>Chuyển chỗ ở, không theo được</v>
      </c>
      <c r="G39" s="363" t="str">
        <f aca="false" t="array" ref="G39:G39">IFERROR(IF(INDEX('DL06. Đăng ký'!$T$4:$T$500,SMALL(IF(ISNUMBER(SEARCH("cancelled",'DL06. Đăng ký'!$F$4:$F$500))*('DL06. Đăng ký'!$N$4:$N$500&gt;0)*('DL06. Đăng ký'!$A$4:$A$500&lt;&gt;""),ROW('DL06. Đăng ký'!$A$4:$A$500)-3),ROW()-38))="","",INDEX('DL06. Đăng ký'!$T$4:$T$500,SMALL(IF(ISNUMBER(SEARCH("cancelled",'DL06. Đăng ký'!$F$4:$F$500))*('DL06. Đăng ký'!$N$4:$N$500&gt;0)*('DL06. Đăng ký'!$A$4:$A$500&lt;&gt;""),ROW('DL06. Đăng ký'!$A$4:$A$500)-3),ROW()-38))),"")</f>
        <v>Đăng ký đã hủy. Chính sách hoàn tiền (cấu hình): hoàn 100% nếu hủy trong 7 ngày, hoàn một phần nếu trong 14 ngày, hoàn mức thấp nếu trong 30 ngày, quá thì không hoàn. Việc cần làm: kiểm tra ngày hủy và xử lý hoàn tiền.</v>
      </c>
      <c r="H39" s="179"/>
    </row>
    <row r="40" customFormat="false" ht="15" hidden="false" customHeight="true" outlineLevel="0" collapsed="false">
      <c r="A40" s="240" t="str">
        <f aca="false" t="array" ref="A40:A40">IFERROR(IF(INDEX('DL06. Đăng ký'!$A$4:$A$500,SMALL(IF(ISNUMBER(SEARCH("cancelled",'DL06. Đăng ký'!$F$4:$F$500))*('DL06. Đăng ký'!$N$4:$N$500&gt;0)*('DL06. Đăng ký'!$A$4:$A$500&lt;&gt;""),ROW('DL06. Đăng ký'!$A$4:$A$500)-3),ROW()-38))="","",INDEX('DL06. Đăng ký'!$A$4:$A$500,SMALL(IF(ISNUMBER(SEARCH("cancelled",'DL06. Đăng ký'!$F$4:$F$500))*('DL06. Đăng ký'!$N$4:$N$500&gt;0)*('DL06. Đăng ký'!$A$4:$A$500&lt;&gt;""),ROW('DL06. Đăng ký'!$A$4:$A$500)-3),ROW()-38))),"")</f>
        <v/>
      </c>
      <c r="B40" s="240" t="str">
        <f aca="false" t="array" ref="B40:B40">IFERROR(IF(INDEX('DL06. Đăng ký'!$B$4:$B$500,SMALL(IF(ISNUMBER(SEARCH("cancelled",'DL06. Đăng ký'!$F$4:$F$500))*('DL06. Đăng ký'!$N$4:$N$500&gt;0)*('DL06. Đăng ký'!$A$4:$A$500&lt;&gt;""),ROW('DL06. Đăng ký'!$A$4:$A$500)-3),ROW()-38))="","",INDEX('DL06. Đăng ký'!$B$4:$B$500,SMALL(IF(ISNUMBER(SEARCH("cancelled",'DL06. Đăng ký'!$F$4:$F$500))*('DL06. Đăng ký'!$N$4:$N$500&gt;0)*('DL06. Đăng ký'!$A$4:$A$500&lt;&gt;""),ROW('DL06. Đăng ký'!$A$4:$A$500)-3),ROW()-38))),"")</f>
        <v/>
      </c>
      <c r="C40" s="240" t="str">
        <f aca="false" t="array" ref="C40:C40">IFERROR(IF(INDEX('DL06. Đăng ký'!$E$4:$E$500,SMALL(IF(ISNUMBER(SEARCH("cancelled",'DL06. Đăng ký'!$F$4:$F$500))*('DL06. Đăng ký'!$N$4:$N$500&gt;0)*('DL06. Đăng ký'!$A$4:$A$500&lt;&gt;""),ROW('DL06. Đăng ký'!$A$4:$A$500)-3),ROW()-38))="","",INDEX('DL06. Đăng ký'!$E$4:$E$500,SMALL(IF(ISNUMBER(SEARCH("cancelled",'DL06. Đăng ký'!$F$4:$F$500))*('DL06. Đăng ký'!$N$4:$N$500&gt;0)*('DL06. Đăng ký'!$A$4:$A$500&lt;&gt;""),ROW('DL06. Đăng ký'!$A$4:$A$500)-3),ROW()-38))),"")</f>
        <v/>
      </c>
      <c r="D40" s="240" t="str">
        <f aca="false" t="array" ref="D40:D40">IFERROR(IF(INDEX('DL06. Đăng ký'!$N$4:$N$500,SMALL(IF(ISNUMBER(SEARCH("cancelled",'DL06. Đăng ký'!$F$4:$F$500))*('DL06. Đăng ký'!$N$4:$N$500&gt;0)*('DL06. Đăng ký'!$A$4:$A$500&lt;&gt;""),ROW('DL06. Đăng ký'!$A$4:$A$500)-3),ROW()-38))="","",INDEX('DL06. Đăng ký'!$N$4:$N$500,SMALL(IF(ISNUMBER(SEARCH("cancelled",'DL06. Đăng ký'!$F$4:$F$500))*('DL06. Đăng ký'!$N$4:$N$500&gt;0)*('DL06. Đăng ký'!$A$4:$A$500&lt;&gt;""),ROW('DL06. Đăng ký'!$A$4:$A$500)-3),ROW()-38))),"")</f>
        <v/>
      </c>
      <c r="E40" s="185" t="str">
        <f aca="false" t="array" ref="E40:E40">IFERROR(IF(INDEX('DL06. Đăng ký'!$G$4:$G$500,SMALL(IF(ISNUMBER(SEARCH("cancelled",'DL06. Đăng ký'!$F$4:$F$500))*('DL06. Đăng ký'!$N$4:$N$500&gt;0)*('DL06. Đăng ký'!$A$4:$A$500&lt;&gt;""),ROW('DL06. Đăng ký'!$A$4:$A$500)-3),ROW()-38))="","",INDEX('DL06. Đăng ký'!$G$4:$G$500,SMALL(IF(ISNUMBER(SEARCH("cancelled",'DL06. Đăng ký'!$F$4:$F$500))*('DL06. Đăng ký'!$N$4:$N$500&gt;0)*('DL06. Đăng ký'!$A$4:$A$500&lt;&gt;""),ROW('DL06. Đăng ký'!$A$4:$A$500)-3),ROW()-38))),"")</f>
        <v/>
      </c>
      <c r="F40" s="240" t="str">
        <f aca="false" t="array" ref="F40:F40">IFERROR(IF(INDEX('DL06. Đăng ký'!$Q$4:$Q$500,SMALL(IF(ISNUMBER(SEARCH("cancelled",'DL06. Đăng ký'!$F$4:$F$500))*('DL06. Đăng ký'!$N$4:$N$500&gt;0)*('DL06. Đăng ký'!$A$4:$A$500&lt;&gt;""),ROW('DL06. Đăng ký'!$A$4:$A$500)-3),ROW()-38))="","",INDEX('DL06. Đăng ký'!$Q$4:$Q$500,SMALL(IF(ISNUMBER(SEARCH("cancelled",'DL06. Đăng ký'!$F$4:$F$500))*('DL06. Đăng ký'!$N$4:$N$500&gt;0)*('DL06. Đăng ký'!$A$4:$A$500&lt;&gt;""),ROW('DL06. Đăng ký'!$A$4:$A$500)-3),ROW()-38))),"")</f>
        <v/>
      </c>
      <c r="G40" s="363" t="str">
        <f aca="false" t="array" ref="G40:G40">IFERROR(IF(INDEX('DL06. Đăng ký'!$T$4:$T$500,SMALL(IF(ISNUMBER(SEARCH("cancelled",'DL06. Đăng ký'!$F$4:$F$500))*('DL06. Đăng ký'!$N$4:$N$500&gt;0)*('DL06. Đăng ký'!$A$4:$A$500&lt;&gt;""),ROW('DL06. Đăng ký'!$A$4:$A$500)-3),ROW()-38))="","",INDEX('DL06. Đăng ký'!$T$4:$T$500,SMALL(IF(ISNUMBER(SEARCH("cancelled",'DL06. Đăng ký'!$F$4:$F$500))*('DL06. Đăng ký'!$N$4:$N$500&gt;0)*('DL06. Đăng ký'!$A$4:$A$500&lt;&gt;""),ROW('DL06. Đăng ký'!$A$4:$A$500)-3),ROW()-38))),"")</f>
        <v/>
      </c>
      <c r="H40" s="179"/>
    </row>
    <row r="41" customFormat="false" ht="15" hidden="false" customHeight="true" outlineLevel="0" collapsed="false">
      <c r="A41" s="240" t="str">
        <f aca="false" t="array" ref="A41:A41">IFERROR(IF(INDEX('DL06. Đăng ký'!$A$4:$A$500,SMALL(IF(ISNUMBER(SEARCH("cancelled",'DL06. Đăng ký'!$F$4:$F$500))*('DL06. Đăng ký'!$N$4:$N$500&gt;0)*('DL06. Đăng ký'!$A$4:$A$500&lt;&gt;""),ROW('DL06. Đăng ký'!$A$4:$A$500)-3),ROW()-38))="","",INDEX('DL06. Đăng ký'!$A$4:$A$500,SMALL(IF(ISNUMBER(SEARCH("cancelled",'DL06. Đăng ký'!$F$4:$F$500))*('DL06. Đăng ký'!$N$4:$N$500&gt;0)*('DL06. Đăng ký'!$A$4:$A$500&lt;&gt;""),ROW('DL06. Đăng ký'!$A$4:$A$500)-3),ROW()-38))),"")</f>
        <v/>
      </c>
      <c r="B41" s="240" t="str">
        <f aca="false" t="array" ref="B41:B41">IFERROR(IF(INDEX('DL06. Đăng ký'!$B$4:$B$500,SMALL(IF(ISNUMBER(SEARCH("cancelled",'DL06. Đăng ký'!$F$4:$F$500))*('DL06. Đăng ký'!$N$4:$N$500&gt;0)*('DL06. Đăng ký'!$A$4:$A$500&lt;&gt;""),ROW('DL06. Đăng ký'!$A$4:$A$500)-3),ROW()-38))="","",INDEX('DL06. Đăng ký'!$B$4:$B$500,SMALL(IF(ISNUMBER(SEARCH("cancelled",'DL06. Đăng ký'!$F$4:$F$500))*('DL06. Đăng ký'!$N$4:$N$500&gt;0)*('DL06. Đăng ký'!$A$4:$A$500&lt;&gt;""),ROW('DL06. Đăng ký'!$A$4:$A$500)-3),ROW()-38))),"")</f>
        <v/>
      </c>
      <c r="C41" s="240" t="str">
        <f aca="false" t="array" ref="C41:C41">IFERROR(IF(INDEX('DL06. Đăng ký'!$E$4:$E$500,SMALL(IF(ISNUMBER(SEARCH("cancelled",'DL06. Đăng ký'!$F$4:$F$500))*('DL06. Đăng ký'!$N$4:$N$500&gt;0)*('DL06. Đăng ký'!$A$4:$A$500&lt;&gt;""),ROW('DL06. Đăng ký'!$A$4:$A$500)-3),ROW()-38))="","",INDEX('DL06. Đăng ký'!$E$4:$E$500,SMALL(IF(ISNUMBER(SEARCH("cancelled",'DL06. Đăng ký'!$F$4:$F$500))*('DL06. Đăng ký'!$N$4:$N$500&gt;0)*('DL06. Đăng ký'!$A$4:$A$500&lt;&gt;""),ROW('DL06. Đăng ký'!$A$4:$A$500)-3),ROW()-38))),"")</f>
        <v/>
      </c>
      <c r="D41" s="240" t="str">
        <f aca="false" t="array" ref="D41:D41">IFERROR(IF(INDEX('DL06. Đăng ký'!$N$4:$N$500,SMALL(IF(ISNUMBER(SEARCH("cancelled",'DL06. Đăng ký'!$F$4:$F$500))*('DL06. Đăng ký'!$N$4:$N$500&gt;0)*('DL06. Đăng ký'!$A$4:$A$500&lt;&gt;""),ROW('DL06. Đăng ký'!$A$4:$A$500)-3),ROW()-38))="","",INDEX('DL06. Đăng ký'!$N$4:$N$500,SMALL(IF(ISNUMBER(SEARCH("cancelled",'DL06. Đăng ký'!$F$4:$F$500))*('DL06. Đăng ký'!$N$4:$N$500&gt;0)*('DL06. Đăng ký'!$A$4:$A$500&lt;&gt;""),ROW('DL06. Đăng ký'!$A$4:$A$500)-3),ROW()-38))),"")</f>
        <v/>
      </c>
      <c r="E41" s="185" t="str">
        <f aca="false" t="array" ref="E41:E41">IFERROR(IF(INDEX('DL06. Đăng ký'!$G$4:$G$500,SMALL(IF(ISNUMBER(SEARCH("cancelled",'DL06. Đăng ký'!$F$4:$F$500))*('DL06. Đăng ký'!$N$4:$N$500&gt;0)*('DL06. Đăng ký'!$A$4:$A$500&lt;&gt;""),ROW('DL06. Đăng ký'!$A$4:$A$500)-3),ROW()-38))="","",INDEX('DL06. Đăng ký'!$G$4:$G$500,SMALL(IF(ISNUMBER(SEARCH("cancelled",'DL06. Đăng ký'!$F$4:$F$500))*('DL06. Đăng ký'!$N$4:$N$500&gt;0)*('DL06. Đăng ký'!$A$4:$A$500&lt;&gt;""),ROW('DL06. Đăng ký'!$A$4:$A$500)-3),ROW()-38))),"")</f>
        <v/>
      </c>
      <c r="F41" s="240" t="str">
        <f aca="false" t="array" ref="F41:F41">IFERROR(IF(INDEX('DL06. Đăng ký'!$Q$4:$Q$500,SMALL(IF(ISNUMBER(SEARCH("cancelled",'DL06. Đăng ký'!$F$4:$F$500))*('DL06. Đăng ký'!$N$4:$N$500&gt;0)*('DL06. Đăng ký'!$A$4:$A$500&lt;&gt;""),ROW('DL06. Đăng ký'!$A$4:$A$500)-3),ROW()-38))="","",INDEX('DL06. Đăng ký'!$Q$4:$Q$500,SMALL(IF(ISNUMBER(SEARCH("cancelled",'DL06. Đăng ký'!$F$4:$F$500))*('DL06. Đăng ký'!$N$4:$N$500&gt;0)*('DL06. Đăng ký'!$A$4:$A$500&lt;&gt;""),ROW('DL06. Đăng ký'!$A$4:$A$500)-3),ROW()-38))),"")</f>
        <v/>
      </c>
      <c r="G41" s="363" t="str">
        <f aca="false" t="array" ref="G41:G41">IFERROR(IF(INDEX('DL06. Đăng ký'!$T$4:$T$500,SMALL(IF(ISNUMBER(SEARCH("cancelled",'DL06. Đăng ký'!$F$4:$F$500))*('DL06. Đăng ký'!$N$4:$N$500&gt;0)*('DL06. Đăng ký'!$A$4:$A$500&lt;&gt;""),ROW('DL06. Đăng ký'!$A$4:$A$500)-3),ROW()-38))="","",INDEX('DL06. Đăng ký'!$T$4:$T$500,SMALL(IF(ISNUMBER(SEARCH("cancelled",'DL06. Đăng ký'!$F$4:$F$500))*('DL06. Đăng ký'!$N$4:$N$500&gt;0)*('DL06. Đăng ký'!$A$4:$A$500&lt;&gt;""),ROW('DL06. Đăng ký'!$A$4:$A$500)-3),ROW()-38))),"")</f>
        <v/>
      </c>
      <c r="H41" s="179"/>
    </row>
    <row r="42" customFormat="false" ht="15" hidden="false" customHeight="true" outlineLevel="0" collapsed="false">
      <c r="A42" s="240" t="str">
        <f aca="false" t="array" ref="A42:A42">IFERROR(IF(INDEX('DL06. Đăng ký'!$A$4:$A$500,SMALL(IF(ISNUMBER(SEARCH("cancelled",'DL06. Đăng ký'!$F$4:$F$500))*('DL06. Đăng ký'!$N$4:$N$500&gt;0)*('DL06. Đăng ký'!$A$4:$A$500&lt;&gt;""),ROW('DL06. Đăng ký'!$A$4:$A$500)-3),ROW()-38))="","",INDEX('DL06. Đăng ký'!$A$4:$A$500,SMALL(IF(ISNUMBER(SEARCH("cancelled",'DL06. Đăng ký'!$F$4:$F$500))*('DL06. Đăng ký'!$N$4:$N$500&gt;0)*('DL06. Đăng ký'!$A$4:$A$500&lt;&gt;""),ROW('DL06. Đăng ký'!$A$4:$A$500)-3),ROW()-38))),"")</f>
        <v/>
      </c>
      <c r="B42" s="240" t="str">
        <f aca="false" t="array" ref="B42:B42">IFERROR(IF(INDEX('DL06. Đăng ký'!$B$4:$B$500,SMALL(IF(ISNUMBER(SEARCH("cancelled",'DL06. Đăng ký'!$F$4:$F$500))*('DL06. Đăng ký'!$N$4:$N$500&gt;0)*('DL06. Đăng ký'!$A$4:$A$500&lt;&gt;""),ROW('DL06. Đăng ký'!$A$4:$A$500)-3),ROW()-38))="","",INDEX('DL06. Đăng ký'!$B$4:$B$500,SMALL(IF(ISNUMBER(SEARCH("cancelled",'DL06. Đăng ký'!$F$4:$F$500))*('DL06. Đăng ký'!$N$4:$N$500&gt;0)*('DL06. Đăng ký'!$A$4:$A$500&lt;&gt;""),ROW('DL06. Đăng ký'!$A$4:$A$500)-3),ROW()-38))),"")</f>
        <v/>
      </c>
      <c r="C42" s="240" t="str">
        <f aca="false" t="array" ref="C42:C42">IFERROR(IF(INDEX('DL06. Đăng ký'!$E$4:$E$500,SMALL(IF(ISNUMBER(SEARCH("cancelled",'DL06. Đăng ký'!$F$4:$F$500))*('DL06. Đăng ký'!$N$4:$N$500&gt;0)*('DL06. Đăng ký'!$A$4:$A$500&lt;&gt;""),ROW('DL06. Đăng ký'!$A$4:$A$500)-3),ROW()-38))="","",INDEX('DL06. Đăng ký'!$E$4:$E$500,SMALL(IF(ISNUMBER(SEARCH("cancelled",'DL06. Đăng ký'!$F$4:$F$500))*('DL06. Đăng ký'!$N$4:$N$500&gt;0)*('DL06. Đăng ký'!$A$4:$A$500&lt;&gt;""),ROW('DL06. Đăng ký'!$A$4:$A$500)-3),ROW()-38))),"")</f>
        <v/>
      </c>
      <c r="D42" s="240" t="str">
        <f aca="false" t="array" ref="D42:D42">IFERROR(IF(INDEX('DL06. Đăng ký'!$N$4:$N$500,SMALL(IF(ISNUMBER(SEARCH("cancelled",'DL06. Đăng ký'!$F$4:$F$500))*('DL06. Đăng ký'!$N$4:$N$500&gt;0)*('DL06. Đăng ký'!$A$4:$A$500&lt;&gt;""),ROW('DL06. Đăng ký'!$A$4:$A$500)-3),ROW()-38))="","",INDEX('DL06. Đăng ký'!$N$4:$N$500,SMALL(IF(ISNUMBER(SEARCH("cancelled",'DL06. Đăng ký'!$F$4:$F$500))*('DL06. Đăng ký'!$N$4:$N$500&gt;0)*('DL06. Đăng ký'!$A$4:$A$500&lt;&gt;""),ROW('DL06. Đăng ký'!$A$4:$A$500)-3),ROW()-38))),"")</f>
        <v/>
      </c>
      <c r="E42" s="185" t="str">
        <f aca="false" t="array" ref="E42:E42">IFERROR(IF(INDEX('DL06. Đăng ký'!$G$4:$G$500,SMALL(IF(ISNUMBER(SEARCH("cancelled",'DL06. Đăng ký'!$F$4:$F$500))*('DL06. Đăng ký'!$N$4:$N$500&gt;0)*('DL06. Đăng ký'!$A$4:$A$500&lt;&gt;""),ROW('DL06. Đăng ký'!$A$4:$A$500)-3),ROW()-38))="","",INDEX('DL06. Đăng ký'!$G$4:$G$500,SMALL(IF(ISNUMBER(SEARCH("cancelled",'DL06. Đăng ký'!$F$4:$F$500))*('DL06. Đăng ký'!$N$4:$N$500&gt;0)*('DL06. Đăng ký'!$A$4:$A$500&lt;&gt;""),ROW('DL06. Đăng ký'!$A$4:$A$500)-3),ROW()-38))),"")</f>
        <v/>
      </c>
      <c r="F42" s="240" t="str">
        <f aca="false" t="array" ref="F42:F42">IFERROR(IF(INDEX('DL06. Đăng ký'!$Q$4:$Q$500,SMALL(IF(ISNUMBER(SEARCH("cancelled",'DL06. Đăng ký'!$F$4:$F$500))*('DL06. Đăng ký'!$N$4:$N$500&gt;0)*('DL06. Đăng ký'!$A$4:$A$500&lt;&gt;""),ROW('DL06. Đăng ký'!$A$4:$A$500)-3),ROW()-38))="","",INDEX('DL06. Đăng ký'!$Q$4:$Q$500,SMALL(IF(ISNUMBER(SEARCH("cancelled",'DL06. Đăng ký'!$F$4:$F$500))*('DL06. Đăng ký'!$N$4:$N$500&gt;0)*('DL06. Đăng ký'!$A$4:$A$500&lt;&gt;""),ROW('DL06. Đăng ký'!$A$4:$A$500)-3),ROW()-38))),"")</f>
        <v/>
      </c>
      <c r="G42" s="363" t="str">
        <f aca="false" t="array" ref="G42:G42">IFERROR(IF(INDEX('DL06. Đăng ký'!$T$4:$T$500,SMALL(IF(ISNUMBER(SEARCH("cancelled",'DL06. Đăng ký'!$F$4:$F$500))*('DL06. Đăng ký'!$N$4:$N$500&gt;0)*('DL06. Đăng ký'!$A$4:$A$500&lt;&gt;""),ROW('DL06. Đăng ký'!$A$4:$A$500)-3),ROW()-38))="","",INDEX('DL06. Đăng ký'!$T$4:$T$500,SMALL(IF(ISNUMBER(SEARCH("cancelled",'DL06. Đăng ký'!$F$4:$F$500))*('DL06. Đăng ký'!$N$4:$N$500&gt;0)*('DL06. Đăng ký'!$A$4:$A$500&lt;&gt;""),ROW('DL06. Đăng ký'!$A$4:$A$500)-3),ROW()-38))),"")</f>
        <v/>
      </c>
      <c r="H42" s="179"/>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4">
    <mergeCell ref="A1:H1"/>
    <mergeCell ref="A2:H2"/>
    <mergeCell ref="A4:B4"/>
    <mergeCell ref="C4:D4"/>
    <mergeCell ref="E4:F4"/>
    <mergeCell ref="G4:H4"/>
    <mergeCell ref="A5:B5"/>
    <mergeCell ref="C5:D5"/>
    <mergeCell ref="E5:F5"/>
    <mergeCell ref="G5:H5"/>
    <mergeCell ref="A6:B6"/>
    <mergeCell ref="C6:D6"/>
    <mergeCell ref="E6:F6"/>
    <mergeCell ref="G6:H6"/>
    <mergeCell ref="A8:H8"/>
    <mergeCell ref="A18:H18"/>
    <mergeCell ref="A26:H26"/>
    <mergeCell ref="B27:C27"/>
    <mergeCell ref="G27:H27"/>
    <mergeCell ref="B28:C28"/>
    <mergeCell ref="G28:H28"/>
    <mergeCell ref="B29:C29"/>
    <mergeCell ref="G29:H29"/>
    <mergeCell ref="B30:C30"/>
    <mergeCell ref="G30:H30"/>
    <mergeCell ref="B31:C31"/>
    <mergeCell ref="G31:H31"/>
    <mergeCell ref="B32:C32"/>
    <mergeCell ref="G32:H32"/>
    <mergeCell ref="B33:C33"/>
    <mergeCell ref="G33:H33"/>
    <mergeCell ref="B34:C34"/>
    <mergeCell ref="G34:H34"/>
    <mergeCell ref="A37:H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2026-07-06T05:30:05Z</dcterms:created>
  <dc:creator>openpyxl</dc:creator>
  <dc:description/>
  <dc:language>en-US</dc:language>
  <cp:lastModifiedBy/>
  <dcterms:modified xsi:type="dcterms:W3CDTF">2026-07-06T15:42:06Z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