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 Busto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39" i="1" l="1"/>
  <c r="AI39" i="1"/>
  <c r="AH39" i="1"/>
  <c r="AG39" i="1"/>
  <c r="W39" i="1"/>
  <c r="AU38" i="1"/>
  <c r="AI38" i="1"/>
  <c r="AH38" i="1"/>
  <c r="AG38" i="1"/>
  <c r="W38" i="1"/>
  <c r="AU37" i="1"/>
  <c r="AI37" i="1"/>
  <c r="AH37" i="1"/>
  <c r="AG37" i="1"/>
  <c r="W37" i="1"/>
  <c r="AU36" i="1"/>
  <c r="AI36" i="1"/>
  <c r="AH36" i="1"/>
  <c r="AG36" i="1"/>
  <c r="W36" i="1"/>
  <c r="AU35" i="1"/>
  <c r="AI35" i="1"/>
  <c r="AG35" i="1"/>
  <c r="W35" i="1"/>
  <c r="AU34" i="1"/>
  <c r="AI34" i="1"/>
  <c r="AH34" i="1"/>
  <c r="AG34" i="1"/>
  <c r="W34" i="1"/>
  <c r="AU33" i="1"/>
  <c r="AI33" i="1"/>
  <c r="AH33" i="1"/>
  <c r="AG33" i="1"/>
  <c r="W33" i="1"/>
  <c r="AU32" i="1"/>
  <c r="AI32" i="1"/>
  <c r="AH32" i="1"/>
  <c r="AG32" i="1"/>
  <c r="W32" i="1"/>
  <c r="AU31" i="1"/>
  <c r="AI31" i="1"/>
  <c r="AH31" i="1"/>
  <c r="AG31" i="1"/>
  <c r="W31" i="1"/>
  <c r="AU30" i="1"/>
  <c r="AH30" i="1"/>
  <c r="AG30" i="1"/>
  <c r="W30" i="1"/>
  <c r="AU29" i="1"/>
  <c r="AH29" i="1"/>
  <c r="AG29" i="1"/>
  <c r="W29" i="1"/>
  <c r="AU28" i="1"/>
  <c r="AI28" i="1"/>
  <c r="AH28" i="1"/>
  <c r="AG28" i="1"/>
  <c r="W28" i="1"/>
  <c r="AU27" i="1"/>
  <c r="AI27" i="1"/>
  <c r="AG27" i="1"/>
  <c r="W27" i="1"/>
  <c r="AU26" i="1"/>
  <c r="AG26" i="1"/>
  <c r="W26" i="1"/>
  <c r="AU25" i="1"/>
  <c r="AI25" i="1"/>
  <c r="AH25" i="1"/>
  <c r="AG25" i="1"/>
  <c r="W25" i="1"/>
  <c r="AU24" i="1"/>
  <c r="AI24" i="1"/>
  <c r="AH24" i="1"/>
  <c r="AG24" i="1"/>
  <c r="W24" i="1"/>
  <c r="AU23" i="1"/>
  <c r="AG23" i="1"/>
  <c r="W23" i="1"/>
  <c r="AU22" i="1"/>
  <c r="AI22" i="1"/>
  <c r="AG22" i="1"/>
  <c r="W22" i="1"/>
  <c r="AU21" i="1"/>
  <c r="AG21" i="1"/>
  <c r="W21" i="1"/>
  <c r="AU20" i="1"/>
  <c r="AI20" i="1"/>
  <c r="AH20" i="1"/>
  <c r="AG20" i="1"/>
  <c r="W20" i="1"/>
  <c r="AU19" i="1"/>
  <c r="AI19" i="1"/>
  <c r="AG19" i="1"/>
  <c r="W19" i="1"/>
  <c r="AU18" i="1"/>
  <c r="AI18" i="1"/>
  <c r="AH18" i="1"/>
  <c r="AG18" i="1"/>
  <c r="W18" i="1"/>
  <c r="AU17" i="1"/>
  <c r="AI17" i="1"/>
  <c r="AH17" i="1"/>
  <c r="AG17" i="1"/>
  <c r="W17" i="1"/>
  <c r="AU16" i="1"/>
  <c r="AI16" i="1"/>
  <c r="AG16" i="1"/>
  <c r="W16" i="1"/>
  <c r="AU15" i="1"/>
  <c r="AH15" i="1"/>
  <c r="AG15" i="1"/>
  <c r="W15" i="1"/>
  <c r="AU14" i="1"/>
  <c r="AI14" i="1"/>
  <c r="AH14" i="1"/>
  <c r="AG14" i="1"/>
  <c r="W14" i="1"/>
  <c r="AU13" i="1"/>
  <c r="AI13" i="1"/>
  <c r="AG13" i="1"/>
  <c r="W13" i="1"/>
  <c r="AU12" i="1"/>
  <c r="AI12" i="1"/>
  <c r="AH12" i="1"/>
  <c r="AG12" i="1"/>
  <c r="W12" i="1"/>
  <c r="AU11" i="1"/>
  <c r="AI11" i="1"/>
  <c r="AH11" i="1"/>
  <c r="AG11" i="1"/>
  <c r="W11" i="1"/>
  <c r="AU10" i="1"/>
  <c r="AI10" i="1"/>
  <c r="AH10" i="1"/>
  <c r="AG10" i="1"/>
  <c r="W10" i="1"/>
  <c r="X34" i="1" l="1"/>
  <c r="AF34" i="1" s="1"/>
  <c r="X8" i="1"/>
  <c r="X12" i="1" s="1"/>
  <c r="AF12" i="1" s="1"/>
  <c r="F3" i="1"/>
  <c r="X21" i="1" l="1"/>
  <c r="AF21" i="1" s="1"/>
  <c r="X38" i="1"/>
  <c r="AF38" i="1" s="1"/>
  <c r="X25" i="1"/>
  <c r="AF25" i="1" s="1"/>
  <c r="AQ12" i="1"/>
  <c r="AK12" i="1"/>
  <c r="AL12" i="1"/>
  <c r="X19" i="1"/>
  <c r="AF19" i="1" s="1"/>
  <c r="X30" i="1"/>
  <c r="AF30" i="1" s="1"/>
  <c r="X32" i="1"/>
  <c r="AF32" i="1" s="1"/>
  <c r="X16" i="1"/>
  <c r="AF16" i="1" s="1"/>
  <c r="X36" i="1"/>
  <c r="AF36" i="1" s="1"/>
  <c r="AL36" i="1" s="1"/>
  <c r="X27" i="1"/>
  <c r="AF27" i="1" s="1"/>
  <c r="X26" i="1"/>
  <c r="AF26" i="1" s="1"/>
  <c r="X14" i="1"/>
  <c r="AF14" i="1" s="1"/>
  <c r="X20" i="1"/>
  <c r="AF20" i="1" s="1"/>
  <c r="AK20" i="1" s="1"/>
  <c r="X29" i="1"/>
  <c r="AF29" i="1" s="1"/>
  <c r="AK29" i="1" s="1"/>
  <c r="X13" i="1"/>
  <c r="AF13" i="1" s="1"/>
  <c r="X15" i="1"/>
  <c r="AF15" i="1" s="1"/>
  <c r="X18" i="1"/>
  <c r="AF18" i="1" s="1"/>
  <c r="AK18" i="1" s="1"/>
  <c r="X39" i="1"/>
  <c r="AF39" i="1" s="1"/>
  <c r="X23" i="1"/>
  <c r="AF23" i="1" s="1"/>
  <c r="X17" i="1"/>
  <c r="AF17" i="1" s="1"/>
  <c r="X37" i="1"/>
  <c r="AF37" i="1" s="1"/>
  <c r="X10" i="1"/>
  <c r="AF10" i="1" s="1"/>
  <c r="X28" i="1"/>
  <c r="AF28" i="1" s="1"/>
  <c r="X31" i="1"/>
  <c r="AF31" i="1" s="1"/>
  <c r="X35" i="1"/>
  <c r="AF35" i="1" s="1"/>
  <c r="X22" i="1"/>
  <c r="AF22" i="1" s="1"/>
  <c r="AL22" i="1" s="1"/>
  <c r="X11" i="1"/>
  <c r="AF11" i="1" s="1"/>
  <c r="AQ11" i="1" s="1"/>
  <c r="X24" i="1"/>
  <c r="AF24" i="1" s="1"/>
  <c r="X33" i="1"/>
  <c r="AF33" i="1" s="1"/>
  <c r="AL29" i="1"/>
  <c r="AL15" i="1"/>
  <c r="AK15" i="1"/>
  <c r="AQ15" i="1"/>
  <c r="AK11" i="1"/>
  <c r="AL11" i="1"/>
  <c r="AL38" i="1"/>
  <c r="AK38" i="1"/>
  <c r="AQ38" i="1"/>
  <c r="AL13" i="1"/>
  <c r="AK13" i="1"/>
  <c r="AQ13" i="1"/>
  <c r="AK32" i="1"/>
  <c r="AQ32" i="1"/>
  <c r="AL32" i="1"/>
  <c r="AL16" i="1"/>
  <c r="AK16" i="1"/>
  <c r="AQ16" i="1"/>
  <c r="AL18" i="1"/>
  <c r="AL21" i="1"/>
  <c r="AK21" i="1"/>
  <c r="AQ21" i="1"/>
  <c r="AL25" i="1"/>
  <c r="AK25" i="1"/>
  <c r="AQ25" i="1"/>
  <c r="AK34" i="1"/>
  <c r="AL34" i="1"/>
  <c r="AQ34" i="1"/>
  <c r="AL20" i="1"/>
  <c r="AM12" i="1"/>
  <c r="AT12" i="1"/>
  <c r="AV12" i="1" s="1"/>
  <c r="AR12" i="1"/>
  <c r="AQ22" i="1" l="1"/>
  <c r="AK22" i="1"/>
  <c r="AQ29" i="1"/>
  <c r="AQ35" i="1"/>
  <c r="AK35" i="1"/>
  <c r="AL35" i="1"/>
  <c r="AK19" i="1"/>
  <c r="AQ19" i="1"/>
  <c r="AL19" i="1"/>
  <c r="AQ36" i="1"/>
  <c r="AL24" i="1"/>
  <c r="AQ24" i="1"/>
  <c r="AK24" i="1"/>
  <c r="AK31" i="1"/>
  <c r="AQ31" i="1"/>
  <c r="AL31" i="1"/>
  <c r="AK17" i="1"/>
  <c r="AQ17" i="1"/>
  <c r="AL17" i="1"/>
  <c r="AQ14" i="1"/>
  <c r="AK14" i="1"/>
  <c r="AL14" i="1"/>
  <c r="AQ33" i="1"/>
  <c r="AL33" i="1"/>
  <c r="AK33" i="1"/>
  <c r="AQ20" i="1"/>
  <c r="AQ18" i="1"/>
  <c r="AK36" i="1"/>
  <c r="AM36" i="1" s="1"/>
  <c r="AQ28" i="1"/>
  <c r="AL28" i="1"/>
  <c r="AK28" i="1"/>
  <c r="AQ23" i="1"/>
  <c r="AL23" i="1"/>
  <c r="AK23" i="1"/>
  <c r="AL26" i="1"/>
  <c r="AK26" i="1"/>
  <c r="AQ26" i="1"/>
  <c r="AL37" i="1"/>
  <c r="AQ37" i="1"/>
  <c r="AK37" i="1"/>
  <c r="AL10" i="1"/>
  <c r="AQ10" i="1"/>
  <c r="AK10" i="1"/>
  <c r="AK39" i="1"/>
  <c r="AQ39" i="1"/>
  <c r="AL39" i="1"/>
  <c r="AL27" i="1"/>
  <c r="AK27" i="1"/>
  <c r="AQ27" i="1"/>
  <c r="AK30" i="1"/>
  <c r="AQ30" i="1"/>
  <c r="AL30" i="1"/>
  <c r="AT22" i="1"/>
  <c r="AV22" i="1" s="1"/>
  <c r="AR22" i="1"/>
  <c r="AM22" i="1"/>
  <c r="AM21" i="1"/>
  <c r="AT21" i="1"/>
  <c r="AV21" i="1" s="1"/>
  <c r="AR21" i="1"/>
  <c r="AT16" i="1"/>
  <c r="AV16" i="1" s="1"/>
  <c r="AR16" i="1"/>
  <c r="AM16" i="1"/>
  <c r="AR32" i="1"/>
  <c r="AT32" i="1"/>
  <c r="AV32" i="1" s="1"/>
  <c r="AM32" i="1"/>
  <c r="AT25" i="1"/>
  <c r="AV25" i="1" s="1"/>
  <c r="AR25" i="1"/>
  <c r="AM25" i="1"/>
  <c r="AT36" i="1"/>
  <c r="AV36" i="1" s="1"/>
  <c r="AT38" i="1"/>
  <c r="AV38" i="1" s="1"/>
  <c r="AR38" i="1"/>
  <c r="AM38" i="1"/>
  <c r="AR11" i="1"/>
  <c r="AM11" i="1"/>
  <c r="AT11" i="1"/>
  <c r="AV11" i="1" s="1"/>
  <c r="AT29" i="1"/>
  <c r="AV29" i="1" s="1"/>
  <c r="AR29" i="1"/>
  <c r="AM29" i="1"/>
  <c r="AR34" i="1"/>
  <c r="AT34" i="1"/>
  <c r="AV34" i="1" s="1"/>
  <c r="AM34" i="1"/>
  <c r="AM20" i="1"/>
  <c r="AT20" i="1"/>
  <c r="AV20" i="1" s="1"/>
  <c r="AR20" i="1"/>
  <c r="AT18" i="1"/>
  <c r="AV18" i="1" s="1"/>
  <c r="AR18" i="1"/>
  <c r="AM18" i="1"/>
  <c r="AT13" i="1"/>
  <c r="AV13" i="1" s="1"/>
  <c r="AR13" i="1"/>
  <c r="AM13" i="1"/>
  <c r="AM15" i="1"/>
  <c r="AT15" i="1"/>
  <c r="AV15" i="1" s="1"/>
  <c r="AR15" i="1"/>
  <c r="AR36" i="1" l="1"/>
  <c r="AM28" i="1"/>
  <c r="AT28" i="1"/>
  <c r="AV28" i="1" s="1"/>
  <c r="AR28" i="1"/>
  <c r="AM19" i="1"/>
  <c r="AR19" i="1"/>
  <c r="AT19" i="1"/>
  <c r="AV19" i="1" s="1"/>
  <c r="AT30" i="1"/>
  <c r="AV30" i="1" s="1"/>
  <c r="AM30" i="1"/>
  <c r="AR30" i="1"/>
  <c r="AR23" i="1"/>
  <c r="AM23" i="1"/>
  <c r="AT23" i="1"/>
  <c r="AV23" i="1" s="1"/>
  <c r="AT31" i="1"/>
  <c r="AV31" i="1" s="1"/>
  <c r="AM31" i="1"/>
  <c r="AR31" i="1"/>
  <c r="AM33" i="1"/>
  <c r="AR33" i="1"/>
  <c r="AT33" i="1"/>
  <c r="AV33" i="1" s="1"/>
  <c r="AM14" i="1"/>
  <c r="AR14" i="1"/>
  <c r="AT14" i="1"/>
  <c r="AV14" i="1" s="1"/>
  <c r="AR17" i="1"/>
  <c r="AM17" i="1"/>
  <c r="AT17" i="1"/>
  <c r="AV17" i="1" s="1"/>
  <c r="AM24" i="1"/>
  <c r="AT24" i="1"/>
  <c r="AV24" i="1" s="1"/>
  <c r="AR24" i="1"/>
  <c r="AM35" i="1"/>
  <c r="AT35" i="1"/>
  <c r="AV35" i="1" s="1"/>
  <c r="AR35" i="1"/>
  <c r="AR10" i="1"/>
  <c r="AT10" i="1"/>
  <c r="AV10" i="1" s="1"/>
  <c r="AM10" i="1"/>
  <c r="AR27" i="1"/>
  <c r="AM27" i="1"/>
  <c r="AT27" i="1"/>
  <c r="AV27" i="1" s="1"/>
  <c r="AR39" i="1"/>
  <c r="AT39" i="1"/>
  <c r="AV39" i="1" s="1"/>
  <c r="AM39" i="1"/>
  <c r="AM37" i="1"/>
  <c r="AT37" i="1"/>
  <c r="AV37" i="1" s="1"/>
  <c r="AR37" i="1"/>
  <c r="AR26" i="1"/>
  <c r="AM26" i="1"/>
  <c r="AT26" i="1"/>
  <c r="AV26" i="1" s="1"/>
</calcChain>
</file>

<file path=xl/comments1.xml><?xml version="1.0" encoding="utf-8"?>
<comments xmlns="http://schemas.openxmlformats.org/spreadsheetml/2006/main">
  <authors>
    <author>Jorge Aliaga</author>
    <author>Erika</author>
    <author>Brian Caroca</author>
    <author>Jocelyn Zuñiga</author>
  </authors>
  <commentList>
    <comment ref="Q9" authorId="0" shapeId="0">
      <text>
        <r>
          <rPr>
            <sz val="8"/>
            <color indexed="81"/>
            <rFont val="Tahoma"/>
            <family val="2"/>
          </rPr>
          <t xml:space="preserve">
CODIGOS:
0.- SIN MOVIMIENTO
1.- CONTRATACION A PLAZO INDEFINIDO
2.- RETIRO (SE DEBE INFORMAR FECHA)
3.- LICENCIA COMUN (INFORMAR FECHAS DE INCIO Y TERMINO)
4.- PERMISO SIN GOCE DE SUELDO
5.- INCORPORACION LUGAR DE TRABAJO
6.- LICENCIA ACCIDENTE DEL TRABAJO (INFORMAR FECHA DE INICIO Y TERMINO)
7.- CONTRATACION PLAZO FIJO
8.- CAMBIO CONTRATO PLAZO FIJO A INDEFINIDO
9.- CAMBIO DE SUELDO BASE
10.- CAMBIO DE CARGO</t>
        </r>
      </text>
    </comment>
    <comment ref="AH10" authorId="1" shapeId="0">
      <text>
        <r>
          <rPr>
            <b/>
            <sz val="9"/>
            <color indexed="81"/>
            <rFont val="Tahoma"/>
            <family val="2"/>
          </rPr>
          <t>Brian Caroca:
solicitar enoxo</t>
        </r>
      </text>
    </comment>
    <comment ref="AH12" authorId="1" shapeId="0">
      <text>
        <r>
          <rPr>
            <b/>
            <sz val="9"/>
            <color indexed="81"/>
            <rFont val="Tahoma"/>
            <family val="2"/>
          </rPr>
          <t>Erika:</t>
        </r>
        <r>
          <rPr>
            <sz val="9"/>
            <color indexed="81"/>
            <rFont val="Tahoma"/>
            <family val="2"/>
          </rPr>
          <t xml:space="preserve">
se modifica locomocion por cambio de de ruta </t>
        </r>
      </text>
    </comment>
    <comment ref="AH13" authorId="1" shapeId="0">
      <text>
        <r>
          <rPr>
            <b/>
            <sz val="9"/>
            <color indexed="81"/>
            <rFont val="Tahoma"/>
            <family val="2"/>
          </rPr>
          <t>Erika:</t>
        </r>
        <r>
          <rPr>
            <sz val="9"/>
            <color indexed="81"/>
            <rFont val="Tahoma"/>
            <family val="2"/>
          </rPr>
          <t xml:space="preserve">
modificacion por cambio de ruta </t>
        </r>
      </text>
    </comment>
    <comment ref="AH14" authorId="1" shapeId="0">
      <text>
        <r>
          <rPr>
            <b/>
            <sz val="9"/>
            <color indexed="81"/>
            <rFont val="Tahoma"/>
            <family val="2"/>
          </rPr>
          <t>SOLICITADO POR ANDREA VALACCO EL 29 DE OCT.</t>
        </r>
      </text>
    </comment>
    <comment ref="AH15" authorId="1" shapeId="0">
      <text>
        <r>
          <rPr>
            <b/>
            <sz val="9"/>
            <color indexed="81"/>
            <rFont val="Tahoma"/>
            <family val="2"/>
          </rPr>
          <t>Erika:</t>
        </r>
        <r>
          <rPr>
            <sz val="9"/>
            <color indexed="81"/>
            <rFont val="Tahoma"/>
            <family val="2"/>
          </rPr>
          <t xml:space="preserve">
se modifica lo comocion por cambio de ruta</t>
        </r>
      </text>
    </comment>
    <comment ref="AI15" authorId="2" shapeId="0">
      <text>
        <r>
          <rPr>
            <b/>
            <sz val="9"/>
            <color indexed="81"/>
            <rFont val="Tahoma"/>
            <family val="2"/>
          </rPr>
          <t>Brian Caroca:</t>
        </r>
        <r>
          <rPr>
            <sz val="9"/>
            <color indexed="81"/>
            <rFont val="Tahoma"/>
            <family val="2"/>
          </rPr>
          <t xml:space="preserve">
Apoyo en doble ruta, en ruta de Veronica Navarro</t>
        </r>
      </text>
    </comment>
    <comment ref="AH16" authorId="1" shapeId="0">
      <text>
        <r>
          <rPr>
            <b/>
            <sz val="9"/>
            <color indexed="81"/>
            <rFont val="Tahoma"/>
            <family val="2"/>
          </rPr>
          <t>Erika:</t>
        </r>
        <r>
          <rPr>
            <sz val="9"/>
            <color indexed="81"/>
            <rFont val="Tahoma"/>
            <family val="2"/>
          </rPr>
          <t xml:space="preserve">
se modifica locomocion por cambio de ruta </t>
        </r>
      </text>
    </comment>
    <comment ref="AH18" authorId="1" shapeId="0">
      <text>
        <r>
          <rPr>
            <sz val="9"/>
            <color indexed="81"/>
            <rFont val="Tahoma"/>
            <family val="2"/>
          </rPr>
          <t>BRIAN 
SOLICITAR EL ANEXO</t>
        </r>
      </text>
    </comment>
    <comment ref="AH19" authorId="1" shapeId="0">
      <text>
        <r>
          <rPr>
            <b/>
            <sz val="9"/>
            <color indexed="81"/>
            <rFont val="Tahoma"/>
            <family val="2"/>
          </rPr>
          <t>Erika:</t>
        </r>
        <r>
          <rPr>
            <sz val="9"/>
            <color indexed="81"/>
            <rFont val="Tahoma"/>
            <family val="2"/>
          </rPr>
          <t xml:space="preserve">
se modifica lo comocion a contar de 01 de Junio 2015</t>
        </r>
      </text>
    </comment>
    <comment ref="AH21" authorId="1" shapeId="0">
      <text>
        <r>
          <rPr>
            <b/>
            <sz val="9"/>
            <color indexed="81"/>
            <rFont val="Tahoma"/>
            <family val="2"/>
          </rPr>
          <t>Erika:</t>
        </r>
        <r>
          <rPr>
            <sz val="9"/>
            <color indexed="81"/>
            <rFont val="Tahoma"/>
            <family val="2"/>
          </rPr>
          <t xml:space="preserve">
modificacion por cambio de ruta </t>
        </r>
      </text>
    </comment>
    <comment ref="AI21" authorId="2" shapeId="0">
      <text>
        <r>
          <rPr>
            <b/>
            <sz val="9"/>
            <color indexed="81"/>
            <rFont val="Tahoma"/>
            <family val="2"/>
          </rPr>
          <t>Brian Caroca:</t>
        </r>
        <r>
          <rPr>
            <sz val="9"/>
            <color indexed="81"/>
            <rFont val="Tahoma"/>
            <family val="2"/>
          </rPr>
          <t xml:space="preserve">
Apoyo en doble ruta, en ruta de Veronica Navarro</t>
        </r>
      </text>
    </comment>
    <comment ref="T23" authorId="2" shapeId="0">
      <text>
        <r>
          <rPr>
            <b/>
            <sz val="9"/>
            <color indexed="81"/>
            <rFont val="Tahoma"/>
            <family val="2"/>
          </rPr>
          <t>Brian Caroca:</t>
        </r>
        <r>
          <rPr>
            <sz val="9"/>
            <color indexed="81"/>
            <rFont val="Tahoma"/>
            <family val="2"/>
          </rPr>
          <t xml:space="preserve">
SOLICITAR ANEXO</t>
        </r>
      </text>
    </comment>
    <comment ref="AI23" authorId="2" shapeId="0">
      <text>
        <r>
          <rPr>
            <b/>
            <sz val="9"/>
            <color indexed="81"/>
            <rFont val="Tahoma"/>
            <family val="2"/>
          </rPr>
          <t>Brian Caroca:</t>
        </r>
        <r>
          <rPr>
            <sz val="9"/>
            <color indexed="81"/>
            <rFont val="Tahoma"/>
            <family val="2"/>
          </rPr>
          <t xml:space="preserve">
Apoyo en doble ruta, en ruta de Veronica Navarro</t>
        </r>
      </text>
    </comment>
    <comment ref="T24" authorId="2" shapeId="0">
      <text>
        <r>
          <rPr>
            <b/>
            <sz val="9"/>
            <color indexed="81"/>
            <rFont val="Tahoma"/>
            <family val="2"/>
          </rPr>
          <t>Brian Caroca:</t>
        </r>
        <r>
          <rPr>
            <sz val="9"/>
            <color indexed="81"/>
            <rFont val="Tahoma"/>
            <family val="2"/>
          </rPr>
          <t xml:space="preserve">
SOLICITAR ANEXO</t>
        </r>
      </text>
    </comment>
    <comment ref="T25" authorId="2" shapeId="0">
      <text>
        <r>
          <rPr>
            <b/>
            <sz val="9"/>
            <color indexed="81"/>
            <rFont val="Tahoma"/>
            <family val="2"/>
          </rPr>
          <t>Brian Caroca:</t>
        </r>
        <r>
          <rPr>
            <sz val="9"/>
            <color indexed="81"/>
            <rFont val="Tahoma"/>
            <family val="2"/>
          </rPr>
          <t xml:space="preserve">
SOLICITAR ANEXO</t>
        </r>
      </text>
    </comment>
    <comment ref="U26" authorId="2" shapeId="0">
      <text>
        <r>
          <rPr>
            <b/>
            <sz val="9"/>
            <color indexed="81"/>
            <rFont val="Tahoma"/>
            <family val="2"/>
          </rPr>
          <t>Brian Caroca:</t>
        </r>
        <r>
          <rPr>
            <sz val="9"/>
            <color indexed="81"/>
            <rFont val="Tahoma"/>
            <family val="2"/>
          </rPr>
          <t xml:space="preserve">
LICENCIA DEL 26 DE JULIO HASTA EL 1 DE AGOSTOS, NO FUE DESCONTADA</t>
        </r>
      </text>
    </comment>
    <comment ref="AH27" authorId="2" shapeId="0">
      <text>
        <r>
          <rPr>
            <b/>
            <sz val="9"/>
            <color indexed="81"/>
            <rFont val="Tahoma"/>
            <family val="2"/>
          </rPr>
          <t>Brian Caroca:</t>
        </r>
        <r>
          <rPr>
            <sz val="9"/>
            <color indexed="81"/>
            <rFont val="Tahoma"/>
            <family val="2"/>
          </rPr>
          <t xml:space="preserve">
Solicitar anexo</t>
        </r>
      </text>
    </comment>
    <comment ref="AH29" authorId="2" shapeId="0">
      <text>
        <r>
          <rPr>
            <b/>
            <sz val="9"/>
            <color indexed="81"/>
            <rFont val="Tahoma"/>
            <family val="2"/>
          </rPr>
          <t>Brian Caroca:</t>
        </r>
        <r>
          <rPr>
            <sz val="9"/>
            <color indexed="81"/>
            <rFont val="Tahoma"/>
            <family val="2"/>
          </rPr>
          <t xml:space="preserve">
solicitar anexo de cambio de movilizacion</t>
        </r>
      </text>
    </comment>
    <comment ref="I31" authorId="3" shapeId="0">
      <text>
        <r>
          <rPr>
            <b/>
            <sz val="9"/>
            <color indexed="81"/>
            <rFont val="Tahoma"/>
            <family val="2"/>
          </rPr>
          <t>Jocelyn Zuñiga:</t>
        </r>
        <r>
          <rPr>
            <sz val="9"/>
            <color indexed="81"/>
            <rFont val="Tahoma"/>
            <family val="2"/>
          </rPr>
          <t xml:space="preserve">
REMPLAZO IVAN CONCHA</t>
        </r>
      </text>
    </comment>
    <comment ref="B33" authorId="3" shapeId="0">
      <text>
        <r>
          <rPr>
            <b/>
            <sz val="9"/>
            <color indexed="81"/>
            <rFont val="Tahoma"/>
            <family val="2"/>
          </rPr>
          <t>Jocelyn Zuñiga:</t>
        </r>
        <r>
          <rPr>
            <sz val="9"/>
            <color indexed="81"/>
            <rFont val="Tahoma"/>
            <family val="2"/>
          </rPr>
          <t xml:space="preserve">
BONO DE CELIA BARRERA </t>
        </r>
      </text>
    </comment>
    <comment ref="I33" authorId="3" shapeId="0">
      <text>
        <r>
          <rPr>
            <b/>
            <sz val="9"/>
            <color indexed="81"/>
            <rFont val="Tahoma"/>
            <family val="2"/>
          </rPr>
          <t>Jocelyn Zuñiga:</t>
        </r>
        <r>
          <rPr>
            <sz val="9"/>
            <color indexed="81"/>
            <rFont val="Tahoma"/>
            <family val="2"/>
          </rPr>
          <t xml:space="preserve">
REMPLAZO DE ALEJANDRA ELGUETA QUE FINALIZO EL 15 DE MARZO</t>
        </r>
      </text>
    </comment>
    <comment ref="I34" authorId="3" shapeId="0">
      <text>
        <r>
          <rPr>
            <b/>
            <sz val="9"/>
            <color indexed="81"/>
            <rFont val="Tahoma"/>
            <family val="2"/>
          </rPr>
          <t>Jocelyn Zuñiga:</t>
        </r>
        <r>
          <rPr>
            <sz val="9"/>
            <color indexed="81"/>
            <rFont val="Tahoma"/>
            <family val="2"/>
          </rPr>
          <t xml:space="preserve">
REMPLAZO DE JHON MUÑOZ</t>
        </r>
      </text>
    </comment>
    <comment ref="I35" authorId="3" shapeId="0">
      <text>
        <r>
          <rPr>
            <b/>
            <sz val="9"/>
            <color indexed="81"/>
            <rFont val="Tahoma"/>
            <family val="2"/>
          </rPr>
          <t>Jocelyn Zuñiga:</t>
        </r>
        <r>
          <rPr>
            <sz val="9"/>
            <color indexed="81"/>
            <rFont val="Tahoma"/>
            <family val="2"/>
          </rPr>
          <t xml:space="preserve">
REMPLAZO DE EDUARDO QUINTEROS </t>
        </r>
      </text>
    </comment>
    <comment ref="AH35" authorId="2" shapeId="0">
      <text>
        <r>
          <rPr>
            <b/>
            <sz val="9"/>
            <color indexed="81"/>
            <rFont val="Tahoma"/>
            <family val="2"/>
          </rPr>
          <t>Brian Caroca:</t>
        </r>
        <r>
          <rPr>
            <sz val="9"/>
            <color indexed="81"/>
            <rFont val="Tahoma"/>
            <family val="2"/>
          </rPr>
          <t xml:space="preserve">
solicitar anexo</t>
        </r>
      </text>
    </comment>
    <comment ref="B36" authorId="3" shapeId="0">
      <text>
        <r>
          <rPr>
            <b/>
            <sz val="9"/>
            <color indexed="81"/>
            <rFont val="Tahoma"/>
            <family val="2"/>
          </rPr>
          <t>Jocelyn Zuñiga:</t>
        </r>
        <r>
          <rPr>
            <sz val="9"/>
            <color indexed="81"/>
            <rFont val="Tahoma"/>
            <family val="2"/>
          </rPr>
          <t xml:space="preserve">
REMPLAZO DE JANNETTE GUZMAN </t>
        </r>
      </text>
    </comment>
    <comment ref="I36" authorId="3" shapeId="0">
      <text>
        <r>
          <rPr>
            <b/>
            <sz val="9"/>
            <color indexed="81"/>
            <rFont val="Tahoma"/>
            <family val="2"/>
          </rPr>
          <t>Jocelyn Zuñiga:</t>
        </r>
        <r>
          <rPr>
            <sz val="9"/>
            <color indexed="81"/>
            <rFont val="Tahoma"/>
            <family val="2"/>
          </rPr>
          <t xml:space="preserve">
REMPLAZO DEDE JEANNETTE GUZMAN</t>
        </r>
      </text>
    </comment>
    <comment ref="I37" authorId="3" shapeId="0">
      <text>
        <r>
          <rPr>
            <b/>
            <sz val="9"/>
            <color indexed="81"/>
            <rFont val="Tahoma"/>
            <family val="2"/>
          </rPr>
          <t>Jocelyn Zuñiga:</t>
        </r>
        <r>
          <rPr>
            <sz val="9"/>
            <color indexed="81"/>
            <rFont val="Tahoma"/>
            <family val="2"/>
          </rPr>
          <t xml:space="preserve">
REMPLAZO DE ANDY SANCHEZ</t>
        </r>
      </text>
    </comment>
    <comment ref="AH38" authorId="2" shapeId="0">
      <text>
        <r>
          <rPr>
            <b/>
            <sz val="9"/>
            <color indexed="81"/>
            <rFont val="Tahoma"/>
            <family val="2"/>
          </rPr>
          <t>Brian Caroca:</t>
        </r>
        <r>
          <rPr>
            <sz val="9"/>
            <color indexed="81"/>
            <rFont val="Tahoma"/>
            <family val="2"/>
          </rPr>
          <t xml:space="preserve">
Solicitar anexo, por nueva monto de ruta</t>
        </r>
      </text>
    </comment>
  </commentList>
</comments>
</file>

<file path=xl/sharedStrings.xml><?xml version="1.0" encoding="utf-8"?>
<sst xmlns="http://schemas.openxmlformats.org/spreadsheetml/2006/main" count="478" uniqueCount="205">
  <si>
    <t>AREA</t>
  </si>
  <si>
    <t>PROGESTION S.A.</t>
  </si>
  <si>
    <t>MES</t>
  </si>
  <si>
    <t>AV. CRESCENTE ERRAZURIZ  # 1875, ÑUÑOA, SANTIAGO</t>
  </si>
  <si>
    <t>RESPONSABLE  TESA</t>
  </si>
  <si>
    <t>FONO: (056) 2 - 24336500</t>
  </si>
  <si>
    <t>COORDINADOR PROGESTION</t>
  </si>
  <si>
    <t>IQUIQUE - ANTOFAGASTA - LA SERENA - VIÑA DEL MAR - TALCA - CONCEPCION - TEMUCO - PTO. MONTT</t>
  </si>
  <si>
    <t>www.progestionchile.com</t>
  </si>
  <si>
    <t xml:space="preserve">UF al 31 de OCTUBRE </t>
  </si>
  <si>
    <t>NOMINA DE FACTURACION</t>
  </si>
  <si>
    <t>bril</t>
  </si>
  <si>
    <t>factor</t>
  </si>
  <si>
    <t>,</t>
  </si>
  <si>
    <t>Nº</t>
  </si>
  <si>
    <t xml:space="preserve">SUPERVISOR </t>
  </si>
  <si>
    <t>CADENA</t>
  </si>
  <si>
    <t>LOCAL</t>
  </si>
  <si>
    <t>CIUDAD</t>
  </si>
  <si>
    <t>NOMBRE</t>
  </si>
  <si>
    <t>APELLIDO P</t>
  </si>
  <si>
    <t>APELLIDO M</t>
  </si>
  <si>
    <t>RUT</t>
  </si>
  <si>
    <t>CARGO DEL TRABAJAD</t>
  </si>
  <si>
    <t>CO</t>
  </si>
  <si>
    <t>TIPO CONTRATO</t>
  </si>
  <si>
    <t>FECHA INICIO</t>
  </si>
  <si>
    <t>FECHA TERMINO</t>
  </si>
  <si>
    <t xml:space="preserve">DIAS TRAB    </t>
  </si>
  <si>
    <t>SUELDO BASE</t>
  </si>
  <si>
    <r>
      <t xml:space="preserve">SUELDO BASE PROP </t>
    </r>
    <r>
      <rPr>
        <b/>
        <sz val="8"/>
        <color indexed="9"/>
        <rFont val="Calibri"/>
        <family val="2"/>
      </rPr>
      <t>(1)</t>
    </r>
  </si>
  <si>
    <r>
      <t xml:space="preserve">GRATIFICA 25% </t>
    </r>
    <r>
      <rPr>
        <b/>
        <sz val="8"/>
        <color indexed="9"/>
        <rFont val="Calibri"/>
        <family val="2"/>
      </rPr>
      <t>(2)</t>
    </r>
  </si>
  <si>
    <t>BONO CUALITA</t>
  </si>
  <si>
    <r>
      <t xml:space="preserve">BONO CUANTIT </t>
    </r>
    <r>
      <rPr>
        <b/>
        <sz val="8"/>
        <color indexed="9"/>
        <rFont val="Calibri"/>
        <family val="2"/>
      </rPr>
      <t>(4)</t>
    </r>
  </si>
  <si>
    <t>%  CUMPLIMIENTO</t>
  </si>
  <si>
    <r>
      <t xml:space="preserve">BONO </t>
    </r>
    <r>
      <rPr>
        <b/>
        <sz val="8"/>
        <color indexed="9"/>
        <rFont val="Calibri"/>
        <family val="2"/>
      </rPr>
      <t>(5)</t>
    </r>
  </si>
  <si>
    <t>Nª HRS EXTRAS</t>
  </si>
  <si>
    <r>
      <t xml:space="preserve">VALOR EXTRAS     </t>
    </r>
    <r>
      <rPr>
        <b/>
        <sz val="8"/>
        <color indexed="9"/>
        <rFont val="Calibri"/>
        <family val="2"/>
      </rPr>
      <t>(6)</t>
    </r>
  </si>
  <si>
    <t>AGUINALDO</t>
  </si>
  <si>
    <r>
      <t xml:space="preserve">TOTAL IMPONIBLE </t>
    </r>
    <r>
      <rPr>
        <b/>
        <sz val="8"/>
        <color indexed="9"/>
        <rFont val="Calibri"/>
        <family val="2"/>
      </rPr>
      <t>(8) 1+2+3+4+5+6+7</t>
    </r>
  </si>
  <si>
    <r>
      <t xml:space="preserve">COLACION </t>
    </r>
    <r>
      <rPr>
        <b/>
        <sz val="8"/>
        <color indexed="9"/>
        <rFont val="Calibri"/>
        <family val="2"/>
      </rPr>
      <t>(9)</t>
    </r>
  </si>
  <si>
    <r>
      <t xml:space="preserve">MOVILIZACION </t>
    </r>
    <r>
      <rPr>
        <b/>
        <sz val="8"/>
        <color indexed="9"/>
        <rFont val="Calibri"/>
        <family val="2"/>
      </rPr>
      <t>(10)</t>
    </r>
  </si>
  <si>
    <t xml:space="preserve">MOVILIZACION ADICIONAL   </t>
  </si>
  <si>
    <r>
      <t xml:space="preserve">VIATICO          </t>
    </r>
    <r>
      <rPr>
        <b/>
        <sz val="8"/>
        <color indexed="9"/>
        <rFont val="Calibri"/>
        <family val="2"/>
      </rPr>
      <t>(11)</t>
    </r>
  </si>
  <si>
    <r>
      <t xml:space="preserve">TOTAL HABER </t>
    </r>
    <r>
      <rPr>
        <b/>
        <sz val="8"/>
        <color indexed="9"/>
        <rFont val="Calibri"/>
        <family val="2"/>
      </rPr>
      <t>(12) 8+9+10+11</t>
    </r>
  </si>
  <si>
    <r>
      <t xml:space="preserve">DESCUENTO PREVISIONAL </t>
    </r>
    <r>
      <rPr>
        <b/>
        <sz val="8"/>
        <color indexed="9"/>
        <rFont val="Calibri"/>
        <family val="2"/>
      </rPr>
      <t>(13)</t>
    </r>
  </si>
  <si>
    <r>
      <t xml:space="preserve">SUELDO LIQUIDO </t>
    </r>
    <r>
      <rPr>
        <b/>
        <sz val="8"/>
        <color indexed="9"/>
        <rFont val="Calibri"/>
        <family val="2"/>
      </rPr>
      <t>(14)  (11-12)</t>
    </r>
  </si>
  <si>
    <t>SIS 1,4%  (16)</t>
  </si>
  <si>
    <r>
      <t xml:space="preserve">MUTUAL </t>
    </r>
    <r>
      <rPr>
        <b/>
        <sz val="8"/>
        <color indexed="9"/>
        <rFont val="Calibri"/>
        <family val="2"/>
      </rPr>
      <t>(15) 1,29%</t>
    </r>
  </si>
  <si>
    <r>
      <t xml:space="preserve">SEGURO CESANT </t>
    </r>
    <r>
      <rPr>
        <b/>
        <sz val="8"/>
        <color indexed="9"/>
        <rFont val="Calibri"/>
        <family val="2"/>
      </rPr>
      <t xml:space="preserve">(16) 3%       </t>
    </r>
  </si>
  <si>
    <t xml:space="preserve">PROVISION DE VACACIONES </t>
  </si>
  <si>
    <t>PROVISION DE FINIQUITOS</t>
  </si>
  <si>
    <r>
      <t xml:space="preserve">BANEFE </t>
    </r>
    <r>
      <rPr>
        <b/>
        <sz val="8"/>
        <color indexed="9"/>
        <rFont val="Calibri"/>
        <family val="2"/>
      </rPr>
      <t>(17)</t>
    </r>
  </si>
  <si>
    <r>
      <t xml:space="preserve">TOTAL COSTO PERSONAL </t>
    </r>
    <r>
      <rPr>
        <b/>
        <sz val="8"/>
        <color indexed="9"/>
        <rFont val="Calibri"/>
        <family val="2"/>
      </rPr>
      <t>(18) 12+15+16+17</t>
    </r>
  </si>
  <si>
    <r>
      <t xml:space="preserve">COMISION AGENCIA </t>
    </r>
    <r>
      <rPr>
        <b/>
        <sz val="8"/>
        <color indexed="9"/>
        <rFont val="Calibri"/>
        <family val="2"/>
      </rPr>
      <t>(19) 8%</t>
    </r>
  </si>
  <si>
    <r>
      <t xml:space="preserve">Costo Cliente Final </t>
    </r>
    <r>
      <rPr>
        <b/>
        <sz val="8"/>
        <color indexed="9"/>
        <rFont val="Calibri"/>
        <family val="2"/>
      </rPr>
      <t>(20) 18+19</t>
    </r>
  </si>
  <si>
    <t>CARLA</t>
  </si>
  <si>
    <t>EASY- HC- FOOD</t>
  </si>
  <si>
    <t>RUTA</t>
  </si>
  <si>
    <t>LA SERENA</t>
  </si>
  <si>
    <t>JAVIER ANDRES</t>
  </si>
  <si>
    <t>GOMEZ</t>
  </si>
  <si>
    <t>ROJAS</t>
  </si>
  <si>
    <t>10897587-3</t>
  </si>
  <si>
    <t>GESTOR DE VENTA</t>
  </si>
  <si>
    <t>INDEFINIDO</t>
  </si>
  <si>
    <t>FOOD</t>
  </si>
  <si>
    <t>TEMUCO</t>
  </si>
  <si>
    <t>JUAN CARLOS</t>
  </si>
  <si>
    <t>CANIO</t>
  </si>
  <si>
    <t>CAYUL</t>
  </si>
  <si>
    <t>14331712-9</t>
  </si>
  <si>
    <t xml:space="preserve">SANDRA </t>
  </si>
  <si>
    <t>LOPEZ</t>
  </si>
  <si>
    <t>FUENZALIDA</t>
  </si>
  <si>
    <t>13651762-7</t>
  </si>
  <si>
    <t>VIÑA DEL MAR</t>
  </si>
  <si>
    <t>YARITZA NICOLE</t>
  </si>
  <si>
    <t>MARTINEZ</t>
  </si>
  <si>
    <t>BARRIENTOS</t>
  </si>
  <si>
    <t>17250304-7</t>
  </si>
  <si>
    <t>FRANCISCA</t>
  </si>
  <si>
    <t>HOME CENTER</t>
  </si>
  <si>
    <t>SANTIAGO</t>
  </si>
  <si>
    <t>JESSICA DEL CARMEN</t>
  </si>
  <si>
    <t>MUÑOZ</t>
  </si>
  <si>
    <t>RIVERA</t>
  </si>
  <si>
    <t>10852105-8</t>
  </si>
  <si>
    <t xml:space="preserve">SILVANA EVELYNG </t>
  </si>
  <si>
    <t xml:space="preserve">VEGA </t>
  </si>
  <si>
    <t xml:space="preserve">ALVAREZ </t>
  </si>
  <si>
    <t>15973003-4</t>
  </si>
  <si>
    <t>ANTOFAGASTA</t>
  </si>
  <si>
    <t>MARITZA AIDA</t>
  </si>
  <si>
    <t>MORALES</t>
  </si>
  <si>
    <t>CID</t>
  </si>
  <si>
    <t>15392387-6</t>
  </si>
  <si>
    <t>EASY</t>
  </si>
  <si>
    <t xml:space="preserve">CONSTANZA </t>
  </si>
  <si>
    <t>ESCOBAR</t>
  </si>
  <si>
    <t>SAEZ</t>
  </si>
  <si>
    <t>19023123-2</t>
  </si>
  <si>
    <t xml:space="preserve">EASY  </t>
  </si>
  <si>
    <t>BORIS ALEJANDRO</t>
  </si>
  <si>
    <t>CEPEDA</t>
  </si>
  <si>
    <t>BULBOA</t>
  </si>
  <si>
    <t>12528972-K</t>
  </si>
  <si>
    <t>CONCEPCION</t>
  </si>
  <si>
    <t>ERIKA ALEJANDRA</t>
  </si>
  <si>
    <t>FUENTES</t>
  </si>
  <si>
    <t>ARAVENA</t>
  </si>
  <si>
    <t>15434781-K</t>
  </si>
  <si>
    <t>APOLONIA</t>
  </si>
  <si>
    <t>EDITH BRIGITTE</t>
  </si>
  <si>
    <t>LARRAIN</t>
  </si>
  <si>
    <t>WISTUBA</t>
  </si>
  <si>
    <t>12903981-7</t>
  </si>
  <si>
    <t>MADELAINE JEANNETTE</t>
  </si>
  <si>
    <t>ALLENDE</t>
  </si>
  <si>
    <t>BERRIOS</t>
  </si>
  <si>
    <t>13879922-0</t>
  </si>
  <si>
    <t xml:space="preserve">VERONICA </t>
  </si>
  <si>
    <t>NAVARRO</t>
  </si>
  <si>
    <t>CASTRO</t>
  </si>
  <si>
    <t>18693304-4</t>
  </si>
  <si>
    <t>IVONNE MARCELA</t>
  </si>
  <si>
    <t>12491056-0</t>
  </si>
  <si>
    <t>KAREN MARISOL</t>
  </si>
  <si>
    <t>LEAL</t>
  </si>
  <si>
    <t>16425399-6</t>
  </si>
  <si>
    <t>PLAZO FIJO</t>
  </si>
  <si>
    <t>NICOLE SIOMARA</t>
  </si>
  <si>
    <t>FAJARDO</t>
  </si>
  <si>
    <t>ANGULO</t>
  </si>
  <si>
    <t>18706936-K</t>
  </si>
  <si>
    <t>GESTOR PART TIME</t>
  </si>
  <si>
    <t>MARIA LUISA</t>
  </si>
  <si>
    <t>BAEZ</t>
  </si>
  <si>
    <t>SANTANDER</t>
  </si>
  <si>
    <t>11721074-K</t>
  </si>
  <si>
    <t>CALAMA</t>
  </si>
  <si>
    <t>LAURA ESTER</t>
  </si>
  <si>
    <t>CHANDIA</t>
  </si>
  <si>
    <t>APARICIO</t>
  </si>
  <si>
    <t>11239769-8</t>
  </si>
  <si>
    <t>INGRID RUTH</t>
  </si>
  <si>
    <t>RAVEST</t>
  </si>
  <si>
    <t>FRITZ</t>
  </si>
  <si>
    <t>14319897-9</t>
  </si>
  <si>
    <t xml:space="preserve">SANTIAGO </t>
  </si>
  <si>
    <t>CLAUDIA LEONOR</t>
  </si>
  <si>
    <t>RAMOS</t>
  </si>
  <si>
    <t>FERNANDEZ</t>
  </si>
  <si>
    <t>14278973-6</t>
  </si>
  <si>
    <t xml:space="preserve">LOS ANDES </t>
  </si>
  <si>
    <t xml:space="preserve">YANET </t>
  </si>
  <si>
    <t>URRA</t>
  </si>
  <si>
    <t>VILLAROEL</t>
  </si>
  <si>
    <t>12823424-1</t>
  </si>
  <si>
    <t>KAREN CECILIA</t>
  </si>
  <si>
    <t>RETAMAL</t>
  </si>
  <si>
    <t>ESPINOZA</t>
  </si>
  <si>
    <t>16725711-9</t>
  </si>
  <si>
    <t>TALCA</t>
  </si>
  <si>
    <t>FABIAN</t>
  </si>
  <si>
    <t>HERNANDEZ</t>
  </si>
  <si>
    <t>14345426-6</t>
  </si>
  <si>
    <t>MARIA ESTER</t>
  </si>
  <si>
    <t>YAÑEZ</t>
  </si>
  <si>
    <t>DEL PINO</t>
  </si>
  <si>
    <t>11484462-4</t>
  </si>
  <si>
    <t>SERGIO ADRIAN</t>
  </si>
  <si>
    <t>MENESES</t>
  </si>
  <si>
    <t>ASTUDILLO</t>
  </si>
  <si>
    <t>17251162-7</t>
  </si>
  <si>
    <t>ARLIN SOLEDAD</t>
  </si>
  <si>
    <t>MORAGA</t>
  </si>
  <si>
    <t>14028577-3</t>
  </si>
  <si>
    <t>CHILLAN</t>
  </si>
  <si>
    <t>JEANNETTE DEL PILAR</t>
  </si>
  <si>
    <t>CALQUIN</t>
  </si>
  <si>
    <t>GALAZ</t>
  </si>
  <si>
    <t>13096575-K</t>
  </si>
  <si>
    <t>RANCAGUA</t>
  </si>
  <si>
    <t>MARIELA ANTONIETA</t>
  </si>
  <si>
    <t>GONZALEZ</t>
  </si>
  <si>
    <t>BUSTAMANTE</t>
  </si>
  <si>
    <t>13054761-3</t>
  </si>
  <si>
    <t>JOSE ORLANDO</t>
  </si>
  <si>
    <t>OVALLE</t>
  </si>
  <si>
    <t>13737197-9</t>
  </si>
  <si>
    <t>PUERTO MONTT</t>
  </si>
  <si>
    <t>INGRID ELENA</t>
  </si>
  <si>
    <t>SILVA</t>
  </si>
  <si>
    <t>PARRA</t>
  </si>
  <si>
    <t>11101991-6</t>
  </si>
  <si>
    <t>Cliente</t>
  </si>
  <si>
    <t>Region</t>
  </si>
  <si>
    <t xml:space="preserve">JORNADA </t>
  </si>
  <si>
    <r>
      <t xml:space="preserve">FORMA DE PAGO </t>
    </r>
    <r>
      <rPr>
        <b/>
        <sz val="6"/>
        <color theme="0"/>
        <rFont val="Calibri"/>
        <family val="2"/>
        <scheme val="minor"/>
      </rPr>
      <t>(DEPOSITO)   (CHEQUE)                (VALE VISTA)</t>
    </r>
  </si>
  <si>
    <t>BANCO</t>
  </si>
  <si>
    <t>NUMERO DE CUENTA BANCARIA</t>
  </si>
  <si>
    <t>Fulltime</t>
  </si>
  <si>
    <t>Desposito</t>
  </si>
  <si>
    <t>BancoEstado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</si>
</sst>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dd\.mm\.yy;@"/>
    <numFmt numFmtId="165" formatCode="&quot;$&quot;\ #,##0"/>
    <numFmt numFmtId="166" formatCode="_-[$$-340A]\ * #,##0_-;\-[$$-340A]\ * #,##0_-;_-[$$-340A]\ * &quot;-&quot;_-;_-@_-"/>
    <numFmt numFmtId="167" formatCode="[$$-340A]\ #,##0"/>
    <numFmt numFmtId="168" formatCode="dd/mm/yyyy;@"/>
    <numFmt numFmtId="169" formatCode="dd\-mm\-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56"/>
      <name val="Calibri"/>
      <family val="2"/>
      <scheme val="minor"/>
    </font>
    <font>
      <b/>
      <sz val="8"/>
      <color indexed="18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u/>
      <sz val="9"/>
      <color indexed="12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color indexed="9"/>
      <name val="Calibri"/>
      <family val="2"/>
      <scheme val="minor"/>
    </font>
    <font>
      <sz val="8"/>
      <color indexed="22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indexed="53"/>
      <name val="Calibri"/>
      <family val="2"/>
      <scheme val="minor"/>
    </font>
    <font>
      <sz val="8"/>
      <color indexed="62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color indexed="9"/>
      <name val="Calibri"/>
      <family val="2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2">
    <xf numFmtId="0" fontId="0" fillId="0" borderId="0" xfId="0"/>
    <xf numFmtId="0" fontId="4" fillId="2" borderId="0" xfId="3" applyNumberFormat="1" applyFont="1" applyFill="1"/>
    <xf numFmtId="0" fontId="4" fillId="2" borderId="0" xfId="3" applyNumberFormat="1" applyFont="1" applyFill="1" applyAlignment="1">
      <alignment horizontal="center"/>
    </xf>
    <xf numFmtId="0" fontId="5" fillId="2" borderId="0" xfId="3" applyNumberFormat="1" applyFont="1" applyFill="1" applyBorder="1" applyAlignment="1"/>
    <xf numFmtId="0" fontId="5" fillId="2" borderId="0" xfId="3" applyNumberFormat="1" applyFont="1" applyFill="1" applyBorder="1" applyAlignment="1">
      <alignment horizontal="center"/>
    </xf>
    <xf numFmtId="0" fontId="4" fillId="2" borderId="0" xfId="3" applyNumberFormat="1" applyFont="1" applyFill="1" applyBorder="1" applyAlignment="1">
      <alignment horizontal="center"/>
    </xf>
    <xf numFmtId="0" fontId="4" fillId="2" borderId="0" xfId="3" applyNumberFormat="1" applyFont="1" applyFill="1" applyAlignment="1">
      <alignment horizontal="right"/>
    </xf>
    <xf numFmtId="0" fontId="6" fillId="0" borderId="0" xfId="0" applyNumberFormat="1" applyFont="1"/>
    <xf numFmtId="0" fontId="4" fillId="2" borderId="0" xfId="3" applyNumberFormat="1" applyFont="1" applyFill="1" applyBorder="1"/>
    <xf numFmtId="0" fontId="9" fillId="2" borderId="0" xfId="3" applyNumberFormat="1" applyFont="1" applyFill="1" applyBorder="1" applyAlignment="1"/>
    <xf numFmtId="0" fontId="6" fillId="0" borderId="0" xfId="0" applyNumberFormat="1" applyFont="1" applyAlignment="1">
      <alignment horizontal="center"/>
    </xf>
    <xf numFmtId="0" fontId="10" fillId="2" borderId="0" xfId="3" applyNumberFormat="1" applyFont="1" applyFill="1" applyBorder="1" applyAlignment="1"/>
    <xf numFmtId="0" fontId="5" fillId="2" borderId="0" xfId="3" applyNumberFormat="1" applyFont="1" applyFill="1" applyAlignment="1">
      <alignment horizontal="center"/>
    </xf>
    <xf numFmtId="14" fontId="11" fillId="0" borderId="0" xfId="0" applyNumberFormat="1" applyFont="1" applyBorder="1" applyAlignment="1">
      <alignment wrapText="1"/>
    </xf>
    <xf numFmtId="0" fontId="11" fillId="0" borderId="0" xfId="0" applyNumberFormat="1" applyFont="1" applyBorder="1" applyAlignment="1">
      <alignment wrapText="1"/>
    </xf>
    <xf numFmtId="0" fontId="4" fillId="2" borderId="0" xfId="3" applyNumberFormat="1" applyFont="1" applyFill="1" applyBorder="1" applyAlignment="1">
      <alignment horizontal="centerContinuous"/>
    </xf>
    <xf numFmtId="164" fontId="9" fillId="2" borderId="0" xfId="3" applyNumberFormat="1" applyFont="1" applyFill="1" applyBorder="1" applyAlignment="1"/>
    <xf numFmtId="0" fontId="10" fillId="2" borderId="0" xfId="3" applyNumberFormat="1" applyFont="1" applyFill="1" applyAlignment="1">
      <alignment horizontal="left"/>
    </xf>
    <xf numFmtId="15" fontId="9" fillId="2" borderId="0" xfId="3" applyNumberFormat="1" applyFont="1" applyFill="1" applyBorder="1" applyAlignment="1"/>
    <xf numFmtId="0" fontId="10" fillId="2" borderId="0" xfId="3" applyNumberFormat="1" applyFont="1" applyFill="1" applyAlignment="1"/>
    <xf numFmtId="15" fontId="5" fillId="2" borderId="0" xfId="3" applyNumberFormat="1" applyFont="1" applyFill="1" applyBorder="1" applyAlignment="1">
      <alignment horizontal="center"/>
    </xf>
    <xf numFmtId="14" fontId="11" fillId="0" borderId="0" xfId="0" applyNumberFormat="1" applyFont="1" applyAlignment="1">
      <alignment wrapText="1"/>
    </xf>
    <xf numFmtId="0" fontId="11" fillId="0" borderId="0" xfId="0" applyNumberFormat="1" applyFont="1" applyAlignment="1">
      <alignment wrapText="1"/>
    </xf>
    <xf numFmtId="165" fontId="4" fillId="2" borderId="0" xfId="3" applyNumberFormat="1" applyFont="1" applyFill="1"/>
    <xf numFmtId="0" fontId="4" fillId="4" borderId="0" xfId="3" applyNumberFormat="1" applyFont="1" applyFill="1"/>
    <xf numFmtId="0" fontId="13" fillId="2" borderId="0" xfId="4" applyFont="1" applyFill="1" applyAlignment="1" applyProtection="1"/>
    <xf numFmtId="0" fontId="4" fillId="5" borderId="2" xfId="3" applyNumberFormat="1" applyFont="1" applyFill="1" applyBorder="1" applyAlignment="1">
      <alignment horizontal="center"/>
    </xf>
    <xf numFmtId="0" fontId="4" fillId="5" borderId="3" xfId="3" applyNumberFormat="1" applyFont="1" applyFill="1" applyBorder="1" applyAlignment="1">
      <alignment horizontal="center"/>
    </xf>
    <xf numFmtId="0" fontId="14" fillId="2" borderId="0" xfId="3" applyNumberFormat="1" applyFont="1" applyFill="1" applyBorder="1" applyAlignment="1"/>
    <xf numFmtId="0" fontId="14" fillId="2" borderId="0" xfId="3" applyNumberFormat="1" applyFont="1" applyFill="1" applyBorder="1" applyAlignment="1">
      <alignment horizontal="center"/>
    </xf>
    <xf numFmtId="9" fontId="15" fillId="2" borderId="0" xfId="2" applyFont="1" applyFill="1" applyBorder="1" applyAlignment="1">
      <alignment horizontal="center"/>
    </xf>
    <xf numFmtId="0" fontId="16" fillId="2" borderId="0" xfId="3" applyNumberFormat="1" applyFont="1" applyFill="1" applyBorder="1" applyAlignment="1">
      <alignment horizontal="center"/>
    </xf>
    <xf numFmtId="0" fontId="16" fillId="2" borderId="0" xfId="3" applyNumberFormat="1" applyFont="1" applyFill="1"/>
    <xf numFmtId="0" fontId="15" fillId="2" borderId="0" xfId="3" applyNumberFormat="1" applyFont="1" applyFill="1"/>
    <xf numFmtId="0" fontId="5" fillId="2" borderId="0" xfId="3" applyNumberFormat="1" applyFont="1" applyFill="1"/>
    <xf numFmtId="165" fontId="4" fillId="2" borderId="0" xfId="3" applyNumberFormat="1" applyFont="1" applyFill="1" applyBorder="1" applyAlignment="1">
      <alignment horizontal="centerContinuous"/>
    </xf>
    <xf numFmtId="15" fontId="5" fillId="2" borderId="0" xfId="3" applyNumberFormat="1" applyFont="1" applyFill="1" applyBorder="1" applyAlignment="1">
      <alignment horizontal="left"/>
    </xf>
    <xf numFmtId="165" fontId="17" fillId="6" borderId="1" xfId="3" applyNumberFormat="1" applyFont="1" applyFill="1" applyBorder="1" applyAlignment="1">
      <alignment horizontal="center"/>
    </xf>
    <xf numFmtId="0" fontId="18" fillId="7" borderId="0" xfId="3" applyNumberFormat="1" applyFont="1" applyFill="1" applyBorder="1" applyAlignment="1">
      <alignment horizontal="center"/>
    </xf>
    <xf numFmtId="165" fontId="19" fillId="2" borderId="0" xfId="3" applyNumberFormat="1" applyFont="1" applyFill="1" applyBorder="1" applyAlignment="1">
      <alignment horizontal="centerContinuous"/>
    </xf>
    <xf numFmtId="9" fontId="20" fillId="2" borderId="0" xfId="3" applyNumberFormat="1" applyFont="1" applyFill="1" applyBorder="1" applyAlignment="1">
      <alignment horizontal="center"/>
    </xf>
    <xf numFmtId="0" fontId="7" fillId="3" borderId="5" xfId="3" applyNumberFormat="1" applyFont="1" applyFill="1" applyBorder="1" applyAlignment="1">
      <alignment horizontal="center" vertical="center" wrapText="1"/>
    </xf>
    <xf numFmtId="0" fontId="7" fillId="3" borderId="6" xfId="3" applyNumberFormat="1" applyFont="1" applyFill="1" applyBorder="1" applyAlignment="1">
      <alignment horizontal="center" vertical="center" wrapText="1"/>
    </xf>
    <xf numFmtId="0" fontId="7" fillId="3" borderId="7" xfId="3" applyNumberFormat="1" applyFont="1" applyFill="1" applyBorder="1" applyAlignment="1">
      <alignment horizontal="center" vertical="center" wrapText="1"/>
    </xf>
    <xf numFmtId="49" fontId="7" fillId="3" borderId="8" xfId="5" applyNumberFormat="1" applyFont="1" applyFill="1" applyBorder="1" applyAlignment="1">
      <alignment horizontal="center" vertical="center" wrapText="1"/>
    </xf>
    <xf numFmtId="0" fontId="7" fillId="3" borderId="9" xfId="3" applyNumberFormat="1" applyFont="1" applyFill="1" applyBorder="1" applyAlignment="1">
      <alignment horizontal="center" vertical="center" wrapText="1"/>
    </xf>
    <xf numFmtId="0" fontId="7" fillId="3" borderId="10" xfId="3" applyNumberFormat="1" applyFont="1" applyFill="1" applyBorder="1" applyAlignment="1">
      <alignment horizontal="center" vertical="center" wrapText="1"/>
    </xf>
    <xf numFmtId="0" fontId="7" fillId="3" borderId="11" xfId="3" applyNumberFormat="1" applyFont="1" applyFill="1" applyBorder="1" applyAlignment="1">
      <alignment horizontal="center" vertical="center" wrapText="1"/>
    </xf>
    <xf numFmtId="0" fontId="7" fillId="3" borderId="12" xfId="3" applyNumberFormat="1" applyFont="1" applyFill="1" applyBorder="1" applyAlignment="1">
      <alignment horizontal="center" vertical="center" wrapText="1"/>
    </xf>
    <xf numFmtId="0" fontId="7" fillId="3" borderId="13" xfId="3" applyNumberFormat="1" applyFont="1" applyFill="1" applyBorder="1" applyAlignment="1">
      <alignment horizontal="center" vertical="center" wrapText="1"/>
    </xf>
    <xf numFmtId="4" fontId="7" fillId="3" borderId="7" xfId="3" applyNumberFormat="1" applyFont="1" applyFill="1" applyBorder="1" applyAlignment="1">
      <alignment horizontal="center" vertical="center" wrapText="1"/>
    </xf>
    <xf numFmtId="0" fontId="5" fillId="2" borderId="0" xfId="3" applyNumberFormat="1" applyFont="1" applyFill="1" applyAlignment="1"/>
    <xf numFmtId="3" fontId="4" fillId="6" borderId="1" xfId="3" applyNumberFormat="1" applyFont="1" applyFill="1" applyBorder="1" applyAlignment="1">
      <alignment horizontal="center"/>
    </xf>
    <xf numFmtId="3" fontId="4" fillId="0" borderId="1" xfId="3" applyNumberFormat="1" applyFont="1" applyFill="1" applyBorder="1" applyAlignment="1">
      <alignment horizontal="center"/>
    </xf>
    <xf numFmtId="0" fontId="6" fillId="0" borderId="1" xfId="6" applyFont="1" applyFill="1" applyBorder="1" applyAlignment="1" applyProtection="1">
      <alignment horizontal="center" wrapText="1"/>
      <protection locked="0"/>
    </xf>
    <xf numFmtId="0" fontId="6" fillId="0" borderId="1" xfId="6" applyFont="1" applyFill="1" applyBorder="1" applyAlignment="1" applyProtection="1">
      <alignment horizontal="left" wrapText="1"/>
      <protection locked="0"/>
    </xf>
    <xf numFmtId="0" fontId="6" fillId="8" borderId="1" xfId="6" applyFont="1" applyFill="1" applyBorder="1" applyAlignment="1" applyProtection="1">
      <alignment horizontal="left" wrapText="1"/>
      <protection locked="0"/>
    </xf>
    <xf numFmtId="1" fontId="6" fillId="6" borderId="1" xfId="3" applyNumberFormat="1" applyFont="1" applyFill="1" applyBorder="1" applyAlignment="1">
      <alignment horizontal="center"/>
    </xf>
    <xf numFmtId="0" fontId="6" fillId="6" borderId="1" xfId="7" applyFont="1" applyFill="1" applyBorder="1" applyAlignment="1">
      <alignment horizontal="center" wrapText="1"/>
    </xf>
    <xf numFmtId="14" fontId="4" fillId="6" borderId="1" xfId="7" applyNumberFormat="1" applyFont="1" applyFill="1" applyBorder="1" applyAlignment="1">
      <alignment horizontal="center" wrapText="1"/>
    </xf>
    <xf numFmtId="166" fontId="7" fillId="3" borderId="1" xfId="6" applyNumberFormat="1" applyFont="1" applyFill="1" applyBorder="1" applyAlignment="1" applyProtection="1">
      <alignment wrapText="1"/>
      <protection locked="0"/>
    </xf>
    <xf numFmtId="165" fontId="6" fillId="6" borderId="1" xfId="3" applyNumberFormat="1" applyFont="1" applyFill="1" applyBorder="1"/>
    <xf numFmtId="167" fontId="6" fillId="0" borderId="1" xfId="3" applyNumberFormat="1" applyFont="1" applyFill="1" applyBorder="1"/>
    <xf numFmtId="9" fontId="6" fillId="0" borderId="1" xfId="2" applyFont="1" applyFill="1" applyBorder="1"/>
    <xf numFmtId="167" fontId="6" fillId="0" borderId="1" xfId="1" applyNumberFormat="1" applyFont="1" applyFill="1" applyBorder="1"/>
    <xf numFmtId="1" fontId="6" fillId="6" borderId="1" xfId="3" applyNumberFormat="1" applyFont="1" applyFill="1" applyBorder="1"/>
    <xf numFmtId="167" fontId="6" fillId="6" borderId="1" xfId="1" applyNumberFormat="1" applyFont="1" applyFill="1" applyBorder="1"/>
    <xf numFmtId="165" fontId="7" fillId="3" borderId="1" xfId="3" applyNumberFormat="1" applyFont="1" applyFill="1" applyBorder="1"/>
    <xf numFmtId="165" fontId="6" fillId="9" borderId="1" xfId="3" applyNumberFormat="1" applyFont="1" applyFill="1" applyBorder="1"/>
    <xf numFmtId="165" fontId="6" fillId="10" borderId="1" xfId="3" applyNumberFormat="1" applyFont="1" applyFill="1" applyBorder="1"/>
    <xf numFmtId="165" fontId="22" fillId="0" borderId="1" xfId="3" applyNumberFormat="1" applyFont="1" applyFill="1" applyBorder="1"/>
    <xf numFmtId="165" fontId="4" fillId="2" borderId="1" xfId="3" applyNumberFormat="1" applyFont="1" applyFill="1" applyBorder="1"/>
    <xf numFmtId="165" fontId="5" fillId="6" borderId="1" xfId="3" applyNumberFormat="1" applyFont="1" applyFill="1" applyBorder="1"/>
    <xf numFmtId="165" fontId="5" fillId="0" borderId="1" xfId="3" applyNumberFormat="1" applyFont="1" applyFill="1" applyBorder="1"/>
    <xf numFmtId="165" fontId="5" fillId="5" borderId="1" xfId="3" applyNumberFormat="1" applyFont="1" applyFill="1" applyBorder="1"/>
    <xf numFmtId="165" fontId="4" fillId="2" borderId="1" xfId="3" applyNumberFormat="1" applyFont="1" applyFill="1" applyBorder="1" applyAlignment="1">
      <alignment horizontal="center"/>
    </xf>
    <xf numFmtId="165" fontId="4" fillId="0" borderId="1" xfId="3" applyNumberFormat="1" applyFont="1" applyFill="1" applyBorder="1"/>
    <xf numFmtId="165" fontId="6" fillId="6" borderId="1" xfId="3" applyNumberFormat="1" applyFont="1" applyFill="1" applyBorder="1" applyAlignment="1">
      <alignment horizontal="right"/>
    </xf>
    <xf numFmtId="165" fontId="6" fillId="11" borderId="1" xfId="3" applyNumberFormat="1" applyFont="1" applyFill="1" applyBorder="1" applyAlignment="1">
      <alignment horizontal="right"/>
    </xf>
    <xf numFmtId="165" fontId="7" fillId="12" borderId="1" xfId="3" applyNumberFormat="1" applyFont="1" applyFill="1" applyBorder="1"/>
    <xf numFmtId="165" fontId="23" fillId="0" borderId="1" xfId="3" applyNumberFormat="1" applyFont="1" applyFill="1" applyBorder="1"/>
    <xf numFmtId="0" fontId="24" fillId="6" borderId="0" xfId="3" applyNumberFormat="1" applyFont="1" applyFill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 wrapText="1"/>
    </xf>
    <xf numFmtId="0" fontId="6" fillId="8" borderId="1" xfId="0" applyNumberFormat="1" applyFont="1" applyFill="1" applyBorder="1"/>
    <xf numFmtId="0" fontId="4" fillId="8" borderId="1" xfId="0" applyNumberFormat="1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center" wrapText="1"/>
    </xf>
    <xf numFmtId="166" fontId="7" fillId="3" borderId="0" xfId="6" applyNumberFormat="1" applyFont="1" applyFill="1" applyBorder="1" applyAlignment="1" applyProtection="1">
      <alignment wrapText="1"/>
      <protection locked="0"/>
    </xf>
    <xf numFmtId="1" fontId="25" fillId="6" borderId="1" xfId="3" applyNumberFormat="1" applyFont="1" applyFill="1" applyBorder="1"/>
    <xf numFmtId="165" fontId="4" fillId="6" borderId="1" xfId="3" applyNumberFormat="1" applyFont="1" applyFill="1" applyBorder="1"/>
    <xf numFmtId="0" fontId="4" fillId="6" borderId="0" xfId="3" applyNumberFormat="1" applyFont="1" applyFill="1" applyBorder="1"/>
    <xf numFmtId="0" fontId="6" fillId="0" borderId="1" xfId="6" applyFont="1" applyFill="1" applyBorder="1" applyAlignment="1">
      <alignment horizontal="center"/>
    </xf>
    <xf numFmtId="0" fontId="6" fillId="0" borderId="1" xfId="0" applyNumberFormat="1" applyFont="1" applyFill="1" applyBorder="1"/>
    <xf numFmtId="0" fontId="6" fillId="0" borderId="1" xfId="0" applyNumberFormat="1" applyFont="1" applyFill="1" applyBorder="1" applyAlignment="1">
      <alignment horizontal="left"/>
    </xf>
    <xf numFmtId="0" fontId="6" fillId="8" borderId="1" xfId="0" applyNumberFormat="1" applyFont="1" applyFill="1" applyBorder="1" applyAlignment="1">
      <alignment horizontal="left"/>
    </xf>
    <xf numFmtId="14" fontId="6" fillId="6" borderId="1" xfId="0" applyNumberFormat="1" applyFont="1" applyFill="1" applyBorder="1" applyAlignment="1">
      <alignment horizontal="center" wrapText="1"/>
    </xf>
    <xf numFmtId="165" fontId="5" fillId="8" borderId="1" xfId="3" applyNumberFormat="1" applyFont="1" applyFill="1" applyBorder="1"/>
    <xf numFmtId="168" fontId="6" fillId="0" borderId="1" xfId="0" applyNumberFormat="1" applyFont="1" applyFill="1" applyBorder="1" applyAlignment="1">
      <alignment horizontal="left"/>
    </xf>
    <xf numFmtId="0" fontId="6" fillId="8" borderId="1" xfId="0" applyNumberFormat="1" applyFont="1" applyFill="1" applyBorder="1" applyAlignment="1">
      <alignment wrapText="1"/>
    </xf>
    <xf numFmtId="165" fontId="22" fillId="8" borderId="1" xfId="3" applyNumberFormat="1" applyFont="1" applyFill="1" applyBorder="1"/>
    <xf numFmtId="0" fontId="6" fillId="0" borderId="1" xfId="0" applyNumberFormat="1" applyFont="1" applyFill="1" applyBorder="1" applyAlignment="1">
      <alignment wrapText="1"/>
    </xf>
    <xf numFmtId="14" fontId="6" fillId="6" borderId="1" xfId="3" applyNumberFormat="1" applyFont="1" applyFill="1" applyBorder="1" applyAlignment="1" applyProtection="1">
      <alignment horizontal="center" wrapText="1"/>
      <protection locked="0"/>
    </xf>
    <xf numFmtId="3" fontId="4" fillId="8" borderId="1" xfId="3" applyNumberFormat="1" applyFont="1" applyFill="1" applyBorder="1" applyAlignment="1">
      <alignment horizontal="center"/>
    </xf>
    <xf numFmtId="14" fontId="6" fillId="8" borderId="1" xfId="0" applyNumberFormat="1" applyFont="1" applyFill="1" applyBorder="1" applyAlignment="1">
      <alignment horizontal="center" wrapText="1"/>
    </xf>
    <xf numFmtId="0" fontId="23" fillId="0" borderId="1" xfId="0" applyNumberFormat="1" applyFont="1" applyFill="1" applyBorder="1" applyAlignment="1">
      <alignment wrapText="1"/>
    </xf>
    <xf numFmtId="166" fontId="7" fillId="10" borderId="1" xfId="6" applyNumberFormat="1" applyFont="1" applyFill="1" applyBorder="1" applyAlignment="1" applyProtection="1">
      <alignment wrapText="1"/>
      <protection locked="0"/>
    </xf>
    <xf numFmtId="165" fontId="22" fillId="6" borderId="1" xfId="3" applyNumberFormat="1" applyFont="1" applyFill="1" applyBorder="1"/>
    <xf numFmtId="165" fontId="22" fillId="5" borderId="1" xfId="3" applyNumberFormat="1" applyFont="1" applyFill="1" applyBorder="1"/>
    <xf numFmtId="0" fontId="23" fillId="8" borderId="1" xfId="0" applyNumberFormat="1" applyFont="1" applyFill="1" applyBorder="1" applyAlignment="1">
      <alignment wrapText="1"/>
    </xf>
    <xf numFmtId="1" fontId="6" fillId="6" borderId="1" xfId="0" applyNumberFormat="1" applyFont="1" applyFill="1" applyBorder="1" applyAlignment="1">
      <alignment horizontal="center"/>
    </xf>
    <xf numFmtId="3" fontId="6" fillId="6" borderId="1" xfId="3" applyNumberFormat="1" applyFont="1" applyFill="1" applyBorder="1" applyAlignment="1">
      <alignment horizontal="center"/>
    </xf>
    <xf numFmtId="49" fontId="6" fillId="6" borderId="1" xfId="3" applyNumberFormat="1" applyFont="1" applyFill="1" applyBorder="1" applyAlignment="1">
      <alignment horizontal="center"/>
    </xf>
    <xf numFmtId="3" fontId="25" fillId="6" borderId="1" xfId="3" applyNumberFormat="1" applyFont="1" applyFill="1" applyBorder="1" applyAlignment="1">
      <alignment horizontal="center"/>
    </xf>
    <xf numFmtId="169" fontId="4" fillId="6" borderId="1" xfId="7" applyNumberFormat="1" applyFont="1" applyFill="1" applyBorder="1" applyAlignment="1">
      <alignment horizontal="center"/>
    </xf>
    <xf numFmtId="0" fontId="7" fillId="3" borderId="1" xfId="3" applyNumberFormat="1" applyFont="1" applyFill="1" applyBorder="1" applyAlignment="1">
      <alignment horizontal="left"/>
    </xf>
    <xf numFmtId="0" fontId="8" fillId="2" borderId="1" xfId="3" applyNumberFormat="1" applyFont="1" applyFill="1" applyBorder="1" applyAlignment="1">
      <alignment horizontal="left"/>
    </xf>
    <xf numFmtId="164" fontId="8" fillId="2" borderId="1" xfId="3" applyNumberFormat="1" applyFont="1" applyFill="1" applyBorder="1" applyAlignment="1">
      <alignment horizontal="left"/>
    </xf>
    <xf numFmtId="15" fontId="8" fillId="2" borderId="1" xfId="3" applyNumberFormat="1" applyFont="1" applyFill="1" applyBorder="1" applyAlignment="1">
      <alignment horizontal="left"/>
    </xf>
    <xf numFmtId="14" fontId="8" fillId="2" borderId="1" xfId="3" applyNumberFormat="1" applyFont="1" applyFill="1" applyBorder="1" applyAlignment="1">
      <alignment horizontal="left"/>
    </xf>
    <xf numFmtId="0" fontId="2" fillId="2" borderId="4" xfId="3" applyNumberFormat="1" applyFont="1" applyFill="1" applyBorder="1" applyAlignment="1">
      <alignment horizontal="left" vertical="center"/>
    </xf>
    <xf numFmtId="0" fontId="2" fillId="2" borderId="0" xfId="3" applyNumberFormat="1" applyFont="1" applyFill="1" applyBorder="1" applyAlignment="1">
      <alignment horizontal="left" vertical="center"/>
    </xf>
    <xf numFmtId="0" fontId="7" fillId="3" borderId="14" xfId="3" applyNumberFormat="1" applyFont="1" applyFill="1" applyBorder="1" applyAlignment="1">
      <alignment horizontal="center" vertical="center" wrapText="1"/>
    </xf>
  </cellXfs>
  <cellStyles count="8">
    <cellStyle name="=C:\WINNT\SYSTEM32\COMMAND.COM" xfId="3"/>
    <cellStyle name="=C:\WINNT\SYSTEM32\COMMAND.COM 2" xfId="5"/>
    <cellStyle name="=C:\WINNT\SYSTEM32\COMMAND.COM 3" xfId="6"/>
    <cellStyle name="Hipervínculo" xfId="4" builtinId="8"/>
    <cellStyle name="Millares" xfId="1" builtinId="3"/>
    <cellStyle name="Normal" xfId="0" builtinId="0"/>
    <cellStyle name="Normal 2" xfId="7"/>
    <cellStyle name="Porcentaje" xfId="2" builtinId="5"/>
  </cellStyles>
  <dxfs count="14">
    <dxf>
      <font>
        <color rgb="FFFF000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1</xdr:row>
      <xdr:rowOff>47625</xdr:rowOff>
    </xdr:from>
    <xdr:to>
      <xdr:col>11</xdr:col>
      <xdr:colOff>38100</xdr:colOff>
      <xdr:row>4</xdr:row>
      <xdr:rowOff>104775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52400"/>
          <a:ext cx="2200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rogestionchile.com/" TargetMode="External"/><Relationship Id="rId1" Type="http://schemas.openxmlformats.org/officeDocument/2006/relationships/hyperlink" Target="http://www.proyectoygestion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9"/>
  <sheetViews>
    <sheetView tabSelected="1" topLeftCell="AG1" workbookViewId="0">
      <selection activeCell="AV9" sqref="AV9"/>
    </sheetView>
  </sheetViews>
  <sheetFormatPr baseColWidth="10" defaultRowHeight="15" x14ac:dyDescent="0.25"/>
  <sheetData>
    <row r="1" spans="1:49" x14ac:dyDescent="0.25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3"/>
      <c r="R1" s="4"/>
      <c r="S1" s="4"/>
      <c r="T1" s="4"/>
      <c r="U1" s="5"/>
      <c r="V1" s="6"/>
      <c r="W1" s="1"/>
      <c r="X1" s="1"/>
      <c r="Y1" s="1"/>
      <c r="Z1" s="1"/>
      <c r="AA1" s="1"/>
      <c r="AB1" s="1"/>
      <c r="AC1" s="1"/>
      <c r="AD1" s="1"/>
      <c r="AE1" s="1"/>
      <c r="AF1" s="7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8"/>
      <c r="AU1" s="8"/>
      <c r="AV1" s="8"/>
      <c r="AW1" s="8"/>
    </row>
    <row r="2" spans="1:49" x14ac:dyDescent="0.25">
      <c r="A2" s="114" t="s">
        <v>0</v>
      </c>
      <c r="B2" s="114"/>
      <c r="C2" s="114"/>
      <c r="D2" s="114"/>
      <c r="E2" s="114"/>
      <c r="F2" s="115"/>
      <c r="G2" s="115"/>
      <c r="H2" s="115"/>
      <c r="I2" s="9"/>
      <c r="J2" s="1"/>
      <c r="K2" s="1"/>
      <c r="L2" s="10"/>
      <c r="M2" s="10"/>
      <c r="N2" s="10"/>
      <c r="O2" s="10"/>
      <c r="P2" s="10"/>
      <c r="Q2" s="11" t="s">
        <v>1</v>
      </c>
      <c r="R2" s="12"/>
      <c r="S2" s="2"/>
      <c r="T2" s="2"/>
      <c r="U2" s="1"/>
      <c r="V2" s="1"/>
      <c r="W2" s="13"/>
      <c r="X2" s="13"/>
      <c r="Y2" s="14"/>
      <c r="Z2" s="14"/>
      <c r="AA2" s="8"/>
      <c r="AB2" s="1"/>
      <c r="AC2" s="1"/>
      <c r="AD2" s="1"/>
      <c r="AE2" s="1"/>
      <c r="AF2" s="1"/>
      <c r="AG2" s="1"/>
      <c r="AH2" s="1"/>
      <c r="AI2" s="1"/>
      <c r="AJ2" s="1"/>
      <c r="AK2" s="8"/>
      <c r="AL2" s="1"/>
      <c r="AM2" s="1"/>
      <c r="AN2" s="1"/>
      <c r="AO2" s="1"/>
      <c r="AP2" s="1"/>
      <c r="AQ2" s="1"/>
      <c r="AR2" s="1"/>
      <c r="AS2" s="8"/>
      <c r="AT2" s="8"/>
      <c r="AU2" s="15"/>
      <c r="AV2" s="5"/>
      <c r="AW2" s="5"/>
    </row>
    <row r="3" spans="1:49" x14ac:dyDescent="0.25">
      <c r="A3" s="114" t="s">
        <v>2</v>
      </c>
      <c r="B3" s="114"/>
      <c r="C3" s="114"/>
      <c r="D3" s="114"/>
      <c r="E3" s="114"/>
      <c r="F3" s="116">
        <f ca="1">TODAY()</f>
        <v>43018</v>
      </c>
      <c r="G3" s="116"/>
      <c r="H3" s="116"/>
      <c r="I3" s="16"/>
      <c r="J3" s="1"/>
      <c r="K3" s="1"/>
      <c r="L3" s="10"/>
      <c r="M3" s="10"/>
      <c r="N3" s="10"/>
      <c r="O3" s="10"/>
      <c r="P3" s="10"/>
      <c r="Q3" s="17" t="s">
        <v>3</v>
      </c>
      <c r="R3" s="12"/>
      <c r="S3" s="2"/>
      <c r="T3" s="2"/>
      <c r="U3" s="1"/>
      <c r="V3" s="1"/>
      <c r="W3" s="13"/>
      <c r="X3" s="13"/>
      <c r="Y3" s="14"/>
      <c r="Z3" s="14"/>
      <c r="AA3" s="8"/>
      <c r="AB3" s="1"/>
      <c r="AC3" s="1"/>
      <c r="AD3" s="1"/>
      <c r="AE3" s="1"/>
      <c r="AF3" s="1"/>
      <c r="AG3" s="1"/>
      <c r="AH3" s="1"/>
      <c r="AI3" s="1"/>
      <c r="AJ3" s="1"/>
      <c r="AK3" s="8"/>
      <c r="AL3" s="1"/>
      <c r="AM3" s="1"/>
      <c r="AN3" s="1"/>
      <c r="AO3" s="1"/>
      <c r="AP3" s="1"/>
      <c r="AQ3" s="1"/>
      <c r="AR3" s="1"/>
      <c r="AS3" s="8"/>
      <c r="AT3" s="15"/>
      <c r="AU3" s="5"/>
      <c r="AV3" s="5"/>
      <c r="AW3" s="5"/>
    </row>
    <row r="4" spans="1:49" x14ac:dyDescent="0.25">
      <c r="A4" s="114" t="s">
        <v>4</v>
      </c>
      <c r="B4" s="114"/>
      <c r="C4" s="114"/>
      <c r="D4" s="114"/>
      <c r="E4" s="114"/>
      <c r="F4" s="117"/>
      <c r="G4" s="117"/>
      <c r="H4" s="117"/>
      <c r="I4" s="18"/>
      <c r="J4" s="1"/>
      <c r="K4" s="1"/>
      <c r="L4" s="10"/>
      <c r="M4" s="10"/>
      <c r="N4" s="10"/>
      <c r="O4" s="10"/>
      <c r="P4" s="10"/>
      <c r="Q4" s="19" t="s">
        <v>5</v>
      </c>
      <c r="R4" s="20"/>
      <c r="S4" s="2"/>
      <c r="T4" s="2"/>
      <c r="U4" s="1"/>
      <c r="V4" s="21"/>
      <c r="W4" s="21"/>
      <c r="X4" s="22"/>
      <c r="Y4" s="1"/>
      <c r="Z4" s="1"/>
      <c r="AA4" s="1"/>
      <c r="AB4" s="1"/>
      <c r="AC4" s="1"/>
      <c r="AD4" s="1"/>
      <c r="AE4" s="1"/>
      <c r="AF4" s="23"/>
      <c r="AG4" s="1"/>
      <c r="AH4" s="1"/>
      <c r="AI4" s="1"/>
      <c r="AJ4" s="1"/>
      <c r="AK4" s="8"/>
      <c r="AL4" s="23"/>
      <c r="AM4" s="1"/>
      <c r="AN4" s="1"/>
      <c r="AO4" s="1"/>
      <c r="AP4" s="1"/>
      <c r="AQ4" s="1"/>
      <c r="AR4" s="1"/>
      <c r="AS4" s="8"/>
      <c r="AT4" s="15"/>
      <c r="AU4" s="5"/>
      <c r="AV4" s="5"/>
      <c r="AW4" s="5"/>
    </row>
    <row r="5" spans="1:49" x14ac:dyDescent="0.25">
      <c r="A5" s="114" t="s">
        <v>6</v>
      </c>
      <c r="B5" s="114"/>
      <c r="C5" s="114"/>
      <c r="D5" s="114"/>
      <c r="E5" s="114"/>
      <c r="F5" s="117"/>
      <c r="G5" s="117"/>
      <c r="H5" s="117"/>
      <c r="I5" s="18"/>
      <c r="J5" s="1"/>
      <c r="K5" s="1"/>
      <c r="L5" s="10"/>
      <c r="M5" s="10"/>
      <c r="N5" s="10"/>
      <c r="O5" s="10"/>
      <c r="P5" s="10"/>
      <c r="Q5" s="19" t="s">
        <v>7</v>
      </c>
      <c r="R5" s="20"/>
      <c r="S5" s="2"/>
      <c r="T5" s="2"/>
      <c r="U5" s="1"/>
      <c r="V5" s="1"/>
      <c r="W5" s="1"/>
      <c r="X5" s="1"/>
      <c r="Y5" s="1"/>
      <c r="Z5" s="1"/>
      <c r="AA5" s="24"/>
      <c r="AB5" s="1"/>
      <c r="AC5" s="1"/>
      <c r="AD5" s="1"/>
      <c r="AE5" s="1"/>
      <c r="AF5" s="1"/>
      <c r="AG5" s="1"/>
      <c r="AH5" s="1"/>
      <c r="AI5" s="1"/>
      <c r="AJ5" s="1"/>
      <c r="AK5" s="8"/>
      <c r="AL5" s="1"/>
      <c r="AM5" s="1"/>
      <c r="AN5" s="1"/>
      <c r="AO5" s="1"/>
      <c r="AP5" s="1"/>
      <c r="AQ5" s="1"/>
      <c r="AR5" s="1"/>
      <c r="AS5" s="8"/>
      <c r="AT5" s="15"/>
      <c r="AU5" s="5"/>
      <c r="AV5" s="5"/>
      <c r="AW5" s="5"/>
    </row>
    <row r="6" spans="1:49" x14ac:dyDescent="0.25">
      <c r="A6" s="114"/>
      <c r="B6" s="114"/>
      <c r="C6" s="114"/>
      <c r="D6" s="114"/>
      <c r="E6" s="114"/>
      <c r="F6" s="118"/>
      <c r="G6" s="118"/>
      <c r="H6" s="115"/>
      <c r="I6" s="9"/>
      <c r="J6" s="1"/>
      <c r="K6" s="1"/>
      <c r="L6" s="10"/>
      <c r="M6" s="10"/>
      <c r="N6" s="10"/>
      <c r="O6" s="10"/>
      <c r="P6" s="10"/>
      <c r="Q6" s="25" t="s">
        <v>8</v>
      </c>
      <c r="R6" s="20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8"/>
      <c r="AL6" s="1"/>
      <c r="AM6" s="1"/>
      <c r="AN6" s="1"/>
      <c r="AO6" s="1"/>
      <c r="AP6" s="1"/>
      <c r="AQ6" s="1"/>
      <c r="AR6" s="1"/>
      <c r="AS6" s="8"/>
      <c r="AT6" s="15"/>
      <c r="AU6" s="26">
        <v>25490</v>
      </c>
      <c r="AV6" s="27" t="s">
        <v>9</v>
      </c>
      <c r="AW6" s="5"/>
    </row>
    <row r="7" spans="1:49" x14ac:dyDescent="0.25">
      <c r="A7" s="119" t="s">
        <v>10</v>
      </c>
      <c r="B7" s="119"/>
      <c r="C7" s="119"/>
      <c r="D7" s="119"/>
      <c r="E7" s="119"/>
      <c r="F7" s="119"/>
      <c r="G7" s="119"/>
      <c r="H7" s="119"/>
      <c r="I7" s="28"/>
      <c r="J7" s="28" t="s">
        <v>11</v>
      </c>
      <c r="K7" s="28"/>
      <c r="L7" s="29"/>
      <c r="M7" s="29"/>
      <c r="N7" s="29"/>
      <c r="O7" s="29"/>
      <c r="P7" s="29"/>
      <c r="Q7" s="1"/>
      <c r="R7" s="2"/>
      <c r="S7" s="2"/>
      <c r="T7" s="2"/>
      <c r="U7" s="2"/>
      <c r="V7" s="30"/>
      <c r="W7" s="1"/>
      <c r="X7" s="1"/>
      <c r="Y7" s="29"/>
      <c r="Z7" s="29"/>
      <c r="AA7" s="29"/>
      <c r="AB7" s="8"/>
      <c r="AC7" s="8"/>
      <c r="AD7" s="31" t="s">
        <v>12</v>
      </c>
      <c r="AE7" s="8"/>
      <c r="AF7" s="1"/>
      <c r="AG7" s="32"/>
      <c r="AH7" s="33" t="s">
        <v>13</v>
      </c>
      <c r="AI7" s="1"/>
      <c r="AJ7" s="1"/>
      <c r="AK7" s="8"/>
      <c r="AL7" s="1"/>
      <c r="AM7" s="34"/>
      <c r="AN7" s="34"/>
      <c r="AO7" s="1"/>
      <c r="AP7" s="1"/>
      <c r="AQ7" s="1"/>
      <c r="AR7" s="1"/>
      <c r="AS7" s="8"/>
      <c r="AT7" s="35"/>
      <c r="AU7" s="5"/>
      <c r="AV7" s="5"/>
      <c r="AW7" s="5"/>
    </row>
    <row r="8" spans="1:49" ht="15.75" thickBot="1" x14ac:dyDescent="0.3">
      <c r="A8" s="120"/>
      <c r="B8" s="120"/>
      <c r="C8" s="120"/>
      <c r="D8" s="120"/>
      <c r="E8" s="120"/>
      <c r="F8" s="120"/>
      <c r="G8" s="120"/>
      <c r="H8" s="120"/>
      <c r="I8" s="36"/>
      <c r="J8" s="36"/>
      <c r="K8" s="36"/>
      <c r="L8" s="20"/>
      <c r="M8" s="20"/>
      <c r="N8" s="20"/>
      <c r="O8" s="20"/>
      <c r="P8" s="20"/>
      <c r="Q8" s="36"/>
      <c r="R8" s="20"/>
      <c r="S8" s="20"/>
      <c r="T8" s="20"/>
      <c r="U8" s="2"/>
      <c r="V8" s="1"/>
      <c r="W8" s="1"/>
      <c r="X8" s="37">
        <f>270000*4.75/12</f>
        <v>106875</v>
      </c>
      <c r="Y8" s="29"/>
      <c r="Z8" s="29"/>
      <c r="AA8" s="29"/>
      <c r="AB8" s="29"/>
      <c r="AC8" s="29"/>
      <c r="AD8" s="38">
        <v>7.7780000000000002E-3</v>
      </c>
      <c r="AE8" s="29"/>
      <c r="AF8" s="1"/>
      <c r="AG8" s="33"/>
      <c r="AH8" s="33"/>
      <c r="AI8" s="33"/>
      <c r="AJ8" s="33"/>
      <c r="AK8" s="8"/>
      <c r="AL8" s="1"/>
      <c r="AM8" s="23"/>
      <c r="AN8" s="23"/>
      <c r="AO8" s="1"/>
      <c r="AP8" s="1"/>
      <c r="AQ8" s="1"/>
      <c r="AR8" s="1"/>
      <c r="AS8" s="8"/>
      <c r="AT8" s="39"/>
      <c r="AU8" s="40"/>
      <c r="AV8" s="5"/>
      <c r="AW8" s="5"/>
    </row>
    <row r="9" spans="1:49" ht="48" thickBot="1" x14ac:dyDescent="0.3">
      <c r="A9" s="41" t="s">
        <v>14</v>
      </c>
      <c r="B9" s="43" t="s">
        <v>19</v>
      </c>
      <c r="C9" s="43" t="s">
        <v>20</v>
      </c>
      <c r="D9" s="43" t="s">
        <v>21</v>
      </c>
      <c r="E9" s="43" t="s">
        <v>22</v>
      </c>
      <c r="F9" s="42" t="s">
        <v>15</v>
      </c>
      <c r="G9" s="42" t="s">
        <v>196</v>
      </c>
      <c r="H9" s="42" t="s">
        <v>16</v>
      </c>
      <c r="I9" s="42" t="s">
        <v>17</v>
      </c>
      <c r="J9" s="43" t="s">
        <v>18</v>
      </c>
      <c r="K9" s="43" t="s">
        <v>197</v>
      </c>
      <c r="L9" s="43" t="s">
        <v>23</v>
      </c>
      <c r="M9" s="121" t="s">
        <v>198</v>
      </c>
      <c r="N9" s="121" t="s">
        <v>199</v>
      </c>
      <c r="O9" s="121" t="s">
        <v>200</v>
      </c>
      <c r="P9" s="121" t="s">
        <v>201</v>
      </c>
      <c r="Q9" s="44" t="s">
        <v>24</v>
      </c>
      <c r="R9" s="43" t="s">
        <v>25</v>
      </c>
      <c r="S9" s="43" t="s">
        <v>26</v>
      </c>
      <c r="T9" s="45" t="s">
        <v>27</v>
      </c>
      <c r="U9" s="49" t="s">
        <v>28</v>
      </c>
      <c r="V9" s="46" t="s">
        <v>29</v>
      </c>
      <c r="W9" s="42" t="s">
        <v>30</v>
      </c>
      <c r="X9" s="47" t="s">
        <v>31</v>
      </c>
      <c r="Y9" s="43" t="s">
        <v>32</v>
      </c>
      <c r="Z9" s="43" t="s">
        <v>33</v>
      </c>
      <c r="AA9" s="43" t="s">
        <v>34</v>
      </c>
      <c r="AB9" s="43" t="s">
        <v>35</v>
      </c>
      <c r="AC9" s="43" t="s">
        <v>36</v>
      </c>
      <c r="AD9" s="43" t="s">
        <v>37</v>
      </c>
      <c r="AE9" s="48" t="s">
        <v>38</v>
      </c>
      <c r="AF9" s="46" t="s">
        <v>39</v>
      </c>
      <c r="AG9" s="42" t="s">
        <v>40</v>
      </c>
      <c r="AH9" s="43" t="s">
        <v>41</v>
      </c>
      <c r="AI9" s="43" t="s">
        <v>42</v>
      </c>
      <c r="AJ9" s="48" t="s">
        <v>43</v>
      </c>
      <c r="AK9" s="46" t="s">
        <v>44</v>
      </c>
      <c r="AL9" s="49" t="s">
        <v>45</v>
      </c>
      <c r="AM9" s="46" t="s">
        <v>46</v>
      </c>
      <c r="AN9" s="42" t="s">
        <v>47</v>
      </c>
      <c r="AO9" s="50" t="s">
        <v>48</v>
      </c>
      <c r="AP9" s="43" t="s">
        <v>49</v>
      </c>
      <c r="AQ9" s="48" t="s">
        <v>50</v>
      </c>
      <c r="AR9" s="48" t="s">
        <v>51</v>
      </c>
      <c r="AS9" s="46" t="s">
        <v>52</v>
      </c>
      <c r="AT9" s="46" t="s">
        <v>53</v>
      </c>
      <c r="AU9" s="49" t="s">
        <v>54</v>
      </c>
      <c r="AV9" s="46" t="s">
        <v>55</v>
      </c>
      <c r="AW9" s="51"/>
    </row>
    <row r="10" spans="1:49" ht="23.25" x14ac:dyDescent="0.25">
      <c r="A10" s="52">
        <v>1</v>
      </c>
      <c r="B10" s="54" t="s">
        <v>60</v>
      </c>
      <c r="C10" s="55" t="s">
        <v>61</v>
      </c>
      <c r="D10" s="56" t="s">
        <v>62</v>
      </c>
      <c r="E10" s="56" t="s">
        <v>63</v>
      </c>
      <c r="F10" s="53" t="s">
        <v>56</v>
      </c>
      <c r="G10" s="53">
        <v>22</v>
      </c>
      <c r="H10" s="52" t="s">
        <v>57</v>
      </c>
      <c r="I10" s="52" t="s">
        <v>58</v>
      </c>
      <c r="J10" s="54" t="s">
        <v>59</v>
      </c>
      <c r="K10" s="54">
        <v>4</v>
      </c>
      <c r="L10" s="55" t="s">
        <v>64</v>
      </c>
      <c r="M10" s="55" t="s">
        <v>202</v>
      </c>
      <c r="N10" s="55" t="s">
        <v>203</v>
      </c>
      <c r="O10" s="55" t="s">
        <v>204</v>
      </c>
      <c r="P10" s="56">
        <v>10897587</v>
      </c>
      <c r="Q10" s="57">
        <v>0</v>
      </c>
      <c r="R10" s="58" t="s">
        <v>65</v>
      </c>
      <c r="S10" s="113">
        <v>41487</v>
      </c>
      <c r="T10" s="58" t="s">
        <v>65</v>
      </c>
      <c r="U10" s="53">
        <v>30</v>
      </c>
      <c r="V10" s="60">
        <v>270000</v>
      </c>
      <c r="W10" s="61">
        <f t="shared" ref="W10:W39" si="0">V10/30*U10</f>
        <v>270000</v>
      </c>
      <c r="X10" s="61">
        <f t="shared" ref="X10:X39" si="1">IF(W10*25%&gt;$X$8,$X$8,W10*25%)</f>
        <v>67500</v>
      </c>
      <c r="Y10" s="62">
        <v>0</v>
      </c>
      <c r="Z10" s="62">
        <v>80000</v>
      </c>
      <c r="AA10" s="63">
        <v>1.0733977774306038</v>
      </c>
      <c r="AB10" s="64"/>
      <c r="AC10" s="65"/>
      <c r="AD10" s="61"/>
      <c r="AE10" s="66"/>
      <c r="AF10" s="67">
        <f t="shared" ref="AF10:AF39" si="2">+W10+X10+Y10+Z10+AB10+AD10+AE10</f>
        <v>417500</v>
      </c>
      <c r="AG10" s="68">
        <f t="shared" ref="AG10:AG39" si="3">0/30*U10</f>
        <v>0</v>
      </c>
      <c r="AH10" s="69">
        <f>77000/30*U10</f>
        <v>77000</v>
      </c>
      <c r="AI10" s="70">
        <f>0/30*U10</f>
        <v>0</v>
      </c>
      <c r="AJ10" s="71">
        <v>0</v>
      </c>
      <c r="AK10" s="67">
        <f t="shared" ref="AK10:AK39" si="4">+AF10+AG10+AH10+AI10+AJ10</f>
        <v>494500</v>
      </c>
      <c r="AL10" s="73">
        <f t="shared" ref="AL10:AL39" si="5">+AF10*0.2</f>
        <v>83500</v>
      </c>
      <c r="AM10" s="74">
        <f t="shared" ref="AM10:AM39" si="6">+AK10-AL10</f>
        <v>411000</v>
      </c>
      <c r="AN10" s="75">
        <v>5887</v>
      </c>
      <c r="AO10" s="76">
        <v>5386</v>
      </c>
      <c r="AP10" s="77">
        <v>10020</v>
      </c>
      <c r="AQ10" s="78">
        <f t="shared" ref="AQ10:AQ39" si="7">+SUM(AF10/30)*1.75</f>
        <v>24354.166666666664</v>
      </c>
      <c r="AR10" s="78">
        <f t="shared" ref="AR10:AR39" si="8">+SUM(AK10/12)</f>
        <v>41208.333333333336</v>
      </c>
      <c r="AS10" s="76">
        <v>2000</v>
      </c>
      <c r="AT10" s="79">
        <f t="shared" ref="AT10:AT39" si="9">+AS10+AP10+AO10+AN10+AK10</f>
        <v>517793</v>
      </c>
      <c r="AU10" s="80">
        <f t="shared" ref="AU10:AU39" si="10">$AU$6</f>
        <v>25490</v>
      </c>
      <c r="AV10" s="79">
        <f t="shared" ref="AV10:AV28" si="11">+AT10+AU10</f>
        <v>543283</v>
      </c>
      <c r="AW10" s="81"/>
    </row>
    <row r="11" spans="1:49" x14ac:dyDescent="0.25">
      <c r="A11" s="52">
        <v>2</v>
      </c>
      <c r="B11" s="91" t="s">
        <v>72</v>
      </c>
      <c r="C11" s="55" t="s">
        <v>73</v>
      </c>
      <c r="D11" s="84" t="s">
        <v>74</v>
      </c>
      <c r="E11" s="56" t="s">
        <v>75</v>
      </c>
      <c r="F11" s="53" t="s">
        <v>56</v>
      </c>
      <c r="G11" s="53">
        <v>22</v>
      </c>
      <c r="H11" s="52" t="s">
        <v>57</v>
      </c>
      <c r="I11" s="52" t="s">
        <v>58</v>
      </c>
      <c r="J11" s="91" t="s">
        <v>76</v>
      </c>
      <c r="K11" s="54">
        <v>4</v>
      </c>
      <c r="L11" s="92" t="s">
        <v>64</v>
      </c>
      <c r="M11" s="55" t="s">
        <v>202</v>
      </c>
      <c r="N11" s="55" t="s">
        <v>203</v>
      </c>
      <c r="O11" s="55" t="s">
        <v>204</v>
      </c>
      <c r="P11" s="56">
        <v>13651762</v>
      </c>
      <c r="Q11" s="57">
        <v>0</v>
      </c>
      <c r="R11" s="58" t="s">
        <v>65</v>
      </c>
      <c r="S11" s="113">
        <v>41487</v>
      </c>
      <c r="T11" s="58" t="s">
        <v>65</v>
      </c>
      <c r="U11" s="53">
        <v>30</v>
      </c>
      <c r="V11" s="60">
        <v>270000</v>
      </c>
      <c r="W11" s="61">
        <f t="shared" si="0"/>
        <v>270000</v>
      </c>
      <c r="X11" s="61">
        <f t="shared" si="1"/>
        <v>67500</v>
      </c>
      <c r="Y11" s="62">
        <v>0</v>
      </c>
      <c r="Z11" s="62"/>
      <c r="AA11" s="63"/>
      <c r="AB11" s="64"/>
      <c r="AC11" s="64"/>
      <c r="AD11" s="61"/>
      <c r="AE11" s="66"/>
      <c r="AF11" s="67">
        <f t="shared" si="2"/>
        <v>337500</v>
      </c>
      <c r="AG11" s="68">
        <f t="shared" si="3"/>
        <v>0</v>
      </c>
      <c r="AH11" s="69">
        <f>61500/30*U11</f>
        <v>61500</v>
      </c>
      <c r="AI11" s="70">
        <f>0/30*U11</f>
        <v>0</v>
      </c>
      <c r="AJ11" s="89">
        <v>0</v>
      </c>
      <c r="AK11" s="67">
        <f t="shared" si="4"/>
        <v>399000</v>
      </c>
      <c r="AL11" s="73">
        <f t="shared" si="5"/>
        <v>67500</v>
      </c>
      <c r="AM11" s="74">
        <f t="shared" si="6"/>
        <v>331500</v>
      </c>
      <c r="AN11" s="75">
        <v>4759</v>
      </c>
      <c r="AO11" s="76">
        <v>4354</v>
      </c>
      <c r="AP11" s="77">
        <v>8100</v>
      </c>
      <c r="AQ11" s="78">
        <f t="shared" si="7"/>
        <v>19687.5</v>
      </c>
      <c r="AR11" s="78">
        <f t="shared" si="8"/>
        <v>33250</v>
      </c>
      <c r="AS11" s="76">
        <v>2000</v>
      </c>
      <c r="AT11" s="79">
        <f t="shared" si="9"/>
        <v>418213</v>
      </c>
      <c r="AU11" s="80">
        <f t="shared" si="10"/>
        <v>25490</v>
      </c>
      <c r="AV11" s="79">
        <f t="shared" si="11"/>
        <v>443703</v>
      </c>
      <c r="AW11" s="90"/>
    </row>
    <row r="12" spans="1:49" x14ac:dyDescent="0.25">
      <c r="A12" s="52">
        <v>3</v>
      </c>
      <c r="B12" s="82" t="s">
        <v>77</v>
      </c>
      <c r="C12" s="93" t="s">
        <v>78</v>
      </c>
      <c r="D12" s="84" t="s">
        <v>79</v>
      </c>
      <c r="E12" s="94" t="s">
        <v>80</v>
      </c>
      <c r="F12" s="53" t="s">
        <v>81</v>
      </c>
      <c r="G12" s="53">
        <v>22</v>
      </c>
      <c r="H12" s="52" t="s">
        <v>82</v>
      </c>
      <c r="I12" s="52" t="s">
        <v>58</v>
      </c>
      <c r="J12" s="82" t="s">
        <v>83</v>
      </c>
      <c r="K12" s="54">
        <v>4</v>
      </c>
      <c r="L12" s="93" t="s">
        <v>64</v>
      </c>
      <c r="M12" s="55" t="s">
        <v>202</v>
      </c>
      <c r="N12" s="55" t="s">
        <v>203</v>
      </c>
      <c r="O12" s="55" t="s">
        <v>204</v>
      </c>
      <c r="P12" s="94">
        <v>17250304</v>
      </c>
      <c r="Q12" s="57">
        <v>0</v>
      </c>
      <c r="R12" s="58" t="s">
        <v>65</v>
      </c>
      <c r="S12" s="113">
        <v>41487</v>
      </c>
      <c r="T12" s="95" t="s">
        <v>65</v>
      </c>
      <c r="U12" s="53">
        <v>30</v>
      </c>
      <c r="V12" s="60">
        <v>270000</v>
      </c>
      <c r="W12" s="61">
        <f t="shared" si="0"/>
        <v>270000</v>
      </c>
      <c r="X12" s="61">
        <f t="shared" si="1"/>
        <v>67500</v>
      </c>
      <c r="Y12" s="62">
        <v>0</v>
      </c>
      <c r="Z12" s="62">
        <v>0</v>
      </c>
      <c r="AA12" s="63">
        <v>0.75849711008165599</v>
      </c>
      <c r="AB12" s="64"/>
      <c r="AC12" s="64"/>
      <c r="AD12" s="61"/>
      <c r="AE12" s="66"/>
      <c r="AF12" s="67">
        <f t="shared" si="2"/>
        <v>337500</v>
      </c>
      <c r="AG12" s="68">
        <f t="shared" si="3"/>
        <v>0</v>
      </c>
      <c r="AH12" s="68">
        <f>52000/30*U12</f>
        <v>52000</v>
      </c>
      <c r="AI12" s="70">
        <f>0/30*U12</f>
        <v>0</v>
      </c>
      <c r="AJ12" s="71">
        <v>0</v>
      </c>
      <c r="AK12" s="67">
        <f t="shared" si="4"/>
        <v>389500</v>
      </c>
      <c r="AL12" s="96">
        <f t="shared" si="5"/>
        <v>67500</v>
      </c>
      <c r="AM12" s="74">
        <f t="shared" si="6"/>
        <v>322000</v>
      </c>
      <c r="AN12" s="75">
        <v>4759</v>
      </c>
      <c r="AO12" s="76">
        <v>4354</v>
      </c>
      <c r="AP12" s="77">
        <v>8100</v>
      </c>
      <c r="AQ12" s="78">
        <f t="shared" si="7"/>
        <v>19687.5</v>
      </c>
      <c r="AR12" s="78">
        <f t="shared" si="8"/>
        <v>32458.333333333332</v>
      </c>
      <c r="AS12" s="76">
        <v>2000</v>
      </c>
      <c r="AT12" s="79">
        <f t="shared" si="9"/>
        <v>408713</v>
      </c>
      <c r="AU12" s="80">
        <f t="shared" si="10"/>
        <v>25490</v>
      </c>
      <c r="AV12" s="79">
        <f t="shared" si="11"/>
        <v>434203</v>
      </c>
      <c r="AW12" s="7"/>
    </row>
    <row r="13" spans="1:49" x14ac:dyDescent="0.25">
      <c r="A13" s="52">
        <v>4</v>
      </c>
      <c r="B13" s="82" t="s">
        <v>84</v>
      </c>
      <c r="C13" s="97" t="s">
        <v>85</v>
      </c>
      <c r="D13" s="84" t="s">
        <v>86</v>
      </c>
      <c r="E13" s="94" t="s">
        <v>87</v>
      </c>
      <c r="F13" s="53" t="s">
        <v>81</v>
      </c>
      <c r="G13" s="53">
        <v>22</v>
      </c>
      <c r="H13" s="52" t="s">
        <v>82</v>
      </c>
      <c r="I13" s="52" t="s">
        <v>58</v>
      </c>
      <c r="J13" s="82" t="s">
        <v>83</v>
      </c>
      <c r="K13" s="54">
        <v>4</v>
      </c>
      <c r="L13" s="93" t="s">
        <v>64</v>
      </c>
      <c r="M13" s="55" t="s">
        <v>202</v>
      </c>
      <c r="N13" s="55" t="s">
        <v>203</v>
      </c>
      <c r="O13" s="55" t="s">
        <v>204</v>
      </c>
      <c r="P13" s="94">
        <v>10852105</v>
      </c>
      <c r="Q13" s="57">
        <v>0</v>
      </c>
      <c r="R13" s="58" t="s">
        <v>65</v>
      </c>
      <c r="S13" s="113">
        <v>41487</v>
      </c>
      <c r="T13" s="95" t="s">
        <v>65</v>
      </c>
      <c r="U13" s="53">
        <v>30</v>
      </c>
      <c r="V13" s="60">
        <v>270000</v>
      </c>
      <c r="W13" s="61">
        <f t="shared" si="0"/>
        <v>270000</v>
      </c>
      <c r="X13" s="61">
        <f t="shared" si="1"/>
        <v>67500</v>
      </c>
      <c r="Y13" s="62">
        <v>0</v>
      </c>
      <c r="Z13" s="62">
        <v>0</v>
      </c>
      <c r="AA13" s="63">
        <v>0.76760176034248773</v>
      </c>
      <c r="AB13" s="64"/>
      <c r="AC13" s="64"/>
      <c r="AD13" s="61"/>
      <c r="AE13" s="66"/>
      <c r="AF13" s="67">
        <f t="shared" si="2"/>
        <v>337500</v>
      </c>
      <c r="AG13" s="68">
        <f t="shared" si="3"/>
        <v>0</v>
      </c>
      <c r="AH13" s="68">
        <v>52000</v>
      </c>
      <c r="AI13" s="70">
        <f>0/30*U13</f>
        <v>0</v>
      </c>
      <c r="AJ13" s="89">
        <v>0</v>
      </c>
      <c r="AK13" s="67">
        <f t="shared" si="4"/>
        <v>389500</v>
      </c>
      <c r="AL13" s="96">
        <f t="shared" si="5"/>
        <v>67500</v>
      </c>
      <c r="AM13" s="74">
        <f t="shared" si="6"/>
        <v>322000</v>
      </c>
      <c r="AN13" s="75">
        <v>4759</v>
      </c>
      <c r="AO13" s="76">
        <v>4354</v>
      </c>
      <c r="AP13" s="77">
        <v>8100</v>
      </c>
      <c r="AQ13" s="78">
        <f t="shared" si="7"/>
        <v>19687.5</v>
      </c>
      <c r="AR13" s="78">
        <f t="shared" si="8"/>
        <v>32458.333333333332</v>
      </c>
      <c r="AS13" s="76">
        <v>2000</v>
      </c>
      <c r="AT13" s="79">
        <f t="shared" si="9"/>
        <v>408713</v>
      </c>
      <c r="AU13" s="80">
        <f t="shared" si="10"/>
        <v>25490</v>
      </c>
      <c r="AV13" s="79">
        <f t="shared" si="11"/>
        <v>434203</v>
      </c>
      <c r="AW13" s="7"/>
    </row>
    <row r="14" spans="1:49" ht="23.25" x14ac:dyDescent="0.25">
      <c r="A14" s="52">
        <v>5</v>
      </c>
      <c r="B14" s="54" t="s">
        <v>88</v>
      </c>
      <c r="C14" s="55" t="s">
        <v>89</v>
      </c>
      <c r="D14" s="84" t="s">
        <v>90</v>
      </c>
      <c r="E14" s="94" t="s">
        <v>91</v>
      </c>
      <c r="F14" s="53" t="s">
        <v>56</v>
      </c>
      <c r="G14" s="53">
        <v>22</v>
      </c>
      <c r="H14" s="52" t="s">
        <v>57</v>
      </c>
      <c r="I14" s="52" t="s">
        <v>58</v>
      </c>
      <c r="J14" s="54" t="s">
        <v>92</v>
      </c>
      <c r="K14" s="54">
        <v>4</v>
      </c>
      <c r="L14" s="55" t="s">
        <v>64</v>
      </c>
      <c r="M14" s="55" t="s">
        <v>202</v>
      </c>
      <c r="N14" s="55" t="s">
        <v>203</v>
      </c>
      <c r="O14" s="55" t="s">
        <v>204</v>
      </c>
      <c r="P14" s="94">
        <v>15973003</v>
      </c>
      <c r="Q14" s="57">
        <v>0</v>
      </c>
      <c r="R14" s="58" t="s">
        <v>65</v>
      </c>
      <c r="S14" s="113">
        <v>41487</v>
      </c>
      <c r="T14" s="58" t="s">
        <v>65</v>
      </c>
      <c r="U14" s="53">
        <v>30</v>
      </c>
      <c r="V14" s="60">
        <v>270000</v>
      </c>
      <c r="W14" s="61">
        <f t="shared" si="0"/>
        <v>270000</v>
      </c>
      <c r="X14" s="61">
        <f t="shared" si="1"/>
        <v>67500</v>
      </c>
      <c r="Y14" s="62">
        <v>0</v>
      </c>
      <c r="Z14" s="62">
        <v>21000</v>
      </c>
      <c r="AA14" s="63">
        <v>0.84897691259786423</v>
      </c>
      <c r="AB14" s="64"/>
      <c r="AC14" s="64"/>
      <c r="AD14" s="61"/>
      <c r="AE14" s="66"/>
      <c r="AF14" s="67">
        <f t="shared" si="2"/>
        <v>358500</v>
      </c>
      <c r="AG14" s="68">
        <f t="shared" si="3"/>
        <v>0</v>
      </c>
      <c r="AH14" s="68">
        <f>50000/30*U14</f>
        <v>50000</v>
      </c>
      <c r="AI14" s="70">
        <f>0/30*U14</f>
        <v>0</v>
      </c>
      <c r="AJ14" s="71">
        <v>0</v>
      </c>
      <c r="AK14" s="67">
        <f t="shared" si="4"/>
        <v>408500</v>
      </c>
      <c r="AL14" s="73">
        <f t="shared" si="5"/>
        <v>71700</v>
      </c>
      <c r="AM14" s="74">
        <f t="shared" si="6"/>
        <v>336800</v>
      </c>
      <c r="AN14" s="75">
        <v>5055</v>
      </c>
      <c r="AO14" s="76">
        <v>4625</v>
      </c>
      <c r="AP14" s="77">
        <v>8604</v>
      </c>
      <c r="AQ14" s="78">
        <f t="shared" si="7"/>
        <v>20912.5</v>
      </c>
      <c r="AR14" s="78">
        <f t="shared" si="8"/>
        <v>34041.666666666664</v>
      </c>
      <c r="AS14" s="76">
        <v>2000</v>
      </c>
      <c r="AT14" s="79">
        <f t="shared" si="9"/>
        <v>428784</v>
      </c>
      <c r="AU14" s="80">
        <f t="shared" si="10"/>
        <v>25490</v>
      </c>
      <c r="AV14" s="79">
        <f t="shared" si="11"/>
        <v>454274</v>
      </c>
      <c r="AW14" s="7"/>
    </row>
    <row r="15" spans="1:49" x14ac:dyDescent="0.25">
      <c r="A15" s="52">
        <v>6</v>
      </c>
      <c r="B15" s="82" t="s">
        <v>93</v>
      </c>
      <c r="C15" s="92" t="s">
        <v>94</v>
      </c>
      <c r="D15" s="84" t="s">
        <v>95</v>
      </c>
      <c r="E15" s="98" t="s">
        <v>96</v>
      </c>
      <c r="F15" s="53" t="s">
        <v>56</v>
      </c>
      <c r="G15" s="53">
        <v>22</v>
      </c>
      <c r="H15" s="52" t="s">
        <v>97</v>
      </c>
      <c r="I15" s="52" t="s">
        <v>58</v>
      </c>
      <c r="J15" s="82" t="s">
        <v>83</v>
      </c>
      <c r="K15" s="54">
        <v>4</v>
      </c>
      <c r="L15" s="92" t="s">
        <v>64</v>
      </c>
      <c r="M15" s="55" t="s">
        <v>202</v>
      </c>
      <c r="N15" s="55" t="s">
        <v>203</v>
      </c>
      <c r="O15" s="55" t="s">
        <v>204</v>
      </c>
      <c r="P15" s="98">
        <v>15392387</v>
      </c>
      <c r="Q15" s="57">
        <v>0</v>
      </c>
      <c r="R15" s="58" t="s">
        <v>65</v>
      </c>
      <c r="S15" s="113">
        <v>41505</v>
      </c>
      <c r="T15" s="95" t="s">
        <v>65</v>
      </c>
      <c r="U15" s="53">
        <v>30</v>
      </c>
      <c r="V15" s="60">
        <v>270000</v>
      </c>
      <c r="W15" s="61">
        <f t="shared" si="0"/>
        <v>270000</v>
      </c>
      <c r="X15" s="61">
        <f t="shared" si="1"/>
        <v>67500</v>
      </c>
      <c r="Y15" s="62">
        <v>0</v>
      </c>
      <c r="Z15" s="62">
        <v>0</v>
      </c>
      <c r="AA15" s="63">
        <v>0.9030148422095432</v>
      </c>
      <c r="AB15" s="64"/>
      <c r="AC15" s="88"/>
      <c r="AD15" s="61"/>
      <c r="AE15" s="66"/>
      <c r="AF15" s="67">
        <f t="shared" si="2"/>
        <v>337500</v>
      </c>
      <c r="AG15" s="68">
        <f t="shared" si="3"/>
        <v>0</v>
      </c>
      <c r="AH15" s="68">
        <f>50000/30*U15</f>
        <v>50000</v>
      </c>
      <c r="AI15" s="99">
        <v>10000</v>
      </c>
      <c r="AJ15" s="89">
        <v>0</v>
      </c>
      <c r="AK15" s="67">
        <f t="shared" si="4"/>
        <v>397500</v>
      </c>
      <c r="AL15" s="72">
        <f t="shared" si="5"/>
        <v>67500</v>
      </c>
      <c r="AM15" s="74">
        <f t="shared" si="6"/>
        <v>330000</v>
      </c>
      <c r="AN15" s="75">
        <v>4759</v>
      </c>
      <c r="AO15" s="76">
        <v>4354</v>
      </c>
      <c r="AP15" s="77">
        <v>8100</v>
      </c>
      <c r="AQ15" s="78">
        <f t="shared" si="7"/>
        <v>19687.5</v>
      </c>
      <c r="AR15" s="78">
        <f t="shared" si="8"/>
        <v>33125</v>
      </c>
      <c r="AS15" s="76">
        <v>2000</v>
      </c>
      <c r="AT15" s="79">
        <f t="shared" si="9"/>
        <v>416713</v>
      </c>
      <c r="AU15" s="80">
        <f t="shared" si="10"/>
        <v>25490</v>
      </c>
      <c r="AV15" s="79">
        <f t="shared" si="11"/>
        <v>442203</v>
      </c>
      <c r="AW15" s="7"/>
    </row>
    <row r="16" spans="1:49" ht="23.25" x14ac:dyDescent="0.25">
      <c r="A16" s="52">
        <v>7</v>
      </c>
      <c r="B16" s="82" t="s">
        <v>98</v>
      </c>
      <c r="C16" s="100" t="s">
        <v>99</v>
      </c>
      <c r="D16" s="84" t="s">
        <v>100</v>
      </c>
      <c r="E16" s="98" t="s">
        <v>101</v>
      </c>
      <c r="F16" s="53" t="s">
        <v>56</v>
      </c>
      <c r="G16" s="53">
        <v>22</v>
      </c>
      <c r="H16" s="52" t="s">
        <v>102</v>
      </c>
      <c r="I16" s="52" t="s">
        <v>58</v>
      </c>
      <c r="J16" s="82" t="s">
        <v>83</v>
      </c>
      <c r="K16" s="54">
        <v>4</v>
      </c>
      <c r="L16" s="100" t="s">
        <v>64</v>
      </c>
      <c r="M16" s="55" t="s">
        <v>202</v>
      </c>
      <c r="N16" s="55" t="s">
        <v>203</v>
      </c>
      <c r="O16" s="55" t="s">
        <v>204</v>
      </c>
      <c r="P16" s="98">
        <v>19023123</v>
      </c>
      <c r="Q16" s="57">
        <v>0</v>
      </c>
      <c r="R16" s="58" t="s">
        <v>65</v>
      </c>
      <c r="S16" s="113">
        <v>41773</v>
      </c>
      <c r="T16" s="101" t="s">
        <v>65</v>
      </c>
      <c r="U16" s="53">
        <v>30</v>
      </c>
      <c r="V16" s="60">
        <v>270000</v>
      </c>
      <c r="W16" s="61">
        <f t="shared" si="0"/>
        <v>270000</v>
      </c>
      <c r="X16" s="61">
        <f t="shared" si="1"/>
        <v>67500</v>
      </c>
      <c r="Y16" s="62">
        <v>0</v>
      </c>
      <c r="Z16" s="62">
        <v>75000</v>
      </c>
      <c r="AA16" s="63">
        <v>0.99542367545286314</v>
      </c>
      <c r="AB16" s="64"/>
      <c r="AC16" s="88"/>
      <c r="AD16" s="61"/>
      <c r="AE16" s="66"/>
      <c r="AF16" s="67">
        <f t="shared" si="2"/>
        <v>412500</v>
      </c>
      <c r="AG16" s="68">
        <f t="shared" si="3"/>
        <v>0</v>
      </c>
      <c r="AH16" s="68">
        <v>50000</v>
      </c>
      <c r="AI16" s="70">
        <f>0/30*U16</f>
        <v>0</v>
      </c>
      <c r="AJ16" s="71">
        <v>0</v>
      </c>
      <c r="AK16" s="67">
        <f t="shared" si="4"/>
        <v>462500</v>
      </c>
      <c r="AL16" s="73">
        <f t="shared" si="5"/>
        <v>82500</v>
      </c>
      <c r="AM16" s="74">
        <f t="shared" si="6"/>
        <v>380000</v>
      </c>
      <c r="AN16" s="75">
        <v>5816</v>
      </c>
      <c r="AO16" s="76">
        <v>5321</v>
      </c>
      <c r="AP16" s="77">
        <v>9900</v>
      </c>
      <c r="AQ16" s="78">
        <f t="shared" si="7"/>
        <v>24062.5</v>
      </c>
      <c r="AR16" s="78">
        <f t="shared" si="8"/>
        <v>38541.666666666664</v>
      </c>
      <c r="AS16" s="76">
        <v>2000</v>
      </c>
      <c r="AT16" s="79">
        <f t="shared" si="9"/>
        <v>485537</v>
      </c>
      <c r="AU16" s="80">
        <f t="shared" si="10"/>
        <v>25490</v>
      </c>
      <c r="AV16" s="79">
        <f t="shared" si="11"/>
        <v>511027</v>
      </c>
      <c r="AW16" s="7"/>
    </row>
    <row r="17" spans="1:49" ht="23.25" x14ac:dyDescent="0.25">
      <c r="A17" s="52">
        <v>8</v>
      </c>
      <c r="B17" s="91" t="s">
        <v>103</v>
      </c>
      <c r="C17" s="100" t="s">
        <v>104</v>
      </c>
      <c r="D17" s="84" t="s">
        <v>105</v>
      </c>
      <c r="E17" s="98" t="s">
        <v>106</v>
      </c>
      <c r="F17" s="53" t="s">
        <v>56</v>
      </c>
      <c r="G17" s="53">
        <v>22</v>
      </c>
      <c r="H17" s="52" t="s">
        <v>57</v>
      </c>
      <c r="I17" s="52" t="s">
        <v>58</v>
      </c>
      <c r="J17" s="91" t="s">
        <v>107</v>
      </c>
      <c r="K17" s="54">
        <v>4</v>
      </c>
      <c r="L17" s="100" t="s">
        <v>64</v>
      </c>
      <c r="M17" s="55" t="s">
        <v>202</v>
      </c>
      <c r="N17" s="55" t="s">
        <v>203</v>
      </c>
      <c r="O17" s="55" t="s">
        <v>204</v>
      </c>
      <c r="P17" s="98">
        <v>12528972</v>
      </c>
      <c r="Q17" s="57">
        <v>0</v>
      </c>
      <c r="R17" s="58" t="s">
        <v>65</v>
      </c>
      <c r="S17" s="113">
        <v>41834</v>
      </c>
      <c r="T17" s="95" t="s">
        <v>65</v>
      </c>
      <c r="U17" s="53">
        <v>30</v>
      </c>
      <c r="V17" s="60">
        <v>270000</v>
      </c>
      <c r="W17" s="61">
        <f t="shared" si="0"/>
        <v>270000</v>
      </c>
      <c r="X17" s="61">
        <f t="shared" si="1"/>
        <v>67500</v>
      </c>
      <c r="Y17" s="62">
        <v>0</v>
      </c>
      <c r="Z17" s="62"/>
      <c r="AA17" s="63">
        <v>0.84356999576509561</v>
      </c>
      <c r="AB17" s="64"/>
      <c r="AC17" s="65"/>
      <c r="AD17" s="61"/>
      <c r="AE17" s="66"/>
      <c r="AF17" s="67">
        <f t="shared" si="2"/>
        <v>337500</v>
      </c>
      <c r="AG17" s="68">
        <f t="shared" si="3"/>
        <v>0</v>
      </c>
      <c r="AH17" s="68">
        <f>65000/30*U17</f>
        <v>64999.999999999993</v>
      </c>
      <c r="AI17" s="70">
        <f>0/30*U17</f>
        <v>0</v>
      </c>
      <c r="AJ17" s="61">
        <v>0</v>
      </c>
      <c r="AK17" s="67">
        <f t="shared" si="4"/>
        <v>402500</v>
      </c>
      <c r="AL17" s="72">
        <f t="shared" si="5"/>
        <v>67500</v>
      </c>
      <c r="AM17" s="74">
        <f t="shared" si="6"/>
        <v>335000</v>
      </c>
      <c r="AN17" s="75">
        <v>4759</v>
      </c>
      <c r="AO17" s="76">
        <v>4354</v>
      </c>
      <c r="AP17" s="77">
        <v>8100</v>
      </c>
      <c r="AQ17" s="78">
        <f t="shared" si="7"/>
        <v>19687.5</v>
      </c>
      <c r="AR17" s="78">
        <f t="shared" si="8"/>
        <v>33541.666666666664</v>
      </c>
      <c r="AS17" s="76">
        <v>2000</v>
      </c>
      <c r="AT17" s="79">
        <f t="shared" si="9"/>
        <v>421713</v>
      </c>
      <c r="AU17" s="80">
        <f t="shared" si="10"/>
        <v>25490</v>
      </c>
      <c r="AV17" s="79">
        <f t="shared" si="11"/>
        <v>447203</v>
      </c>
      <c r="AW17" s="7"/>
    </row>
    <row r="18" spans="1:49" ht="23.25" x14ac:dyDescent="0.25">
      <c r="A18" s="52">
        <v>9</v>
      </c>
      <c r="B18" s="82" t="s">
        <v>108</v>
      </c>
      <c r="C18" s="100" t="s">
        <v>109</v>
      </c>
      <c r="D18" s="84" t="s">
        <v>110</v>
      </c>
      <c r="E18" s="98" t="s">
        <v>111</v>
      </c>
      <c r="F18" s="53" t="s">
        <v>112</v>
      </c>
      <c r="G18" s="53">
        <v>22</v>
      </c>
      <c r="H18" s="52" t="s">
        <v>66</v>
      </c>
      <c r="I18" s="52" t="s">
        <v>58</v>
      </c>
      <c r="J18" s="82" t="s">
        <v>83</v>
      </c>
      <c r="K18" s="54">
        <v>4</v>
      </c>
      <c r="L18" s="100" t="s">
        <v>64</v>
      </c>
      <c r="M18" s="55" t="s">
        <v>202</v>
      </c>
      <c r="N18" s="55" t="s">
        <v>203</v>
      </c>
      <c r="O18" s="55" t="s">
        <v>204</v>
      </c>
      <c r="P18" s="98">
        <v>15434781</v>
      </c>
      <c r="Q18" s="57">
        <v>9</v>
      </c>
      <c r="R18" s="58" t="s">
        <v>65</v>
      </c>
      <c r="S18" s="113">
        <v>41925</v>
      </c>
      <c r="T18" s="86" t="s">
        <v>65</v>
      </c>
      <c r="U18" s="53">
        <v>30</v>
      </c>
      <c r="V18" s="60">
        <v>270000</v>
      </c>
      <c r="W18" s="61">
        <f t="shared" si="0"/>
        <v>270000</v>
      </c>
      <c r="X18" s="61">
        <f t="shared" si="1"/>
        <v>67500</v>
      </c>
      <c r="Y18" s="62">
        <v>0</v>
      </c>
      <c r="Z18" s="62">
        <v>60000</v>
      </c>
      <c r="AA18" s="63">
        <v>0.99484524021837306</v>
      </c>
      <c r="AB18" s="64"/>
      <c r="AC18" s="88"/>
      <c r="AD18" s="61"/>
      <c r="AE18" s="66"/>
      <c r="AF18" s="67">
        <f t="shared" si="2"/>
        <v>397500</v>
      </c>
      <c r="AG18" s="68">
        <f t="shared" si="3"/>
        <v>0</v>
      </c>
      <c r="AH18" s="68">
        <f>91000/30*U18</f>
        <v>91000</v>
      </c>
      <c r="AI18" s="70">
        <f>0/30*U18</f>
        <v>0</v>
      </c>
      <c r="AJ18" s="89">
        <v>0</v>
      </c>
      <c r="AK18" s="67">
        <f t="shared" si="4"/>
        <v>488500</v>
      </c>
      <c r="AL18" s="72">
        <f t="shared" si="5"/>
        <v>79500</v>
      </c>
      <c r="AM18" s="74">
        <f t="shared" si="6"/>
        <v>409000</v>
      </c>
      <c r="AN18" s="75">
        <v>5605</v>
      </c>
      <c r="AO18" s="76">
        <v>5128</v>
      </c>
      <c r="AP18" s="77">
        <v>9540</v>
      </c>
      <c r="AQ18" s="78">
        <f t="shared" si="7"/>
        <v>23187.5</v>
      </c>
      <c r="AR18" s="78">
        <f t="shared" si="8"/>
        <v>40708.333333333336</v>
      </c>
      <c r="AS18" s="76">
        <v>2000</v>
      </c>
      <c r="AT18" s="79">
        <f t="shared" si="9"/>
        <v>510773</v>
      </c>
      <c r="AU18" s="80">
        <f t="shared" si="10"/>
        <v>25490</v>
      </c>
      <c r="AV18" s="79">
        <f t="shared" si="11"/>
        <v>536263</v>
      </c>
      <c r="AW18" s="7"/>
    </row>
    <row r="19" spans="1:49" ht="23.25" x14ac:dyDescent="0.25">
      <c r="A19" s="52">
        <v>10</v>
      </c>
      <c r="B19" s="82" t="s">
        <v>113</v>
      </c>
      <c r="C19" s="100" t="s">
        <v>114</v>
      </c>
      <c r="D19" s="84" t="s">
        <v>115</v>
      </c>
      <c r="E19" s="98" t="s">
        <v>116</v>
      </c>
      <c r="F19" s="53" t="s">
        <v>112</v>
      </c>
      <c r="G19" s="53">
        <v>22</v>
      </c>
      <c r="H19" s="52" t="s">
        <v>66</v>
      </c>
      <c r="I19" s="52" t="s">
        <v>58</v>
      </c>
      <c r="J19" s="82" t="s">
        <v>83</v>
      </c>
      <c r="K19" s="54">
        <v>4</v>
      </c>
      <c r="L19" s="100" t="s">
        <v>64</v>
      </c>
      <c r="M19" s="55" t="s">
        <v>202</v>
      </c>
      <c r="N19" s="55" t="s">
        <v>203</v>
      </c>
      <c r="O19" s="55" t="s">
        <v>204</v>
      </c>
      <c r="P19" s="98">
        <v>12903981</v>
      </c>
      <c r="Q19" s="57">
        <v>9</v>
      </c>
      <c r="R19" s="58" t="s">
        <v>65</v>
      </c>
      <c r="S19" s="113">
        <v>41982</v>
      </c>
      <c r="T19" s="95" t="s">
        <v>65</v>
      </c>
      <c r="U19" s="53">
        <v>30</v>
      </c>
      <c r="V19" s="60">
        <v>270000</v>
      </c>
      <c r="W19" s="61">
        <f t="shared" si="0"/>
        <v>270000</v>
      </c>
      <c r="X19" s="61">
        <f t="shared" si="1"/>
        <v>67500</v>
      </c>
      <c r="Y19" s="62">
        <v>0</v>
      </c>
      <c r="Z19" s="62">
        <v>95000</v>
      </c>
      <c r="AA19" s="63">
        <v>1.0559351338168019</v>
      </c>
      <c r="AB19" s="64"/>
      <c r="AC19" s="88"/>
      <c r="AD19" s="61"/>
      <c r="AE19" s="66"/>
      <c r="AF19" s="67">
        <f t="shared" si="2"/>
        <v>432500</v>
      </c>
      <c r="AG19" s="68">
        <f t="shared" si="3"/>
        <v>0</v>
      </c>
      <c r="AH19" s="69">
        <v>96000</v>
      </c>
      <c r="AI19" s="70">
        <f>0/30*U19</f>
        <v>0</v>
      </c>
      <c r="AJ19" s="89">
        <v>0</v>
      </c>
      <c r="AK19" s="67">
        <f t="shared" si="4"/>
        <v>528500</v>
      </c>
      <c r="AL19" s="72">
        <f t="shared" si="5"/>
        <v>86500</v>
      </c>
      <c r="AM19" s="74">
        <f t="shared" si="6"/>
        <v>442000</v>
      </c>
      <c r="AN19" s="75">
        <v>6098</v>
      </c>
      <c r="AO19" s="76">
        <v>5579</v>
      </c>
      <c r="AP19" s="77">
        <v>10380</v>
      </c>
      <c r="AQ19" s="78">
        <f t="shared" si="7"/>
        <v>25229.166666666664</v>
      </c>
      <c r="AR19" s="78">
        <f t="shared" si="8"/>
        <v>44041.666666666664</v>
      </c>
      <c r="AS19" s="76">
        <v>2000</v>
      </c>
      <c r="AT19" s="79">
        <f t="shared" si="9"/>
        <v>552557</v>
      </c>
      <c r="AU19" s="80">
        <f t="shared" si="10"/>
        <v>25490</v>
      </c>
      <c r="AV19" s="79">
        <f t="shared" si="11"/>
        <v>578047</v>
      </c>
      <c r="AW19" s="7"/>
    </row>
    <row r="20" spans="1:49" ht="23.25" x14ac:dyDescent="0.25">
      <c r="A20" s="52">
        <v>11</v>
      </c>
      <c r="B20" s="91" t="s">
        <v>117</v>
      </c>
      <c r="C20" s="100" t="s">
        <v>118</v>
      </c>
      <c r="D20" s="84" t="s">
        <v>119</v>
      </c>
      <c r="E20" s="98" t="s">
        <v>120</v>
      </c>
      <c r="F20" s="53" t="s">
        <v>56</v>
      </c>
      <c r="G20" s="53">
        <v>22</v>
      </c>
      <c r="H20" s="52" t="s">
        <v>57</v>
      </c>
      <c r="I20" s="52" t="s">
        <v>58</v>
      </c>
      <c r="J20" s="91" t="s">
        <v>76</v>
      </c>
      <c r="K20" s="54">
        <v>4</v>
      </c>
      <c r="L20" s="100" t="s">
        <v>64</v>
      </c>
      <c r="M20" s="55" t="s">
        <v>202</v>
      </c>
      <c r="N20" s="55" t="s">
        <v>203</v>
      </c>
      <c r="O20" s="55" t="s">
        <v>204</v>
      </c>
      <c r="P20" s="98">
        <v>13879922</v>
      </c>
      <c r="Q20" s="57">
        <v>3</v>
      </c>
      <c r="R20" s="58" t="s">
        <v>65</v>
      </c>
      <c r="S20" s="113">
        <v>41988</v>
      </c>
      <c r="T20" s="58" t="s">
        <v>65</v>
      </c>
      <c r="U20" s="102">
        <v>23</v>
      </c>
      <c r="V20" s="60">
        <v>270000</v>
      </c>
      <c r="W20" s="61">
        <f t="shared" si="0"/>
        <v>207000</v>
      </c>
      <c r="X20" s="61">
        <f t="shared" si="1"/>
        <v>51750</v>
      </c>
      <c r="Y20" s="62">
        <v>0</v>
      </c>
      <c r="Z20" s="62">
        <v>132000</v>
      </c>
      <c r="AA20" s="63">
        <v>1.3</v>
      </c>
      <c r="AB20" s="64"/>
      <c r="AC20" s="65"/>
      <c r="AD20" s="61"/>
      <c r="AE20" s="66"/>
      <c r="AF20" s="67">
        <f t="shared" si="2"/>
        <v>390750</v>
      </c>
      <c r="AG20" s="68">
        <f t="shared" si="3"/>
        <v>0</v>
      </c>
      <c r="AH20" s="68">
        <f>75000/30*U20</f>
        <v>57500</v>
      </c>
      <c r="AI20" s="70">
        <f>0/30*U20</f>
        <v>0</v>
      </c>
      <c r="AJ20" s="89">
        <v>0</v>
      </c>
      <c r="AK20" s="67">
        <f t="shared" si="4"/>
        <v>448250</v>
      </c>
      <c r="AL20" s="72">
        <f t="shared" si="5"/>
        <v>78150</v>
      </c>
      <c r="AM20" s="74">
        <f t="shared" si="6"/>
        <v>370100</v>
      </c>
      <c r="AN20" s="75">
        <v>6884</v>
      </c>
      <c r="AO20" s="76">
        <v>5041</v>
      </c>
      <c r="AP20" s="77">
        <v>11718</v>
      </c>
      <c r="AQ20" s="78">
        <f t="shared" si="7"/>
        <v>22793.75</v>
      </c>
      <c r="AR20" s="78">
        <f t="shared" si="8"/>
        <v>37354.166666666664</v>
      </c>
      <c r="AS20" s="76">
        <v>2000</v>
      </c>
      <c r="AT20" s="79">
        <f t="shared" si="9"/>
        <v>473893</v>
      </c>
      <c r="AU20" s="80">
        <f t="shared" si="10"/>
        <v>25490</v>
      </c>
      <c r="AV20" s="79">
        <f t="shared" si="11"/>
        <v>499383</v>
      </c>
      <c r="AW20" s="7"/>
    </row>
    <row r="21" spans="1:49" ht="23.25" x14ac:dyDescent="0.25">
      <c r="A21" s="52">
        <v>12</v>
      </c>
      <c r="B21" s="91" t="s">
        <v>121</v>
      </c>
      <c r="C21" s="100" t="s">
        <v>122</v>
      </c>
      <c r="D21" s="84" t="s">
        <v>123</v>
      </c>
      <c r="E21" s="98" t="s">
        <v>124</v>
      </c>
      <c r="F21" s="53" t="s">
        <v>56</v>
      </c>
      <c r="G21" s="53">
        <v>22</v>
      </c>
      <c r="H21" s="52" t="s">
        <v>97</v>
      </c>
      <c r="I21" s="52" t="s">
        <v>58</v>
      </c>
      <c r="J21" s="82" t="s">
        <v>83</v>
      </c>
      <c r="K21" s="54">
        <v>4</v>
      </c>
      <c r="L21" s="100" t="s">
        <v>64</v>
      </c>
      <c r="M21" s="55" t="s">
        <v>202</v>
      </c>
      <c r="N21" s="55" t="s">
        <v>203</v>
      </c>
      <c r="O21" s="55" t="s">
        <v>204</v>
      </c>
      <c r="P21" s="98">
        <v>18693304</v>
      </c>
      <c r="Q21" s="57">
        <v>0</v>
      </c>
      <c r="R21" s="58" t="s">
        <v>65</v>
      </c>
      <c r="S21" s="113">
        <v>42064</v>
      </c>
      <c r="T21" s="95" t="s">
        <v>65</v>
      </c>
      <c r="U21" s="53">
        <v>30</v>
      </c>
      <c r="V21" s="60">
        <v>270000</v>
      </c>
      <c r="W21" s="61">
        <f t="shared" si="0"/>
        <v>270000</v>
      </c>
      <c r="X21" s="61">
        <f t="shared" si="1"/>
        <v>67500</v>
      </c>
      <c r="Y21" s="62">
        <v>0</v>
      </c>
      <c r="Z21" s="62">
        <v>95000</v>
      </c>
      <c r="AA21" s="63">
        <v>1.0962051510495479</v>
      </c>
      <c r="AB21" s="64"/>
      <c r="AC21" s="88"/>
      <c r="AD21" s="61"/>
      <c r="AE21" s="66"/>
      <c r="AF21" s="67">
        <f t="shared" si="2"/>
        <v>432500</v>
      </c>
      <c r="AG21" s="68">
        <f t="shared" si="3"/>
        <v>0</v>
      </c>
      <c r="AH21" s="68">
        <v>60000</v>
      </c>
      <c r="AI21" s="99">
        <v>10000</v>
      </c>
      <c r="AJ21" s="89">
        <v>0</v>
      </c>
      <c r="AK21" s="67">
        <f t="shared" si="4"/>
        <v>502500</v>
      </c>
      <c r="AL21" s="72">
        <f t="shared" si="5"/>
        <v>86500</v>
      </c>
      <c r="AM21" s="74">
        <f t="shared" si="6"/>
        <v>416000</v>
      </c>
      <c r="AN21" s="75">
        <v>6098</v>
      </c>
      <c r="AO21" s="76">
        <v>5579</v>
      </c>
      <c r="AP21" s="77">
        <v>10380</v>
      </c>
      <c r="AQ21" s="78">
        <f t="shared" si="7"/>
        <v>25229.166666666664</v>
      </c>
      <c r="AR21" s="78">
        <f t="shared" si="8"/>
        <v>41875</v>
      </c>
      <c r="AS21" s="76">
        <v>2000</v>
      </c>
      <c r="AT21" s="79">
        <f t="shared" si="9"/>
        <v>526557</v>
      </c>
      <c r="AU21" s="80">
        <f t="shared" si="10"/>
        <v>25490</v>
      </c>
      <c r="AV21" s="79">
        <f t="shared" si="11"/>
        <v>552047</v>
      </c>
    </row>
    <row r="22" spans="1:49" ht="23.25" x14ac:dyDescent="0.25">
      <c r="A22" s="52">
        <v>14</v>
      </c>
      <c r="B22" s="82" t="s">
        <v>125</v>
      </c>
      <c r="C22" s="100" t="s">
        <v>73</v>
      </c>
      <c r="D22" s="84" t="s">
        <v>86</v>
      </c>
      <c r="E22" s="98" t="s">
        <v>126</v>
      </c>
      <c r="F22" s="53" t="s">
        <v>81</v>
      </c>
      <c r="G22" s="53">
        <v>22</v>
      </c>
      <c r="H22" s="52" t="s">
        <v>82</v>
      </c>
      <c r="I22" s="52" t="s">
        <v>58</v>
      </c>
      <c r="J22" s="82" t="s">
        <v>83</v>
      </c>
      <c r="K22" s="54">
        <v>4</v>
      </c>
      <c r="L22" s="100" t="s">
        <v>64</v>
      </c>
      <c r="M22" s="55" t="s">
        <v>202</v>
      </c>
      <c r="N22" s="55" t="s">
        <v>203</v>
      </c>
      <c r="O22" s="55" t="s">
        <v>204</v>
      </c>
      <c r="P22" s="98">
        <v>12491056</v>
      </c>
      <c r="Q22" s="57">
        <v>0</v>
      </c>
      <c r="R22" s="58" t="s">
        <v>65</v>
      </c>
      <c r="S22" s="113">
        <v>42202</v>
      </c>
      <c r="T22" s="95" t="s">
        <v>65</v>
      </c>
      <c r="U22" s="53">
        <v>30</v>
      </c>
      <c r="V22" s="60">
        <v>270000</v>
      </c>
      <c r="W22" s="61">
        <f t="shared" si="0"/>
        <v>270000</v>
      </c>
      <c r="X22" s="61">
        <f t="shared" si="1"/>
        <v>67500</v>
      </c>
      <c r="Y22" s="62">
        <v>0</v>
      </c>
      <c r="Z22" s="62">
        <v>0</v>
      </c>
      <c r="AA22" s="63">
        <v>0.85413406111202528</v>
      </c>
      <c r="AB22" s="64"/>
      <c r="AC22" s="88"/>
      <c r="AD22" s="61"/>
      <c r="AE22" s="66"/>
      <c r="AF22" s="67">
        <f t="shared" si="2"/>
        <v>337500</v>
      </c>
      <c r="AG22" s="68">
        <f t="shared" si="3"/>
        <v>0</v>
      </c>
      <c r="AH22" s="68">
        <v>50000</v>
      </c>
      <c r="AI22" s="70">
        <f t="shared" ref="AI22:AI39" si="12">0/30*U22</f>
        <v>0</v>
      </c>
      <c r="AJ22" s="89">
        <v>0</v>
      </c>
      <c r="AK22" s="67">
        <f t="shared" si="4"/>
        <v>387500</v>
      </c>
      <c r="AL22" s="72">
        <f t="shared" si="5"/>
        <v>67500</v>
      </c>
      <c r="AM22" s="74">
        <f t="shared" si="6"/>
        <v>320000</v>
      </c>
      <c r="AN22" s="75">
        <v>4759</v>
      </c>
      <c r="AO22" s="76">
        <v>4354</v>
      </c>
      <c r="AP22" s="77">
        <v>8100</v>
      </c>
      <c r="AQ22" s="78">
        <f t="shared" si="7"/>
        <v>19687.5</v>
      </c>
      <c r="AR22" s="78">
        <f t="shared" si="8"/>
        <v>32291.666666666668</v>
      </c>
      <c r="AS22" s="76">
        <v>2000</v>
      </c>
      <c r="AT22" s="79">
        <f t="shared" si="9"/>
        <v>406713</v>
      </c>
      <c r="AU22" s="80">
        <f t="shared" si="10"/>
        <v>25490</v>
      </c>
      <c r="AV22" s="79">
        <f t="shared" si="11"/>
        <v>432203</v>
      </c>
    </row>
    <row r="23" spans="1:49" ht="23.25" x14ac:dyDescent="0.25">
      <c r="A23" s="52"/>
      <c r="B23" s="82" t="s">
        <v>127</v>
      </c>
      <c r="C23" s="100" t="s">
        <v>128</v>
      </c>
      <c r="D23" s="84" t="s">
        <v>73</v>
      </c>
      <c r="E23" s="98" t="s">
        <v>129</v>
      </c>
      <c r="F23" s="53" t="s">
        <v>56</v>
      </c>
      <c r="G23" s="53">
        <v>22</v>
      </c>
      <c r="H23" s="52"/>
      <c r="I23" s="52" t="s">
        <v>58</v>
      </c>
      <c r="J23" s="82" t="s">
        <v>83</v>
      </c>
      <c r="K23" s="54">
        <v>4</v>
      </c>
      <c r="L23" s="100" t="s">
        <v>64</v>
      </c>
      <c r="M23" s="55" t="s">
        <v>202</v>
      </c>
      <c r="N23" s="55" t="s">
        <v>203</v>
      </c>
      <c r="O23" s="55" t="s">
        <v>204</v>
      </c>
      <c r="P23" s="98">
        <v>16425399</v>
      </c>
      <c r="Q23" s="57">
        <v>0</v>
      </c>
      <c r="R23" s="58" t="s">
        <v>130</v>
      </c>
      <c r="S23" s="113">
        <v>42845</v>
      </c>
      <c r="T23" s="103" t="s">
        <v>65</v>
      </c>
      <c r="U23" s="53">
        <v>30</v>
      </c>
      <c r="V23" s="60">
        <v>270000</v>
      </c>
      <c r="W23" s="61">
        <f>V23/30*U23</f>
        <v>270000</v>
      </c>
      <c r="X23" s="61">
        <f>IF(W23*25%&gt;$X$8,$X$8,W23*25%)</f>
        <v>67500</v>
      </c>
      <c r="Y23" s="62">
        <v>0</v>
      </c>
      <c r="Z23" s="62">
        <v>120000</v>
      </c>
      <c r="AA23" s="63">
        <v>1.1196431915733445</v>
      </c>
      <c r="AB23" s="64"/>
      <c r="AC23" s="88"/>
      <c r="AD23" s="61"/>
      <c r="AE23" s="66"/>
      <c r="AF23" s="67">
        <f>+W23+X23+Y23+Z23+AB23+AD23+AE23</f>
        <v>457500</v>
      </c>
      <c r="AG23" s="68">
        <f>0/30*U23</f>
        <v>0</v>
      </c>
      <c r="AH23" s="69">
        <v>75000</v>
      </c>
      <c r="AI23" s="99">
        <v>10000</v>
      </c>
      <c r="AJ23" s="89">
        <v>0</v>
      </c>
      <c r="AK23" s="67">
        <f>+AF23+AG23+AH23+AI23+AJ23</f>
        <v>542500</v>
      </c>
      <c r="AL23" s="72">
        <f t="shared" si="5"/>
        <v>91500</v>
      </c>
      <c r="AM23" s="74">
        <f t="shared" si="6"/>
        <v>451000</v>
      </c>
      <c r="AN23" s="75">
        <v>6451</v>
      </c>
      <c r="AO23" s="76">
        <v>5902</v>
      </c>
      <c r="AP23" s="77">
        <v>10980</v>
      </c>
      <c r="AQ23" s="78">
        <f t="shared" si="7"/>
        <v>26687.5</v>
      </c>
      <c r="AR23" s="78">
        <f t="shared" si="8"/>
        <v>45208.333333333336</v>
      </c>
      <c r="AS23" s="76">
        <v>2000</v>
      </c>
      <c r="AT23" s="79">
        <f t="shared" si="9"/>
        <v>567833</v>
      </c>
      <c r="AU23" s="80">
        <f t="shared" si="10"/>
        <v>25490</v>
      </c>
      <c r="AV23" s="79">
        <f>+AT23+AU23</f>
        <v>593323</v>
      </c>
    </row>
    <row r="24" spans="1:49" ht="23.25" x14ac:dyDescent="0.25">
      <c r="A24" s="52"/>
      <c r="B24" s="82" t="s">
        <v>131</v>
      </c>
      <c r="C24" s="100" t="s">
        <v>132</v>
      </c>
      <c r="D24" s="84" t="s">
        <v>133</v>
      </c>
      <c r="E24" s="98" t="s">
        <v>134</v>
      </c>
      <c r="F24" s="53" t="s">
        <v>56</v>
      </c>
      <c r="G24" s="53">
        <v>22</v>
      </c>
      <c r="H24" s="52"/>
      <c r="I24" s="52" t="s">
        <v>58</v>
      </c>
      <c r="J24" s="82" t="s">
        <v>83</v>
      </c>
      <c r="K24" s="54">
        <v>4</v>
      </c>
      <c r="L24" s="104" t="s">
        <v>135</v>
      </c>
      <c r="M24" s="55" t="s">
        <v>202</v>
      </c>
      <c r="N24" s="55" t="s">
        <v>203</v>
      </c>
      <c r="O24" s="55" t="s">
        <v>204</v>
      </c>
      <c r="P24" s="98">
        <v>18706936</v>
      </c>
      <c r="Q24" s="57">
        <v>0</v>
      </c>
      <c r="R24" s="58" t="s">
        <v>130</v>
      </c>
      <c r="S24" s="113">
        <v>42826</v>
      </c>
      <c r="T24" s="103" t="s">
        <v>65</v>
      </c>
      <c r="U24" s="53">
        <v>30</v>
      </c>
      <c r="V24" s="105">
        <v>120000</v>
      </c>
      <c r="W24" s="61">
        <f t="shared" si="0"/>
        <v>120000</v>
      </c>
      <c r="X24" s="61">
        <f t="shared" si="1"/>
        <v>30000</v>
      </c>
      <c r="Y24" s="62">
        <v>0</v>
      </c>
      <c r="Z24" s="62">
        <v>75000</v>
      </c>
      <c r="AA24" s="63">
        <v>1.03</v>
      </c>
      <c r="AB24" s="64"/>
      <c r="AC24" s="88"/>
      <c r="AD24" s="61"/>
      <c r="AE24" s="66"/>
      <c r="AF24" s="67">
        <f t="shared" si="2"/>
        <v>225000</v>
      </c>
      <c r="AG24" s="68">
        <f t="shared" si="3"/>
        <v>0</v>
      </c>
      <c r="AH24" s="69">
        <f>65000/30*U24</f>
        <v>64999.999999999993</v>
      </c>
      <c r="AI24" s="70">
        <f t="shared" si="12"/>
        <v>0</v>
      </c>
      <c r="AJ24" s="89">
        <v>0</v>
      </c>
      <c r="AK24" s="67">
        <f t="shared" si="4"/>
        <v>290000</v>
      </c>
      <c r="AL24" s="72">
        <f t="shared" si="5"/>
        <v>45000</v>
      </c>
      <c r="AM24" s="74">
        <f t="shared" si="6"/>
        <v>245000</v>
      </c>
      <c r="AN24" s="75">
        <v>3173</v>
      </c>
      <c r="AO24" s="76">
        <v>2903</v>
      </c>
      <c r="AP24" s="77">
        <v>5400</v>
      </c>
      <c r="AQ24" s="78">
        <f t="shared" si="7"/>
        <v>13125</v>
      </c>
      <c r="AR24" s="78">
        <f t="shared" si="8"/>
        <v>24166.666666666668</v>
      </c>
      <c r="AS24" s="76">
        <v>2000</v>
      </c>
      <c r="AT24" s="79">
        <f t="shared" si="9"/>
        <v>303476</v>
      </c>
      <c r="AU24" s="80">
        <f t="shared" si="10"/>
        <v>25490</v>
      </c>
      <c r="AV24" s="79">
        <f t="shared" si="11"/>
        <v>328966</v>
      </c>
    </row>
    <row r="25" spans="1:49" ht="23.25" x14ac:dyDescent="0.25">
      <c r="A25" s="52"/>
      <c r="B25" s="82" t="s">
        <v>136</v>
      </c>
      <c r="C25" s="100" t="s">
        <v>137</v>
      </c>
      <c r="D25" s="84" t="s">
        <v>138</v>
      </c>
      <c r="E25" s="98" t="s">
        <v>139</v>
      </c>
      <c r="F25" s="53" t="s">
        <v>56</v>
      </c>
      <c r="G25" s="53">
        <v>22</v>
      </c>
      <c r="H25" s="52"/>
      <c r="I25" s="52" t="s">
        <v>58</v>
      </c>
      <c r="J25" s="82" t="s">
        <v>140</v>
      </c>
      <c r="K25" s="54">
        <v>4</v>
      </c>
      <c r="L25" s="104" t="s">
        <v>135</v>
      </c>
      <c r="M25" s="55" t="s">
        <v>202</v>
      </c>
      <c r="N25" s="55" t="s">
        <v>203</v>
      </c>
      <c r="O25" s="55" t="s">
        <v>204</v>
      </c>
      <c r="P25" s="98">
        <v>11721074</v>
      </c>
      <c r="Q25" s="57">
        <v>0</v>
      </c>
      <c r="R25" s="58" t="s">
        <v>130</v>
      </c>
      <c r="S25" s="113">
        <v>42832</v>
      </c>
      <c r="T25" s="103" t="s">
        <v>65</v>
      </c>
      <c r="U25" s="53">
        <v>30</v>
      </c>
      <c r="V25" s="105">
        <v>120000</v>
      </c>
      <c r="W25" s="61">
        <f>V25/30*U25</f>
        <v>120000</v>
      </c>
      <c r="X25" s="61">
        <f>IF(W25*25%&gt;$X$8,$X$8,W25*25%)</f>
        <v>30000</v>
      </c>
      <c r="Y25" s="62">
        <v>0</v>
      </c>
      <c r="Z25" s="62">
        <v>59000</v>
      </c>
      <c r="AA25" s="63">
        <v>0.97441900361032219</v>
      </c>
      <c r="AB25" s="64"/>
      <c r="AC25" s="88"/>
      <c r="AD25" s="61"/>
      <c r="AE25" s="66"/>
      <c r="AF25" s="67">
        <f>+W25+X25+Y25+Z25+AB25+AD25+AE25</f>
        <v>209000</v>
      </c>
      <c r="AG25" s="68">
        <f>0/30*U25</f>
        <v>0</v>
      </c>
      <c r="AH25" s="69">
        <f>56000/30*U25</f>
        <v>56000</v>
      </c>
      <c r="AI25" s="70">
        <f>0/30*U25</f>
        <v>0</v>
      </c>
      <c r="AJ25" s="89">
        <v>0</v>
      </c>
      <c r="AK25" s="67">
        <f>+AF25+AG25+AH25+AI25+AJ25</f>
        <v>265000</v>
      </c>
      <c r="AL25" s="72">
        <f t="shared" si="5"/>
        <v>41800</v>
      </c>
      <c r="AM25" s="74">
        <f t="shared" si="6"/>
        <v>223200</v>
      </c>
      <c r="AN25" s="75">
        <v>2947</v>
      </c>
      <c r="AO25" s="76">
        <v>2696</v>
      </c>
      <c r="AP25" s="77">
        <v>5016</v>
      </c>
      <c r="AQ25" s="78">
        <f t="shared" si="7"/>
        <v>12191.666666666668</v>
      </c>
      <c r="AR25" s="78">
        <f t="shared" si="8"/>
        <v>22083.333333333332</v>
      </c>
      <c r="AS25" s="76">
        <v>2000</v>
      </c>
      <c r="AT25" s="79">
        <f t="shared" si="9"/>
        <v>277659</v>
      </c>
      <c r="AU25" s="80">
        <f t="shared" si="10"/>
        <v>25490</v>
      </c>
      <c r="AV25" s="79">
        <f>+AT25+AU25</f>
        <v>303149</v>
      </c>
    </row>
    <row r="26" spans="1:49" ht="23.25" x14ac:dyDescent="0.25">
      <c r="A26" s="52">
        <v>15</v>
      </c>
      <c r="B26" s="82" t="s">
        <v>141</v>
      </c>
      <c r="C26" s="100" t="s">
        <v>142</v>
      </c>
      <c r="D26" s="84" t="s">
        <v>143</v>
      </c>
      <c r="E26" s="98" t="s">
        <v>144</v>
      </c>
      <c r="F26" s="53" t="s">
        <v>56</v>
      </c>
      <c r="G26" s="53">
        <v>22</v>
      </c>
      <c r="H26" s="52" t="s">
        <v>57</v>
      </c>
      <c r="I26" s="52" t="s">
        <v>58</v>
      </c>
      <c r="J26" s="91" t="s">
        <v>107</v>
      </c>
      <c r="K26" s="54">
        <v>4</v>
      </c>
      <c r="L26" s="100" t="s">
        <v>64</v>
      </c>
      <c r="M26" s="55" t="s">
        <v>202</v>
      </c>
      <c r="N26" s="55" t="s">
        <v>203</v>
      </c>
      <c r="O26" s="55" t="s">
        <v>204</v>
      </c>
      <c r="P26" s="98">
        <v>11239769</v>
      </c>
      <c r="Q26" s="57">
        <v>3</v>
      </c>
      <c r="R26" s="58" t="s">
        <v>65</v>
      </c>
      <c r="S26" s="113">
        <v>42217</v>
      </c>
      <c r="T26" s="58" t="s">
        <v>65</v>
      </c>
      <c r="U26" s="102">
        <v>23</v>
      </c>
      <c r="V26" s="60">
        <v>270000</v>
      </c>
      <c r="W26" s="61">
        <f t="shared" si="0"/>
        <v>207000</v>
      </c>
      <c r="X26" s="61">
        <f t="shared" si="1"/>
        <v>51750</v>
      </c>
      <c r="Y26" s="62">
        <v>0</v>
      </c>
      <c r="Z26" s="62">
        <v>63250</v>
      </c>
      <c r="AA26" s="63">
        <v>0.99739254562026081</v>
      </c>
      <c r="AB26" s="64"/>
      <c r="AC26" s="65"/>
      <c r="AD26" s="61"/>
      <c r="AE26" s="66"/>
      <c r="AF26" s="67">
        <f t="shared" si="2"/>
        <v>322000</v>
      </c>
      <c r="AG26" s="68">
        <f t="shared" si="3"/>
        <v>0</v>
      </c>
      <c r="AH26" s="69">
        <v>69000</v>
      </c>
      <c r="AI26" s="70"/>
      <c r="AJ26" s="89">
        <v>0</v>
      </c>
      <c r="AK26" s="67">
        <f t="shared" si="4"/>
        <v>391000</v>
      </c>
      <c r="AL26" s="106">
        <f t="shared" si="5"/>
        <v>64400</v>
      </c>
      <c r="AM26" s="107">
        <f t="shared" si="6"/>
        <v>326600</v>
      </c>
      <c r="AN26" s="75">
        <v>6021</v>
      </c>
      <c r="AO26" s="76">
        <v>4154</v>
      </c>
      <c r="AP26" s="77">
        <v>10248</v>
      </c>
      <c r="AQ26" s="78">
        <f t="shared" si="7"/>
        <v>18783.333333333336</v>
      </c>
      <c r="AR26" s="78">
        <f t="shared" si="8"/>
        <v>32583.333333333332</v>
      </c>
      <c r="AS26" s="76">
        <v>2000</v>
      </c>
      <c r="AT26" s="79">
        <f t="shared" si="9"/>
        <v>413423</v>
      </c>
      <c r="AU26" s="80">
        <f t="shared" si="10"/>
        <v>25490</v>
      </c>
      <c r="AV26" s="79">
        <f t="shared" si="11"/>
        <v>438913</v>
      </c>
    </row>
    <row r="27" spans="1:49" ht="23.25" x14ac:dyDescent="0.25">
      <c r="A27" s="52">
        <v>16</v>
      </c>
      <c r="B27" s="82" t="s">
        <v>145</v>
      </c>
      <c r="C27" s="104" t="s">
        <v>146</v>
      </c>
      <c r="D27" s="84" t="s">
        <v>147</v>
      </c>
      <c r="E27" s="108" t="s">
        <v>148</v>
      </c>
      <c r="F27" s="53" t="s">
        <v>56</v>
      </c>
      <c r="G27" s="53">
        <v>22</v>
      </c>
      <c r="H27" s="52" t="s">
        <v>66</v>
      </c>
      <c r="I27" s="52" t="s">
        <v>58</v>
      </c>
      <c r="J27" s="82" t="s">
        <v>149</v>
      </c>
      <c r="K27" s="54">
        <v>4</v>
      </c>
      <c r="L27" s="104" t="s">
        <v>135</v>
      </c>
      <c r="M27" s="55" t="s">
        <v>202</v>
      </c>
      <c r="N27" s="55" t="s">
        <v>203</v>
      </c>
      <c r="O27" s="55" t="s">
        <v>204</v>
      </c>
      <c r="P27" s="108">
        <v>14319897</v>
      </c>
      <c r="Q27" s="109">
        <v>0</v>
      </c>
      <c r="R27" s="95" t="s">
        <v>65</v>
      </c>
      <c r="S27" s="113">
        <v>42248</v>
      </c>
      <c r="T27" s="58" t="s">
        <v>65</v>
      </c>
      <c r="U27" s="52">
        <v>30</v>
      </c>
      <c r="V27" s="105">
        <v>120000</v>
      </c>
      <c r="W27" s="61">
        <f t="shared" si="0"/>
        <v>120000</v>
      </c>
      <c r="X27" s="61">
        <f t="shared" si="1"/>
        <v>30000</v>
      </c>
      <c r="Y27" s="62">
        <v>0</v>
      </c>
      <c r="Z27" s="62">
        <v>21000</v>
      </c>
      <c r="AA27" s="63">
        <v>0.81159970691417405</v>
      </c>
      <c r="AB27" s="64"/>
      <c r="AC27" s="88"/>
      <c r="AD27" s="61"/>
      <c r="AE27" s="66"/>
      <c r="AF27" s="67">
        <f t="shared" si="2"/>
        <v>171000</v>
      </c>
      <c r="AG27" s="68">
        <f t="shared" si="3"/>
        <v>0</v>
      </c>
      <c r="AH27" s="69">
        <v>56000</v>
      </c>
      <c r="AI27" s="70">
        <f t="shared" si="12"/>
        <v>0</v>
      </c>
      <c r="AJ27" s="89">
        <v>0</v>
      </c>
      <c r="AK27" s="67">
        <f t="shared" si="4"/>
        <v>227000</v>
      </c>
      <c r="AL27" s="72">
        <f t="shared" si="5"/>
        <v>34200</v>
      </c>
      <c r="AM27" s="74">
        <f t="shared" si="6"/>
        <v>192800</v>
      </c>
      <c r="AN27" s="75">
        <v>2411</v>
      </c>
      <c r="AO27" s="76">
        <v>2206</v>
      </c>
      <c r="AP27" s="77">
        <v>4104</v>
      </c>
      <c r="AQ27" s="78">
        <f t="shared" si="7"/>
        <v>9975</v>
      </c>
      <c r="AR27" s="78">
        <f t="shared" si="8"/>
        <v>18916.666666666668</v>
      </c>
      <c r="AS27" s="76">
        <v>2000</v>
      </c>
      <c r="AT27" s="79">
        <f t="shared" si="9"/>
        <v>237721</v>
      </c>
      <c r="AU27" s="80">
        <f t="shared" si="10"/>
        <v>25490</v>
      </c>
      <c r="AV27" s="79">
        <f t="shared" si="11"/>
        <v>263211</v>
      </c>
    </row>
    <row r="28" spans="1:49" ht="23.25" x14ac:dyDescent="0.25">
      <c r="A28" s="52">
        <v>17</v>
      </c>
      <c r="B28" s="82" t="s">
        <v>150</v>
      </c>
      <c r="C28" s="104" t="s">
        <v>151</v>
      </c>
      <c r="D28" s="84" t="s">
        <v>152</v>
      </c>
      <c r="E28" s="108" t="s">
        <v>153</v>
      </c>
      <c r="F28" s="53" t="s">
        <v>56</v>
      </c>
      <c r="G28" s="53">
        <v>22</v>
      </c>
      <c r="H28" s="52" t="s">
        <v>66</v>
      </c>
      <c r="I28" s="52" t="s">
        <v>58</v>
      </c>
      <c r="J28" s="82" t="s">
        <v>154</v>
      </c>
      <c r="K28" s="54">
        <v>4</v>
      </c>
      <c r="L28" s="104" t="s">
        <v>135</v>
      </c>
      <c r="M28" s="55" t="s">
        <v>202</v>
      </c>
      <c r="N28" s="55" t="s">
        <v>203</v>
      </c>
      <c r="O28" s="55" t="s">
        <v>204</v>
      </c>
      <c r="P28" s="108">
        <v>14278973</v>
      </c>
      <c r="Q28" s="109">
        <v>0</v>
      </c>
      <c r="R28" s="95" t="s">
        <v>65</v>
      </c>
      <c r="S28" s="113">
        <v>42254</v>
      </c>
      <c r="T28" s="58" t="s">
        <v>65</v>
      </c>
      <c r="U28" s="110">
        <v>23</v>
      </c>
      <c r="V28" s="105">
        <v>120000</v>
      </c>
      <c r="W28" s="61">
        <f t="shared" si="0"/>
        <v>92000</v>
      </c>
      <c r="X28" s="61">
        <f t="shared" si="1"/>
        <v>23000</v>
      </c>
      <c r="Y28" s="62">
        <v>0</v>
      </c>
      <c r="Z28" s="62">
        <v>120000</v>
      </c>
      <c r="AA28" s="63">
        <v>1.1196431915733445</v>
      </c>
      <c r="AB28" s="64"/>
      <c r="AC28" s="88"/>
      <c r="AD28" s="61"/>
      <c r="AE28" s="66"/>
      <c r="AF28" s="67">
        <f t="shared" si="2"/>
        <v>235000</v>
      </c>
      <c r="AG28" s="68">
        <f t="shared" si="3"/>
        <v>0</v>
      </c>
      <c r="AH28" s="68">
        <f>57000/30*U28</f>
        <v>43700</v>
      </c>
      <c r="AI28" s="70">
        <f t="shared" si="12"/>
        <v>0</v>
      </c>
      <c r="AJ28" s="89">
        <v>0</v>
      </c>
      <c r="AK28" s="67">
        <f t="shared" si="4"/>
        <v>278700</v>
      </c>
      <c r="AL28" s="72">
        <f t="shared" si="5"/>
        <v>47000</v>
      </c>
      <c r="AM28" s="74">
        <f t="shared" si="6"/>
        <v>231700</v>
      </c>
      <c r="AN28" s="75">
        <v>4102</v>
      </c>
      <c r="AO28" s="76">
        <v>3032</v>
      </c>
      <c r="AP28" s="77">
        <v>6983</v>
      </c>
      <c r="AQ28" s="78">
        <f t="shared" si="7"/>
        <v>13708.333333333332</v>
      </c>
      <c r="AR28" s="78">
        <f t="shared" si="8"/>
        <v>23225</v>
      </c>
      <c r="AS28" s="76">
        <v>2000</v>
      </c>
      <c r="AT28" s="79">
        <f t="shared" si="9"/>
        <v>294817</v>
      </c>
      <c r="AU28" s="80">
        <f t="shared" si="10"/>
        <v>25490</v>
      </c>
      <c r="AV28" s="79">
        <f t="shared" si="11"/>
        <v>320307</v>
      </c>
    </row>
    <row r="29" spans="1:49" ht="23.25" x14ac:dyDescent="0.25">
      <c r="A29" s="52"/>
      <c r="B29" s="82" t="s">
        <v>155</v>
      </c>
      <c r="C29" s="104" t="s">
        <v>156</v>
      </c>
      <c r="D29" s="84" t="s">
        <v>157</v>
      </c>
      <c r="E29" s="84" t="s">
        <v>158</v>
      </c>
      <c r="F29" s="53" t="s">
        <v>56</v>
      </c>
      <c r="G29" s="53">
        <v>22</v>
      </c>
      <c r="H29" s="52" t="s">
        <v>97</v>
      </c>
      <c r="I29" s="52" t="s">
        <v>58</v>
      </c>
      <c r="J29" s="82" t="s">
        <v>76</v>
      </c>
      <c r="K29" s="54">
        <v>4</v>
      </c>
      <c r="L29" s="104" t="s">
        <v>64</v>
      </c>
      <c r="M29" s="55" t="s">
        <v>202</v>
      </c>
      <c r="N29" s="55" t="s">
        <v>203</v>
      </c>
      <c r="O29" s="55" t="s">
        <v>204</v>
      </c>
      <c r="P29" s="84">
        <v>12823424</v>
      </c>
      <c r="Q29" s="57">
        <v>0</v>
      </c>
      <c r="R29" s="58" t="s">
        <v>130</v>
      </c>
      <c r="S29" s="113">
        <v>42786</v>
      </c>
      <c r="T29" s="58" t="s">
        <v>65</v>
      </c>
      <c r="U29" s="53">
        <v>30</v>
      </c>
      <c r="V29" s="60">
        <v>270000</v>
      </c>
      <c r="W29" s="61">
        <f t="shared" si="0"/>
        <v>270000</v>
      </c>
      <c r="X29" s="61">
        <f t="shared" si="1"/>
        <v>67500</v>
      </c>
      <c r="Y29" s="62">
        <v>0</v>
      </c>
      <c r="Z29" s="62">
        <v>26250</v>
      </c>
      <c r="AA29" s="63">
        <v>0.92492712831684543</v>
      </c>
      <c r="AB29" s="64"/>
      <c r="AC29" s="88"/>
      <c r="AD29" s="61"/>
      <c r="AE29" s="66"/>
      <c r="AF29" s="67">
        <f t="shared" si="2"/>
        <v>363750</v>
      </c>
      <c r="AG29" s="68">
        <f t="shared" si="3"/>
        <v>0</v>
      </c>
      <c r="AH29" s="69">
        <f>70000/30*U29</f>
        <v>70000</v>
      </c>
      <c r="AI29" s="70">
        <v>0</v>
      </c>
      <c r="AJ29" s="89">
        <v>0</v>
      </c>
      <c r="AK29" s="67">
        <f t="shared" si="4"/>
        <v>433750</v>
      </c>
      <c r="AL29" s="72">
        <f t="shared" si="5"/>
        <v>72750</v>
      </c>
      <c r="AM29" s="74">
        <f t="shared" si="6"/>
        <v>361000</v>
      </c>
      <c r="AN29" s="75">
        <v>5129</v>
      </c>
      <c r="AO29" s="76">
        <v>4692</v>
      </c>
      <c r="AP29" s="77">
        <v>8730</v>
      </c>
      <c r="AQ29" s="78">
        <f t="shared" si="7"/>
        <v>21218.75</v>
      </c>
      <c r="AR29" s="78">
        <f t="shared" si="8"/>
        <v>36145.833333333336</v>
      </c>
      <c r="AS29" s="76">
        <v>2000</v>
      </c>
      <c r="AT29" s="79">
        <f t="shared" si="9"/>
        <v>454301</v>
      </c>
      <c r="AU29" s="80">
        <f t="shared" si="10"/>
        <v>25490</v>
      </c>
      <c r="AV29" s="79">
        <f>+AT29+AU29</f>
        <v>479791</v>
      </c>
    </row>
    <row r="30" spans="1:49" ht="23.25" x14ac:dyDescent="0.25">
      <c r="A30" s="52"/>
      <c r="B30" s="82" t="s">
        <v>159</v>
      </c>
      <c r="C30" s="104" t="s">
        <v>160</v>
      </c>
      <c r="D30" s="84" t="s">
        <v>161</v>
      </c>
      <c r="E30" s="84" t="s">
        <v>162</v>
      </c>
      <c r="F30" s="53" t="s">
        <v>56</v>
      </c>
      <c r="G30" s="53">
        <v>22</v>
      </c>
      <c r="H30" s="52" t="s">
        <v>97</v>
      </c>
      <c r="I30" s="52" t="s">
        <v>58</v>
      </c>
      <c r="J30" s="82" t="s">
        <v>163</v>
      </c>
      <c r="K30" s="54">
        <v>4</v>
      </c>
      <c r="L30" s="104" t="s">
        <v>64</v>
      </c>
      <c r="M30" s="55" t="s">
        <v>202</v>
      </c>
      <c r="N30" s="55" t="s">
        <v>203</v>
      </c>
      <c r="O30" s="55" t="s">
        <v>204</v>
      </c>
      <c r="P30" s="84">
        <v>16725711</v>
      </c>
      <c r="Q30" s="57">
        <v>7</v>
      </c>
      <c r="R30" s="58" t="s">
        <v>130</v>
      </c>
      <c r="S30" s="113">
        <v>42963</v>
      </c>
      <c r="T30" s="59">
        <v>42979</v>
      </c>
      <c r="U30" s="53">
        <v>16</v>
      </c>
      <c r="V30" s="60">
        <v>270000</v>
      </c>
      <c r="W30" s="61">
        <f>V30/30*U30</f>
        <v>144000</v>
      </c>
      <c r="X30" s="61">
        <f>IF(W30*25%&gt;$X$8,$X$8,W30*25%)</f>
        <v>36000</v>
      </c>
      <c r="Y30" s="62"/>
      <c r="Z30" s="62"/>
      <c r="AA30" s="63"/>
      <c r="AB30" s="64"/>
      <c r="AC30" s="88"/>
      <c r="AD30" s="61"/>
      <c r="AE30" s="66"/>
      <c r="AF30" s="67">
        <f>+W30+X30+Y30+Z30+AB30+AD30+AE30</f>
        <v>180000</v>
      </c>
      <c r="AG30" s="68">
        <f>0/30*U30</f>
        <v>0</v>
      </c>
      <c r="AH30" s="68">
        <f>82000/30*U30</f>
        <v>43733.333333333336</v>
      </c>
      <c r="AI30" s="70">
        <v>0</v>
      </c>
      <c r="AJ30" s="89">
        <v>0</v>
      </c>
      <c r="AK30" s="67">
        <f>+AF30+AG30+AH30+AI30+AJ30</f>
        <v>223733.33333333334</v>
      </c>
      <c r="AL30" s="72">
        <f t="shared" si="5"/>
        <v>36000</v>
      </c>
      <c r="AM30" s="74">
        <f t="shared" si="6"/>
        <v>187733.33333333334</v>
      </c>
      <c r="AN30" s="75">
        <v>2538</v>
      </c>
      <c r="AO30" s="76">
        <v>2322</v>
      </c>
      <c r="AP30" s="77">
        <v>5400</v>
      </c>
      <c r="AQ30" s="78">
        <f t="shared" si="7"/>
        <v>10500</v>
      </c>
      <c r="AR30" s="78">
        <f t="shared" si="8"/>
        <v>18644.444444444445</v>
      </c>
      <c r="AS30" s="76">
        <v>2000</v>
      </c>
      <c r="AT30" s="79">
        <f t="shared" si="9"/>
        <v>235993.33333333334</v>
      </c>
      <c r="AU30" s="80">
        <f t="shared" si="10"/>
        <v>25490</v>
      </c>
      <c r="AV30" s="79">
        <f>+AT30+AU30</f>
        <v>261483.33333333334</v>
      </c>
    </row>
    <row r="31" spans="1:49" x14ac:dyDescent="0.25">
      <c r="A31" s="52">
        <v>19</v>
      </c>
      <c r="B31" s="82" t="s">
        <v>164</v>
      </c>
      <c r="C31" s="92" t="s">
        <v>165</v>
      </c>
      <c r="D31" s="84" t="s">
        <v>62</v>
      </c>
      <c r="E31" s="84" t="s">
        <v>166</v>
      </c>
      <c r="F31" s="53" t="s">
        <v>56</v>
      </c>
      <c r="G31" s="53">
        <v>22</v>
      </c>
      <c r="H31" s="52" t="s">
        <v>97</v>
      </c>
      <c r="I31" s="52" t="s">
        <v>58</v>
      </c>
      <c r="J31" s="82" t="s">
        <v>163</v>
      </c>
      <c r="K31" s="54">
        <v>4</v>
      </c>
      <c r="L31" s="92" t="s">
        <v>64</v>
      </c>
      <c r="M31" s="55" t="s">
        <v>202</v>
      </c>
      <c r="N31" s="55" t="s">
        <v>203</v>
      </c>
      <c r="O31" s="55" t="s">
        <v>204</v>
      </c>
      <c r="P31" s="84">
        <v>14345426</v>
      </c>
      <c r="Q31" s="57">
        <v>0</v>
      </c>
      <c r="R31" s="58" t="s">
        <v>65</v>
      </c>
      <c r="S31" s="113">
        <v>42417</v>
      </c>
      <c r="T31" s="95" t="s">
        <v>65</v>
      </c>
      <c r="U31" s="53">
        <v>30</v>
      </c>
      <c r="V31" s="60">
        <v>270000</v>
      </c>
      <c r="W31" s="61">
        <f t="shared" si="0"/>
        <v>270000</v>
      </c>
      <c r="X31" s="61">
        <f t="shared" si="1"/>
        <v>67500</v>
      </c>
      <c r="Y31" s="62">
        <v>0</v>
      </c>
      <c r="Z31" s="62">
        <v>33250</v>
      </c>
      <c r="AA31" s="63">
        <v>0.9206519801137536</v>
      </c>
      <c r="AB31" s="64"/>
      <c r="AC31" s="88"/>
      <c r="AD31" s="61"/>
      <c r="AE31" s="66"/>
      <c r="AF31" s="67">
        <f t="shared" si="2"/>
        <v>370750</v>
      </c>
      <c r="AG31" s="68">
        <f t="shared" si="3"/>
        <v>0</v>
      </c>
      <c r="AH31" s="68">
        <f>82000/30*U31</f>
        <v>82000</v>
      </c>
      <c r="AI31" s="70">
        <f t="shared" si="12"/>
        <v>0</v>
      </c>
      <c r="AJ31" s="89">
        <v>0</v>
      </c>
      <c r="AK31" s="67">
        <f t="shared" si="4"/>
        <v>452750</v>
      </c>
      <c r="AL31" s="72">
        <f t="shared" si="5"/>
        <v>74150</v>
      </c>
      <c r="AM31" s="74">
        <f t="shared" si="6"/>
        <v>378600</v>
      </c>
      <c r="AN31" s="75">
        <v>5228</v>
      </c>
      <c r="AO31" s="76">
        <v>4783</v>
      </c>
      <c r="AP31" s="77">
        <v>8898</v>
      </c>
      <c r="AQ31" s="78">
        <f t="shared" si="7"/>
        <v>21627.083333333336</v>
      </c>
      <c r="AR31" s="78">
        <f t="shared" si="8"/>
        <v>37729.166666666664</v>
      </c>
      <c r="AS31" s="76">
        <v>2000</v>
      </c>
      <c r="AT31" s="79">
        <f t="shared" si="9"/>
        <v>473659</v>
      </c>
      <c r="AU31" s="80">
        <f t="shared" si="10"/>
        <v>25490</v>
      </c>
      <c r="AV31" s="79">
        <f t="shared" ref="AV31:AV39" si="13">+AT31+AU31</f>
        <v>499149</v>
      </c>
    </row>
    <row r="32" spans="1:49" x14ac:dyDescent="0.25">
      <c r="A32" s="52">
        <v>20</v>
      </c>
      <c r="B32" s="82" t="s">
        <v>167</v>
      </c>
      <c r="C32" s="92" t="s">
        <v>168</v>
      </c>
      <c r="D32" s="84" t="s">
        <v>169</v>
      </c>
      <c r="E32" s="84" t="s">
        <v>170</v>
      </c>
      <c r="F32" s="53" t="s">
        <v>112</v>
      </c>
      <c r="G32" s="53">
        <v>22</v>
      </c>
      <c r="H32" s="52" t="s">
        <v>66</v>
      </c>
      <c r="I32" s="52" t="s">
        <v>58</v>
      </c>
      <c r="J32" s="82" t="s">
        <v>83</v>
      </c>
      <c r="K32" s="54">
        <v>4</v>
      </c>
      <c r="L32" s="92" t="s">
        <v>64</v>
      </c>
      <c r="M32" s="55" t="s">
        <v>202</v>
      </c>
      <c r="N32" s="55" t="s">
        <v>203</v>
      </c>
      <c r="O32" s="55" t="s">
        <v>204</v>
      </c>
      <c r="P32" s="84">
        <v>11484462</v>
      </c>
      <c r="Q32" s="57">
        <v>9</v>
      </c>
      <c r="R32" s="58" t="s">
        <v>65</v>
      </c>
      <c r="S32" s="113">
        <v>42430</v>
      </c>
      <c r="T32" s="95" t="s">
        <v>65</v>
      </c>
      <c r="U32" s="53">
        <v>30</v>
      </c>
      <c r="V32" s="60">
        <v>270000</v>
      </c>
      <c r="W32" s="61">
        <f t="shared" si="0"/>
        <v>270000</v>
      </c>
      <c r="X32" s="61">
        <f t="shared" si="1"/>
        <v>67500</v>
      </c>
      <c r="Y32" s="62">
        <v>0</v>
      </c>
      <c r="Z32" s="62">
        <v>75000</v>
      </c>
      <c r="AA32" s="63">
        <v>1.0317656845487637</v>
      </c>
      <c r="AB32" s="64"/>
      <c r="AC32" s="88"/>
      <c r="AD32" s="61"/>
      <c r="AE32" s="66"/>
      <c r="AF32" s="67">
        <f t="shared" si="2"/>
        <v>412500</v>
      </c>
      <c r="AG32" s="68">
        <f t="shared" si="3"/>
        <v>0</v>
      </c>
      <c r="AH32" s="68">
        <f>75000/30*U32</f>
        <v>75000</v>
      </c>
      <c r="AI32" s="70">
        <f t="shared" si="12"/>
        <v>0</v>
      </c>
      <c r="AJ32" s="89">
        <v>0</v>
      </c>
      <c r="AK32" s="67">
        <f t="shared" si="4"/>
        <v>487500</v>
      </c>
      <c r="AL32" s="72">
        <f t="shared" si="5"/>
        <v>82500</v>
      </c>
      <c r="AM32" s="74">
        <f t="shared" si="6"/>
        <v>405000</v>
      </c>
      <c r="AN32" s="75">
        <v>5816</v>
      </c>
      <c r="AO32" s="76">
        <v>5321</v>
      </c>
      <c r="AP32" s="77">
        <v>9900</v>
      </c>
      <c r="AQ32" s="78">
        <f t="shared" si="7"/>
        <v>24062.5</v>
      </c>
      <c r="AR32" s="78">
        <f t="shared" si="8"/>
        <v>40625</v>
      </c>
      <c r="AS32" s="76">
        <v>2000</v>
      </c>
      <c r="AT32" s="79">
        <f t="shared" si="9"/>
        <v>510537</v>
      </c>
      <c r="AU32" s="80">
        <f t="shared" si="10"/>
        <v>25490</v>
      </c>
      <c r="AV32" s="79">
        <f t="shared" si="13"/>
        <v>536027</v>
      </c>
    </row>
    <row r="33" spans="1:48" x14ac:dyDescent="0.25">
      <c r="A33" s="52">
        <v>21</v>
      </c>
      <c r="B33" s="82" t="s">
        <v>171</v>
      </c>
      <c r="C33" s="92" t="s">
        <v>172</v>
      </c>
      <c r="D33" s="84" t="s">
        <v>173</v>
      </c>
      <c r="E33" s="84" t="s">
        <v>174</v>
      </c>
      <c r="F33" s="53" t="s">
        <v>81</v>
      </c>
      <c r="G33" s="53">
        <v>22</v>
      </c>
      <c r="H33" s="52" t="s">
        <v>82</v>
      </c>
      <c r="I33" s="52" t="s">
        <v>58</v>
      </c>
      <c r="J33" s="82" t="s">
        <v>83</v>
      </c>
      <c r="K33" s="54">
        <v>4</v>
      </c>
      <c r="L33" s="92" t="s">
        <v>64</v>
      </c>
      <c r="M33" s="55" t="s">
        <v>202</v>
      </c>
      <c r="N33" s="55" t="s">
        <v>203</v>
      </c>
      <c r="O33" s="55" t="s">
        <v>204</v>
      </c>
      <c r="P33" s="84">
        <v>17251162</v>
      </c>
      <c r="Q33" s="57">
        <v>0</v>
      </c>
      <c r="R33" s="58" t="s">
        <v>65</v>
      </c>
      <c r="S33" s="113">
        <v>42446</v>
      </c>
      <c r="T33" s="95" t="s">
        <v>65</v>
      </c>
      <c r="U33" s="53">
        <v>30</v>
      </c>
      <c r="V33" s="60">
        <v>270000</v>
      </c>
      <c r="W33" s="61">
        <f t="shared" si="0"/>
        <v>270000</v>
      </c>
      <c r="X33" s="61">
        <f t="shared" si="1"/>
        <v>67500</v>
      </c>
      <c r="Y33" s="62">
        <v>0</v>
      </c>
      <c r="Z33" s="62">
        <v>0</v>
      </c>
      <c r="AA33" s="63">
        <v>0.73042582439177839</v>
      </c>
      <c r="AB33" s="64"/>
      <c r="AC33" s="88"/>
      <c r="AD33" s="61"/>
      <c r="AE33" s="66"/>
      <c r="AF33" s="67">
        <f t="shared" si="2"/>
        <v>337500</v>
      </c>
      <c r="AG33" s="68">
        <f t="shared" si="3"/>
        <v>0</v>
      </c>
      <c r="AH33" s="68">
        <f>55000/30*U33</f>
        <v>55000</v>
      </c>
      <c r="AI33" s="70">
        <f t="shared" si="12"/>
        <v>0</v>
      </c>
      <c r="AJ33" s="89">
        <v>0</v>
      </c>
      <c r="AK33" s="67">
        <f t="shared" si="4"/>
        <v>392500</v>
      </c>
      <c r="AL33" s="72">
        <f t="shared" si="5"/>
        <v>67500</v>
      </c>
      <c r="AM33" s="74">
        <f t="shared" si="6"/>
        <v>325000</v>
      </c>
      <c r="AN33" s="75">
        <v>4759</v>
      </c>
      <c r="AO33" s="76">
        <v>4354</v>
      </c>
      <c r="AP33" s="77">
        <v>8100</v>
      </c>
      <c r="AQ33" s="78">
        <f t="shared" si="7"/>
        <v>19687.5</v>
      </c>
      <c r="AR33" s="78">
        <f t="shared" si="8"/>
        <v>32708.333333333332</v>
      </c>
      <c r="AS33" s="76">
        <v>2000</v>
      </c>
      <c r="AT33" s="79">
        <f t="shared" si="9"/>
        <v>411713</v>
      </c>
      <c r="AU33" s="80">
        <f t="shared" si="10"/>
        <v>25490</v>
      </c>
      <c r="AV33" s="79">
        <f t="shared" si="13"/>
        <v>437203</v>
      </c>
    </row>
    <row r="34" spans="1:48" x14ac:dyDescent="0.25">
      <c r="A34" s="52">
        <v>22</v>
      </c>
      <c r="B34" s="82" t="s">
        <v>175</v>
      </c>
      <c r="C34" s="92" t="s">
        <v>176</v>
      </c>
      <c r="D34" s="84" t="s">
        <v>85</v>
      </c>
      <c r="E34" s="84" t="s">
        <v>177</v>
      </c>
      <c r="F34" s="53" t="s">
        <v>56</v>
      </c>
      <c r="G34" s="53">
        <v>22</v>
      </c>
      <c r="H34" s="52" t="s">
        <v>57</v>
      </c>
      <c r="I34" s="52" t="s">
        <v>58</v>
      </c>
      <c r="J34" s="82" t="s">
        <v>178</v>
      </c>
      <c r="K34" s="54">
        <v>4</v>
      </c>
      <c r="L34" s="92" t="s">
        <v>64</v>
      </c>
      <c r="M34" s="55" t="s">
        <v>202</v>
      </c>
      <c r="N34" s="55" t="s">
        <v>203</v>
      </c>
      <c r="O34" s="55" t="s">
        <v>204</v>
      </c>
      <c r="P34" s="84">
        <v>14028577</v>
      </c>
      <c r="Q34" s="57">
        <v>0</v>
      </c>
      <c r="R34" s="111" t="s">
        <v>65</v>
      </c>
      <c r="S34" s="113">
        <v>42501</v>
      </c>
      <c r="T34" s="95" t="s">
        <v>65</v>
      </c>
      <c r="U34" s="53">
        <v>30</v>
      </c>
      <c r="V34" s="60">
        <v>270000</v>
      </c>
      <c r="W34" s="61">
        <f t="shared" si="0"/>
        <v>270000</v>
      </c>
      <c r="X34" s="61">
        <f t="shared" si="1"/>
        <v>67500</v>
      </c>
      <c r="Y34" s="62">
        <v>0</v>
      </c>
      <c r="Z34" s="62">
        <v>45000</v>
      </c>
      <c r="AA34" s="63">
        <v>0.90980158432506142</v>
      </c>
      <c r="AB34" s="64"/>
      <c r="AC34" s="88"/>
      <c r="AD34" s="61"/>
      <c r="AE34" s="66"/>
      <c r="AF34" s="67">
        <f t="shared" si="2"/>
        <v>382500</v>
      </c>
      <c r="AG34" s="68">
        <f t="shared" si="3"/>
        <v>0</v>
      </c>
      <c r="AH34" s="68">
        <f>111600/30*U34</f>
        <v>111600</v>
      </c>
      <c r="AI34" s="70">
        <f t="shared" si="12"/>
        <v>0</v>
      </c>
      <c r="AJ34" s="89">
        <v>0</v>
      </c>
      <c r="AK34" s="67">
        <f t="shared" si="4"/>
        <v>494100</v>
      </c>
      <c r="AL34" s="72">
        <f t="shared" si="5"/>
        <v>76500</v>
      </c>
      <c r="AM34" s="74">
        <f t="shared" si="6"/>
        <v>417600</v>
      </c>
      <c r="AN34" s="75">
        <v>5393</v>
      </c>
      <c r="AO34" s="76">
        <v>4934</v>
      </c>
      <c r="AP34" s="77">
        <v>9180</v>
      </c>
      <c r="AQ34" s="78">
        <f t="shared" si="7"/>
        <v>22312.5</v>
      </c>
      <c r="AR34" s="78">
        <f t="shared" si="8"/>
        <v>41175</v>
      </c>
      <c r="AS34" s="76">
        <v>2000</v>
      </c>
      <c r="AT34" s="79">
        <f t="shared" si="9"/>
        <v>515607</v>
      </c>
      <c r="AU34" s="80">
        <f t="shared" si="10"/>
        <v>25490</v>
      </c>
      <c r="AV34" s="79">
        <f t="shared" si="13"/>
        <v>541097</v>
      </c>
    </row>
    <row r="35" spans="1:48" x14ac:dyDescent="0.25">
      <c r="A35" s="112">
        <v>23</v>
      </c>
      <c r="B35" s="82" t="s">
        <v>179</v>
      </c>
      <c r="C35" s="92" t="s">
        <v>180</v>
      </c>
      <c r="D35" s="84" t="s">
        <v>181</v>
      </c>
      <c r="E35" s="84" t="s">
        <v>182</v>
      </c>
      <c r="F35" s="53" t="s">
        <v>56</v>
      </c>
      <c r="G35" s="53">
        <v>22</v>
      </c>
      <c r="H35" s="52" t="s">
        <v>57</v>
      </c>
      <c r="I35" s="52" t="s">
        <v>58</v>
      </c>
      <c r="J35" s="82" t="s">
        <v>183</v>
      </c>
      <c r="K35" s="54">
        <v>4</v>
      </c>
      <c r="L35" s="92" t="s">
        <v>64</v>
      </c>
      <c r="M35" s="55" t="s">
        <v>202</v>
      </c>
      <c r="N35" s="55" t="s">
        <v>203</v>
      </c>
      <c r="O35" s="55" t="s">
        <v>204</v>
      </c>
      <c r="P35" s="84">
        <v>13096575</v>
      </c>
      <c r="Q35" s="57">
        <v>0</v>
      </c>
      <c r="R35" s="111" t="s">
        <v>65</v>
      </c>
      <c r="S35" s="113">
        <v>42541</v>
      </c>
      <c r="T35" s="95" t="s">
        <v>65</v>
      </c>
      <c r="U35" s="53">
        <v>30</v>
      </c>
      <c r="V35" s="60">
        <v>270000</v>
      </c>
      <c r="W35" s="61">
        <f>V35/30*U35</f>
        <v>270000</v>
      </c>
      <c r="X35" s="61">
        <f>IF(W35*25%&gt;$X$8,$X$8,W35*25%)</f>
        <v>67500</v>
      </c>
      <c r="Y35" s="62">
        <v>0</v>
      </c>
      <c r="Z35" s="62">
        <v>21000</v>
      </c>
      <c r="AA35" s="63">
        <v>0.88827416859144614</v>
      </c>
      <c r="AB35" s="64"/>
      <c r="AC35" s="88"/>
      <c r="AD35" s="61"/>
      <c r="AE35" s="66"/>
      <c r="AF35" s="67">
        <f t="shared" si="2"/>
        <v>358500</v>
      </c>
      <c r="AG35" s="68">
        <f t="shared" si="3"/>
        <v>0</v>
      </c>
      <c r="AH35" s="68">
        <v>56000</v>
      </c>
      <c r="AI35" s="70">
        <f t="shared" si="12"/>
        <v>0</v>
      </c>
      <c r="AJ35" s="89">
        <v>0</v>
      </c>
      <c r="AK35" s="67">
        <f t="shared" si="4"/>
        <v>414500</v>
      </c>
      <c r="AL35" s="72">
        <f t="shared" si="5"/>
        <v>71700</v>
      </c>
      <c r="AM35" s="74">
        <f t="shared" si="6"/>
        <v>342800</v>
      </c>
      <c r="AN35" s="75">
        <v>5055</v>
      </c>
      <c r="AO35" s="76">
        <v>4625</v>
      </c>
      <c r="AP35" s="77">
        <v>8604</v>
      </c>
      <c r="AQ35" s="78">
        <f t="shared" si="7"/>
        <v>20912.5</v>
      </c>
      <c r="AR35" s="78">
        <f t="shared" si="8"/>
        <v>34541.666666666664</v>
      </c>
      <c r="AS35" s="76">
        <v>2000</v>
      </c>
      <c r="AT35" s="79">
        <f t="shared" si="9"/>
        <v>434784</v>
      </c>
      <c r="AU35" s="80">
        <f t="shared" si="10"/>
        <v>25490</v>
      </c>
      <c r="AV35" s="79">
        <f t="shared" si="13"/>
        <v>460274</v>
      </c>
    </row>
    <row r="36" spans="1:48" x14ac:dyDescent="0.25">
      <c r="A36" s="52">
        <v>24</v>
      </c>
      <c r="B36" s="82" t="s">
        <v>184</v>
      </c>
      <c r="C36" s="92" t="s">
        <v>185</v>
      </c>
      <c r="D36" s="84" t="s">
        <v>186</v>
      </c>
      <c r="E36" s="84" t="s">
        <v>187</v>
      </c>
      <c r="F36" s="53" t="s">
        <v>81</v>
      </c>
      <c r="G36" s="53">
        <v>22</v>
      </c>
      <c r="H36" s="52" t="s">
        <v>57</v>
      </c>
      <c r="I36" s="52" t="s">
        <v>58</v>
      </c>
      <c r="J36" s="82" t="s">
        <v>83</v>
      </c>
      <c r="K36" s="54">
        <v>4</v>
      </c>
      <c r="L36" s="92" t="s">
        <v>64</v>
      </c>
      <c r="M36" s="55" t="s">
        <v>202</v>
      </c>
      <c r="N36" s="55" t="s">
        <v>203</v>
      </c>
      <c r="O36" s="55" t="s">
        <v>204</v>
      </c>
      <c r="P36" s="84">
        <v>13054761</v>
      </c>
      <c r="Q36" s="57">
        <v>0</v>
      </c>
      <c r="R36" s="111" t="s">
        <v>65</v>
      </c>
      <c r="S36" s="113">
        <v>42559</v>
      </c>
      <c r="T36" s="95" t="s">
        <v>65</v>
      </c>
      <c r="U36" s="53">
        <v>30</v>
      </c>
      <c r="V36" s="60">
        <v>270000</v>
      </c>
      <c r="W36" s="61">
        <f t="shared" si="0"/>
        <v>270000</v>
      </c>
      <c r="X36" s="61">
        <f t="shared" si="1"/>
        <v>67500</v>
      </c>
      <c r="Y36" s="62">
        <v>0</v>
      </c>
      <c r="Z36" s="62">
        <v>0</v>
      </c>
      <c r="AA36" s="63">
        <v>0.8797146540371944</v>
      </c>
      <c r="AB36" s="64"/>
      <c r="AC36" s="88"/>
      <c r="AD36" s="61"/>
      <c r="AE36" s="66"/>
      <c r="AF36" s="67">
        <f t="shared" si="2"/>
        <v>337500</v>
      </c>
      <c r="AG36" s="68">
        <f t="shared" si="3"/>
        <v>0</v>
      </c>
      <c r="AH36" s="68">
        <f>57000/30*U36</f>
        <v>57000</v>
      </c>
      <c r="AI36" s="70">
        <f t="shared" si="12"/>
        <v>0</v>
      </c>
      <c r="AJ36" s="89">
        <v>0</v>
      </c>
      <c r="AK36" s="67">
        <f t="shared" si="4"/>
        <v>394500</v>
      </c>
      <c r="AL36" s="72">
        <f t="shared" si="5"/>
        <v>67500</v>
      </c>
      <c r="AM36" s="74">
        <f t="shared" si="6"/>
        <v>327000</v>
      </c>
      <c r="AN36" s="75">
        <v>4759</v>
      </c>
      <c r="AO36" s="76">
        <v>4354</v>
      </c>
      <c r="AP36" s="77">
        <v>8100</v>
      </c>
      <c r="AQ36" s="78">
        <f t="shared" si="7"/>
        <v>19687.5</v>
      </c>
      <c r="AR36" s="78">
        <f t="shared" si="8"/>
        <v>32875</v>
      </c>
      <c r="AS36" s="76">
        <v>2000</v>
      </c>
      <c r="AT36" s="79">
        <f t="shared" si="9"/>
        <v>413713</v>
      </c>
      <c r="AU36" s="80">
        <f t="shared" si="10"/>
        <v>25490</v>
      </c>
      <c r="AV36" s="79">
        <f t="shared" si="13"/>
        <v>439203</v>
      </c>
    </row>
    <row r="37" spans="1:48" x14ac:dyDescent="0.25">
      <c r="A37" s="52">
        <v>25</v>
      </c>
      <c r="B37" s="82" t="s">
        <v>188</v>
      </c>
      <c r="C37" s="92" t="s">
        <v>189</v>
      </c>
      <c r="D37" s="84" t="s">
        <v>73</v>
      </c>
      <c r="E37" s="84" t="s">
        <v>190</v>
      </c>
      <c r="F37" s="53" t="s">
        <v>56</v>
      </c>
      <c r="G37" s="53">
        <v>22</v>
      </c>
      <c r="H37" s="52" t="s">
        <v>57</v>
      </c>
      <c r="I37" s="52" t="s">
        <v>58</v>
      </c>
      <c r="J37" s="82" t="s">
        <v>191</v>
      </c>
      <c r="K37" s="54">
        <v>4</v>
      </c>
      <c r="L37" s="92" t="s">
        <v>64</v>
      </c>
      <c r="M37" s="55" t="s">
        <v>202</v>
      </c>
      <c r="N37" s="55" t="s">
        <v>203</v>
      </c>
      <c r="O37" s="55" t="s">
        <v>204</v>
      </c>
      <c r="P37" s="84">
        <v>13737197</v>
      </c>
      <c r="Q37" s="57">
        <v>0</v>
      </c>
      <c r="R37" s="111" t="s">
        <v>65</v>
      </c>
      <c r="S37" s="113">
        <v>42576</v>
      </c>
      <c r="T37" s="95" t="s">
        <v>65</v>
      </c>
      <c r="U37" s="53">
        <v>30</v>
      </c>
      <c r="V37" s="60">
        <v>270000</v>
      </c>
      <c r="W37" s="61">
        <f t="shared" si="0"/>
        <v>270000</v>
      </c>
      <c r="X37" s="61">
        <f t="shared" si="1"/>
        <v>67500</v>
      </c>
      <c r="Y37" s="62">
        <v>0</v>
      </c>
      <c r="Z37" s="62">
        <v>60750</v>
      </c>
      <c r="AA37" s="63">
        <v>1.0216776302720298</v>
      </c>
      <c r="AB37" s="64"/>
      <c r="AC37" s="88"/>
      <c r="AD37" s="61"/>
      <c r="AE37" s="66"/>
      <c r="AF37" s="67">
        <f t="shared" si="2"/>
        <v>398250</v>
      </c>
      <c r="AG37" s="68">
        <f t="shared" si="3"/>
        <v>0</v>
      </c>
      <c r="AH37" s="68">
        <f>102800/30*U37</f>
        <v>102800</v>
      </c>
      <c r="AI37" s="70">
        <f t="shared" si="12"/>
        <v>0</v>
      </c>
      <c r="AJ37" s="89">
        <v>0</v>
      </c>
      <c r="AK37" s="67">
        <f t="shared" si="4"/>
        <v>501050</v>
      </c>
      <c r="AL37" s="72">
        <f t="shared" si="5"/>
        <v>79650</v>
      </c>
      <c r="AM37" s="74">
        <f t="shared" si="6"/>
        <v>421400</v>
      </c>
      <c r="AN37" s="75">
        <v>5615</v>
      </c>
      <c r="AO37" s="76">
        <v>5137</v>
      </c>
      <c r="AP37" s="77">
        <v>9558</v>
      </c>
      <c r="AQ37" s="78">
        <f t="shared" si="7"/>
        <v>23231.25</v>
      </c>
      <c r="AR37" s="78">
        <f t="shared" si="8"/>
        <v>41754.166666666664</v>
      </c>
      <c r="AS37" s="76">
        <v>2000</v>
      </c>
      <c r="AT37" s="79">
        <f t="shared" si="9"/>
        <v>523360</v>
      </c>
      <c r="AU37" s="80">
        <f t="shared" si="10"/>
        <v>25490</v>
      </c>
      <c r="AV37" s="79">
        <f t="shared" si="13"/>
        <v>548850</v>
      </c>
    </row>
    <row r="38" spans="1:48" ht="23.25" x14ac:dyDescent="0.25">
      <c r="A38" s="52">
        <v>26</v>
      </c>
      <c r="B38" s="82" t="s">
        <v>192</v>
      </c>
      <c r="C38" s="83" t="s">
        <v>193</v>
      </c>
      <c r="D38" s="84" t="s">
        <v>194</v>
      </c>
      <c r="E38" s="85" t="s">
        <v>195</v>
      </c>
      <c r="F38" s="53" t="s">
        <v>112</v>
      </c>
      <c r="G38" s="53">
        <v>22</v>
      </c>
      <c r="H38" s="52" t="s">
        <v>66</v>
      </c>
      <c r="I38" s="52" t="s">
        <v>58</v>
      </c>
      <c r="J38" s="82" t="s">
        <v>83</v>
      </c>
      <c r="K38" s="54">
        <v>4</v>
      </c>
      <c r="L38" s="83" t="s">
        <v>64</v>
      </c>
      <c r="M38" s="55" t="s">
        <v>202</v>
      </c>
      <c r="N38" s="55" t="s">
        <v>203</v>
      </c>
      <c r="O38" s="55" t="s">
        <v>204</v>
      </c>
      <c r="P38" s="85">
        <v>11101991</v>
      </c>
      <c r="Q38" s="57">
        <v>9</v>
      </c>
      <c r="R38" s="58" t="s">
        <v>65</v>
      </c>
      <c r="S38" s="113">
        <v>42661</v>
      </c>
      <c r="T38" s="86" t="s">
        <v>65</v>
      </c>
      <c r="U38" s="53">
        <v>30</v>
      </c>
      <c r="V38" s="60">
        <v>270000</v>
      </c>
      <c r="W38" s="61">
        <f t="shared" si="0"/>
        <v>270000</v>
      </c>
      <c r="X38" s="61">
        <f t="shared" si="1"/>
        <v>67500</v>
      </c>
      <c r="Y38" s="62">
        <v>0</v>
      </c>
      <c r="Z38" s="62">
        <v>75000</v>
      </c>
      <c r="AA38" s="63">
        <v>1.0321602371236565</v>
      </c>
      <c r="AB38" s="64"/>
      <c r="AC38" s="88"/>
      <c r="AD38" s="61"/>
      <c r="AE38" s="66"/>
      <c r="AF38" s="67">
        <f t="shared" si="2"/>
        <v>412500</v>
      </c>
      <c r="AG38" s="68">
        <f t="shared" si="3"/>
        <v>0</v>
      </c>
      <c r="AH38" s="69">
        <f>95000/30*U38</f>
        <v>95000</v>
      </c>
      <c r="AI38" s="70">
        <f t="shared" si="12"/>
        <v>0</v>
      </c>
      <c r="AJ38" s="89">
        <v>0</v>
      </c>
      <c r="AK38" s="67">
        <f t="shared" si="4"/>
        <v>507500</v>
      </c>
      <c r="AL38" s="72">
        <f t="shared" si="5"/>
        <v>82500</v>
      </c>
      <c r="AM38" s="74">
        <f t="shared" si="6"/>
        <v>425000</v>
      </c>
      <c r="AN38" s="75">
        <v>5816</v>
      </c>
      <c r="AO38" s="76">
        <v>5321</v>
      </c>
      <c r="AP38" s="77">
        <v>9900</v>
      </c>
      <c r="AQ38" s="78">
        <f t="shared" si="7"/>
        <v>24062.5</v>
      </c>
      <c r="AR38" s="78">
        <f t="shared" si="8"/>
        <v>42291.666666666664</v>
      </c>
      <c r="AS38" s="76">
        <v>2000</v>
      </c>
      <c r="AT38" s="79">
        <f t="shared" si="9"/>
        <v>530537</v>
      </c>
      <c r="AU38" s="80">
        <f t="shared" si="10"/>
        <v>25490</v>
      </c>
      <c r="AV38" s="79">
        <f t="shared" si="13"/>
        <v>556027</v>
      </c>
    </row>
    <row r="39" spans="1:48" ht="23.25" x14ac:dyDescent="0.25">
      <c r="A39" s="52">
        <v>27</v>
      </c>
      <c r="B39" s="82" t="s">
        <v>68</v>
      </c>
      <c r="C39" s="83" t="s">
        <v>69</v>
      </c>
      <c r="D39" s="84" t="s">
        <v>70</v>
      </c>
      <c r="E39" s="85" t="s">
        <v>71</v>
      </c>
      <c r="F39" s="53" t="s">
        <v>56</v>
      </c>
      <c r="G39" s="53">
        <v>22</v>
      </c>
      <c r="H39" s="52" t="s">
        <v>66</v>
      </c>
      <c r="I39" s="52" t="s">
        <v>58</v>
      </c>
      <c r="J39" s="82" t="s">
        <v>67</v>
      </c>
      <c r="K39" s="54">
        <v>4</v>
      </c>
      <c r="L39" s="83" t="s">
        <v>64</v>
      </c>
      <c r="M39" s="55" t="s">
        <v>202</v>
      </c>
      <c r="N39" s="55" t="s">
        <v>203</v>
      </c>
      <c r="O39" s="55" t="s">
        <v>204</v>
      </c>
      <c r="P39" s="85">
        <v>14331712</v>
      </c>
      <c r="Q39" s="57">
        <v>0</v>
      </c>
      <c r="R39" s="58" t="s">
        <v>65</v>
      </c>
      <c r="S39" s="113">
        <v>42713</v>
      </c>
      <c r="T39" s="86" t="s">
        <v>65</v>
      </c>
      <c r="U39" s="53">
        <v>30</v>
      </c>
      <c r="V39" s="87">
        <v>270000</v>
      </c>
      <c r="W39" s="61">
        <f t="shared" si="0"/>
        <v>270000</v>
      </c>
      <c r="X39" s="61">
        <f t="shared" si="1"/>
        <v>67500</v>
      </c>
      <c r="Y39" s="62">
        <v>0</v>
      </c>
      <c r="Z39" s="62">
        <v>42000</v>
      </c>
      <c r="AA39" s="63">
        <v>0.86707023076899559</v>
      </c>
      <c r="AB39" s="64"/>
      <c r="AC39" s="88"/>
      <c r="AD39" s="61"/>
      <c r="AE39" s="66"/>
      <c r="AF39" s="67">
        <f t="shared" si="2"/>
        <v>379500</v>
      </c>
      <c r="AG39" s="68">
        <f t="shared" si="3"/>
        <v>0</v>
      </c>
      <c r="AH39" s="68">
        <f>84000/30*U39</f>
        <v>84000</v>
      </c>
      <c r="AI39" s="70">
        <f t="shared" si="12"/>
        <v>0</v>
      </c>
      <c r="AJ39" s="89">
        <v>0</v>
      </c>
      <c r="AK39" s="67">
        <f t="shared" si="4"/>
        <v>463500</v>
      </c>
      <c r="AL39" s="72">
        <f t="shared" si="5"/>
        <v>75900</v>
      </c>
      <c r="AM39" s="74">
        <f t="shared" si="6"/>
        <v>387600</v>
      </c>
      <c r="AN39" s="75">
        <v>5351</v>
      </c>
      <c r="AO39" s="76">
        <v>4896</v>
      </c>
      <c r="AP39" s="77">
        <v>9108</v>
      </c>
      <c r="AQ39" s="78">
        <f t="shared" si="7"/>
        <v>22137.5</v>
      </c>
      <c r="AR39" s="78">
        <f t="shared" si="8"/>
        <v>38625</v>
      </c>
      <c r="AS39" s="76">
        <v>2000</v>
      </c>
      <c r="AT39" s="79">
        <f t="shared" si="9"/>
        <v>484855</v>
      </c>
      <c r="AU39" s="80">
        <f t="shared" si="10"/>
        <v>25490</v>
      </c>
      <c r="AV39" s="79">
        <f t="shared" si="13"/>
        <v>510345</v>
      </c>
    </row>
  </sheetData>
  <mergeCells count="11">
    <mergeCell ref="A5:E5"/>
    <mergeCell ref="F5:H5"/>
    <mergeCell ref="A6:E6"/>
    <mergeCell ref="F6:H6"/>
    <mergeCell ref="A7:H8"/>
    <mergeCell ref="A2:E2"/>
    <mergeCell ref="F2:H2"/>
    <mergeCell ref="A3:E3"/>
    <mergeCell ref="F3:H3"/>
    <mergeCell ref="A4:E4"/>
    <mergeCell ref="F4:H4"/>
  </mergeCells>
  <conditionalFormatting sqref="Q9">
    <cfRule type="containsText" dxfId="13" priority="14" stopIfTrue="1" operator="containsText" text="2">
      <formula>NOT(ISERROR(SEARCH("2",Q9)))</formula>
    </cfRule>
  </conditionalFormatting>
  <conditionalFormatting sqref="V10:V21 V26:V28">
    <cfRule type="expression" dxfId="12" priority="11">
      <formula>#REF!="finiquitado"</formula>
    </cfRule>
  </conditionalFormatting>
  <conditionalFormatting sqref="J12:J14">
    <cfRule type="expression" dxfId="11" priority="10">
      <formula>#REF!="finiquitado"</formula>
    </cfRule>
  </conditionalFormatting>
  <conditionalFormatting sqref="V39">
    <cfRule type="expression" dxfId="10" priority="9">
      <formula>#REF!="finiquitado"</formula>
    </cfRule>
  </conditionalFormatting>
  <conditionalFormatting sqref="D38">
    <cfRule type="duplicateValues" dxfId="9" priority="12" stopIfTrue="1"/>
  </conditionalFormatting>
  <conditionalFormatting sqref="L38">
    <cfRule type="duplicateValues" dxfId="8" priority="8" stopIfTrue="1"/>
  </conditionalFormatting>
  <conditionalFormatting sqref="V25">
    <cfRule type="expression" dxfId="7" priority="7">
      <formula>#REF!="finiquitado"</formula>
    </cfRule>
  </conditionalFormatting>
  <conditionalFormatting sqref="V24">
    <cfRule type="expression" dxfId="6" priority="6">
      <formula>#REF!="finiquitado"</formula>
    </cfRule>
  </conditionalFormatting>
  <conditionalFormatting sqref="B12:B14">
    <cfRule type="expression" dxfId="5" priority="5">
      <formula>#REF!="finiquitado"</formula>
    </cfRule>
  </conditionalFormatting>
  <conditionalFormatting sqref="V29 V22:V23 V31:V38">
    <cfRule type="expression" dxfId="4" priority="4">
      <formula>#REF!="finiquitado"</formula>
    </cfRule>
  </conditionalFormatting>
  <conditionalFormatting sqref="E38">
    <cfRule type="duplicateValues" dxfId="3" priority="3" stopIfTrue="1"/>
  </conditionalFormatting>
  <conditionalFormatting sqref="V30">
    <cfRule type="expression" dxfId="2" priority="2">
      <formula>#REF!="finiquitado"</formula>
    </cfRule>
  </conditionalFormatting>
  <conditionalFormatting sqref="P38">
    <cfRule type="duplicateValues" dxfId="1" priority="1" stopIfTrue="1"/>
  </conditionalFormatting>
  <hyperlinks>
    <hyperlink ref="R6" r:id="rId1" display="www.proyectoygestion.com"/>
    <hyperlink ref="Q6" r:id="rId2"/>
  </hyperlinks>
  <pageMargins left="0.7" right="0.7" top="0.75" bottom="0.75" header="0.3" footer="0.3"/>
  <pageSetup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Mario Bustos</cp:lastModifiedBy>
  <dcterms:created xsi:type="dcterms:W3CDTF">2017-10-05T13:23:43Z</dcterms:created>
  <dcterms:modified xsi:type="dcterms:W3CDTF">2017-10-10T18:40:01Z</dcterms:modified>
</cp:coreProperties>
</file>